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A\Juegos\FoL\NPCs\"/>
    </mc:Choice>
  </mc:AlternateContent>
  <xr:revisionPtr revIDLastSave="0" documentId="13_ncr:1_{639BFA96-7EB5-4BDB-AEB5-261426E0004F}" xr6:coauthVersionLast="47" xr6:coauthVersionMax="47" xr10:uidLastSave="{00000000-0000-0000-0000-000000000000}"/>
  <bookViews>
    <workbookView xWindow="-108" yWindow="-108" windowWidth="23256" windowHeight="13176" xr2:uid="{00000000-000D-0000-FFFF-FFFF00000000}"/>
  </bookViews>
  <sheets>
    <sheet name="Personal File" sheetId="1" r:id="rId1"/>
    <sheet name="Skills" sheetId="2" r:id="rId2"/>
    <sheet name="Prayerbook" sheetId="3" r:id="rId3"/>
    <sheet name="Prayers" sheetId="4" r:id="rId4"/>
    <sheet name="Feats" sheetId="5" r:id="rId5"/>
    <sheet name="Martial" sheetId="6" r:id="rId6"/>
    <sheet name="Equipment" sheetId="7" r:id="rId7"/>
    <sheet name="Mount" sheetId="8" r:id="rId8"/>
  </sheets>
  <externalReferences>
    <externalReference r:id="rId9"/>
  </externalReferences>
  <definedNames>
    <definedName name="NoShade">'[1]Spell Sheet'!$FH$1</definedName>
    <definedName name="_xlnm.Print_Area" localSheetId="7">Mount!$A$1:$H$13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 r="B13" i="1"/>
  <c r="B12" i="1"/>
  <c r="B11" i="1"/>
  <c r="B10" i="1"/>
  <c r="B9" i="1"/>
  <c r="M54" i="6"/>
  <c r="M36" i="6" l="1"/>
  <c r="M35" i="6"/>
  <c r="B7" i="1" l="1"/>
  <c r="F3" i="2" l="1"/>
  <c r="F4" i="2"/>
  <c r="F5" i="2"/>
  <c r="C8" i="7" l="1"/>
  <c r="G15" i="7"/>
  <c r="C15" i="7"/>
  <c r="O6" i="4" l="1"/>
  <c r="I7" i="6" l="1"/>
  <c r="I3" i="6"/>
  <c r="M25" i="6"/>
  <c r="M26" i="6"/>
  <c r="M27" i="6"/>
  <c r="H18" i="2"/>
  <c r="F21" i="2"/>
  <c r="H12" i="6"/>
  <c r="I12" i="6"/>
  <c r="J12" i="6" l="1"/>
  <c r="I13" i="6"/>
  <c r="M32" i="6"/>
  <c r="G10" i="7" l="1"/>
  <c r="M53" i="6" l="1"/>
  <c r="M52" i="6"/>
  <c r="M51" i="6"/>
  <c r="M50" i="6"/>
  <c r="M49" i="6"/>
  <c r="M48" i="6"/>
  <c r="M47" i="6"/>
  <c r="M46" i="6"/>
  <c r="M45" i="6"/>
  <c r="M44" i="6"/>
  <c r="M43" i="6"/>
  <c r="M42" i="6"/>
  <c r="M41" i="6"/>
  <c r="M40" i="6"/>
  <c r="M39" i="6"/>
  <c r="M38" i="6"/>
  <c r="C9" i="8" l="1"/>
  <c r="C8" i="8"/>
  <c r="C7" i="8"/>
  <c r="C6" i="8"/>
  <c r="C5" i="8"/>
  <c r="C4" i="8"/>
  <c r="H14" i="6" l="1"/>
  <c r="C47" i="7" l="1"/>
  <c r="C46" i="7"/>
  <c r="C39" i="7"/>
  <c r="C22" i="7"/>
  <c r="C20" i="7"/>
  <c r="C12" i="7"/>
  <c r="M37" i="6"/>
  <c r="M34" i="6"/>
  <c r="G28" i="6"/>
  <c r="G27" i="6"/>
  <c r="G26" i="6"/>
  <c r="G25" i="6"/>
  <c r="I16" i="6"/>
  <c r="I15" i="6"/>
  <c r="I14" i="6"/>
  <c r="I11" i="6"/>
  <c r="I8" i="6"/>
  <c r="I5" i="6"/>
  <c r="H6" i="4"/>
  <c r="I6" i="4"/>
  <c r="J6" i="4"/>
  <c r="K6" i="4"/>
  <c r="L6" i="4"/>
  <c r="M6" i="4"/>
  <c r="N6" i="4"/>
  <c r="P6" i="4"/>
  <c r="Q6" i="4"/>
  <c r="B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7" i="2"/>
  <c r="H16" i="2"/>
  <c r="H15" i="2"/>
  <c r="H14" i="2"/>
  <c r="H13" i="2"/>
  <c r="H12" i="2"/>
  <c r="H11" i="2"/>
  <c r="H10" i="2"/>
  <c r="H9" i="2"/>
  <c r="H8" i="2"/>
  <c r="H7" i="2"/>
  <c r="H6" i="2"/>
  <c r="H5" i="2"/>
  <c r="H4" i="2"/>
  <c r="H3" i="2"/>
  <c r="C14" i="1"/>
  <c r="C13" i="1"/>
  <c r="C12" i="1"/>
  <c r="C11" i="1"/>
  <c r="C10" i="1"/>
  <c r="E12" i="1" s="1"/>
  <c r="C9" i="1"/>
  <c r="D8" i="2" l="1"/>
  <c r="E8" i="2" s="1"/>
  <c r="D19" i="2"/>
  <c r="E19" i="2" s="1"/>
  <c r="D18" i="2"/>
  <c r="E18" i="2" s="1"/>
  <c r="D13" i="2"/>
  <c r="E13" i="2" s="1"/>
  <c r="D22" i="2"/>
  <c r="E22" i="2" s="1"/>
  <c r="D15" i="2"/>
  <c r="E15" i="2" s="1"/>
  <c r="D36" i="2"/>
  <c r="E36" i="2" s="1"/>
  <c r="D48" i="2"/>
  <c r="E48" i="2" s="1"/>
  <c r="D5" i="2"/>
  <c r="E5" i="2" s="1"/>
  <c r="D33" i="2"/>
  <c r="E33" i="2" s="1"/>
  <c r="D44" i="2"/>
  <c r="E44" i="2" s="1"/>
  <c r="D45" i="2"/>
  <c r="E45" i="2" s="1"/>
  <c r="D20" i="2"/>
  <c r="E20" i="2" s="1"/>
  <c r="D37" i="2"/>
  <c r="E37" i="2" s="1"/>
  <c r="D40" i="2"/>
  <c r="E40" i="2" s="1"/>
  <c r="D12" i="2"/>
  <c r="E12" i="2" s="1"/>
  <c r="D17" i="2"/>
  <c r="E17" i="2" s="1"/>
  <c r="D27" i="2"/>
  <c r="E27" i="2" s="1"/>
  <c r="D31" i="2"/>
  <c r="E31" i="2" s="1"/>
  <c r="D43" i="2"/>
  <c r="E43" i="2" s="1"/>
  <c r="D11" i="2"/>
  <c r="E11" i="2" s="1"/>
  <c r="D26" i="2"/>
  <c r="E26" i="2" s="1"/>
  <c r="D30" i="2"/>
  <c r="E30" i="2" s="1"/>
  <c r="D42" i="2"/>
  <c r="E42" i="2" s="1"/>
  <c r="D6" i="2"/>
  <c r="E6" i="2" s="1"/>
  <c r="D24" i="2"/>
  <c r="E24" i="2" s="1"/>
  <c r="D28" i="2"/>
  <c r="E28" i="2" s="1"/>
  <c r="D32" i="2"/>
  <c r="E32" i="2" s="1"/>
  <c r="D39" i="2"/>
  <c r="E39" i="2" s="1"/>
  <c r="D14" i="2"/>
  <c r="E14" i="2" s="1"/>
  <c r="D25" i="2"/>
  <c r="E25" i="2" s="1"/>
  <c r="D29" i="2"/>
  <c r="E29" i="2" s="1"/>
  <c r="V46" i="4"/>
  <c r="V42" i="4"/>
  <c r="V38" i="4"/>
  <c r="V34" i="4"/>
  <c r="V30" i="4"/>
  <c r="D37" i="4"/>
  <c r="D43" i="4"/>
  <c r="V33" i="4"/>
  <c r="D36" i="4"/>
  <c r="D42" i="4"/>
  <c r="D45" i="4"/>
  <c r="D38" i="4"/>
  <c r="D32" i="4"/>
  <c r="V45" i="4"/>
  <c r="V41" i="4"/>
  <c r="V37" i="4"/>
  <c r="V44" i="4"/>
  <c r="V40" i="4"/>
  <c r="V36" i="4"/>
  <c r="V32" i="4"/>
  <c r="D39" i="4"/>
  <c r="D40" i="4"/>
  <c r="D44" i="4"/>
  <c r="V43" i="4"/>
  <c r="V39" i="4"/>
  <c r="V35" i="4"/>
  <c r="V31" i="4"/>
  <c r="D41" i="4"/>
  <c r="D46" i="4"/>
  <c r="D26" i="4"/>
  <c r="D28" i="4"/>
  <c r="D30" i="4"/>
  <c r="D35" i="4"/>
  <c r="D53" i="4"/>
  <c r="V18" i="4"/>
  <c r="V20" i="4"/>
  <c r="V22" i="4"/>
  <c r="V24" i="4"/>
  <c r="D17" i="4"/>
  <c r="D19" i="4"/>
  <c r="D21" i="4"/>
  <c r="D25" i="4"/>
  <c r="V27" i="4"/>
  <c r="D52" i="4"/>
  <c r="D22" i="4"/>
  <c r="V26" i="4"/>
  <c r="V28" i="4"/>
  <c r="D31" i="4"/>
  <c r="D50" i="4"/>
  <c r="D23" i="4"/>
  <c r="D34" i="4"/>
  <c r="D20" i="4"/>
  <c r="D27" i="4"/>
  <c r="D29" i="4"/>
  <c r="D33" i="4"/>
  <c r="D51" i="4"/>
  <c r="V17" i="4"/>
  <c r="V19" i="4"/>
  <c r="V21" i="4"/>
  <c r="V23" i="4"/>
  <c r="V25" i="4"/>
  <c r="V29" i="4"/>
  <c r="D18" i="4"/>
  <c r="D24" i="4"/>
  <c r="D3" i="2"/>
  <c r="E3" i="2" s="1"/>
  <c r="D10" i="2"/>
  <c r="E10" i="2" s="1"/>
  <c r="E14" i="1"/>
  <c r="E13" i="1" s="1"/>
  <c r="D7" i="2"/>
  <c r="E7" i="2" s="1"/>
  <c r="D16" i="2"/>
  <c r="E16" i="2" s="1"/>
  <c r="D41" i="2"/>
  <c r="E41" i="2" s="1"/>
  <c r="D4" i="2"/>
  <c r="E4" i="2" s="1"/>
  <c r="D21" i="2"/>
  <c r="E21" i="2" s="1"/>
  <c r="D34" i="2"/>
  <c r="E34" i="2" s="1"/>
  <c r="D38" i="2"/>
  <c r="E38" i="2" s="1"/>
  <c r="D47" i="2"/>
  <c r="E47" i="2" s="1"/>
  <c r="D49" i="2"/>
  <c r="E49" i="2" s="1"/>
  <c r="D35" i="2"/>
  <c r="E35" i="2" s="1"/>
  <c r="B8" i="1"/>
  <c r="D23" i="2"/>
  <c r="E23" i="2" s="1"/>
  <c r="D9" i="2"/>
  <c r="E9" i="2" s="1"/>
  <c r="D46" i="2"/>
  <c r="E46" i="2" s="1"/>
  <c r="H4" i="6"/>
  <c r="H3" i="6"/>
  <c r="J3" i="6" s="1"/>
  <c r="H5" i="6"/>
  <c r="J5" i="6" s="1"/>
  <c r="H6" i="6"/>
  <c r="H16" i="6"/>
  <c r="J16" i="6" s="1"/>
  <c r="H13" i="6"/>
  <c r="J13" i="6" s="1"/>
  <c r="C49" i="7"/>
  <c r="D9" i="4"/>
  <c r="D12" i="4"/>
  <c r="D13" i="4"/>
  <c r="D15" i="4"/>
  <c r="V11" i="4"/>
  <c r="V12" i="4"/>
  <c r="V14" i="4"/>
  <c r="V15" i="4"/>
  <c r="D10" i="4"/>
  <c r="D11" i="4"/>
  <c r="D14" i="4"/>
  <c r="D16" i="4"/>
  <c r="V10" i="4"/>
  <c r="V13" i="4"/>
  <c r="V7" i="4"/>
  <c r="V16" i="4"/>
  <c r="E62" i="2"/>
  <c r="G62" i="7"/>
  <c r="H11" i="6"/>
  <c r="J11" i="6" s="1"/>
  <c r="H15" i="6"/>
  <c r="J15" i="6" s="1"/>
  <c r="E11" i="1"/>
  <c r="V9" i="4"/>
  <c r="V8" i="4"/>
  <c r="V6" i="4"/>
  <c r="V5" i="4"/>
  <c r="V4" i="4"/>
  <c r="V3" i="4"/>
  <c r="D6" i="4"/>
  <c r="D7" i="4"/>
  <c r="D8" i="4"/>
  <c r="E61" i="2"/>
  <c r="D5" i="4"/>
  <c r="E57" i="2"/>
  <c r="E53" i="2"/>
  <c r="E60" i="2"/>
  <c r="E56" i="2"/>
  <c r="E52" i="2"/>
  <c r="D4" i="4"/>
  <c r="E59" i="2"/>
  <c r="E55" i="2"/>
  <c r="E51" i="2"/>
  <c r="D3" i="4"/>
  <c r="E58" i="2"/>
  <c r="E54" i="2"/>
  <c r="H8" i="6"/>
  <c r="J8" i="6" s="1"/>
  <c r="H7" i="6"/>
  <c r="J7" i="6" s="1"/>
  <c r="J14" i="6"/>
  <c r="G37" i="2" l="1"/>
  <c r="I37" i="2" s="1"/>
  <c r="G17" i="2"/>
  <c r="I17" i="2" s="1"/>
  <c r="G15" i="2"/>
  <c r="I15" i="2" s="1"/>
  <c r="G27" i="2"/>
  <c r="I27" i="2" s="1"/>
  <c r="G33" i="2"/>
  <c r="I33" i="2" s="1"/>
  <c r="G44" i="2"/>
  <c r="I44" i="2" s="1"/>
  <c r="G3" i="2"/>
  <c r="I3" i="2" s="1"/>
  <c r="G24" i="2"/>
  <c r="I24" i="2" s="1"/>
  <c r="G40" i="2"/>
  <c r="I40" i="2" s="1"/>
  <c r="G36" i="2"/>
  <c r="I36" i="2" s="1"/>
  <c r="G5" i="2"/>
  <c r="I5" i="2" s="1"/>
  <c r="G20" i="2"/>
  <c r="I20" i="2" s="1"/>
  <c r="G8" i="2"/>
  <c r="I8" i="2" s="1"/>
  <c r="G16" i="2"/>
  <c r="I16" i="2" s="1"/>
  <c r="G48" i="2"/>
  <c r="I48" i="2" s="1"/>
  <c r="G45" i="2"/>
  <c r="I45" i="2" s="1"/>
  <c r="G12" i="2"/>
  <c r="I12" i="2" s="1"/>
  <c r="G13" i="2"/>
  <c r="I13" i="2" s="1"/>
  <c r="G32" i="2"/>
  <c r="I32" i="2" s="1"/>
  <c r="G49" i="2"/>
  <c r="I49" i="2" s="1"/>
  <c r="G29" i="2"/>
  <c r="I29" i="2" s="1"/>
  <c r="G25" i="2"/>
  <c r="I25" i="2" s="1"/>
  <c r="G4" i="2"/>
  <c r="I4" i="2" s="1"/>
  <c r="G28" i="2"/>
  <c r="I28" i="2" s="1"/>
  <c r="G9" i="2"/>
  <c r="I9" i="2" s="1"/>
  <c r="G21" i="2"/>
  <c r="I21" i="2" s="1"/>
  <c r="G7" i="2"/>
  <c r="I7" i="2" s="1"/>
  <c r="G41" i="2"/>
  <c r="I41" i="2" s="1"/>
  <c r="G19" i="2"/>
  <c r="I19" i="2" s="1"/>
  <c r="G11" i="2"/>
  <c r="I11" i="2" s="1"/>
  <c r="G23" i="2"/>
  <c r="I23" i="2" s="1"/>
  <c r="G47" i="2"/>
  <c r="I47" i="2" s="1"/>
  <c r="E50" i="2"/>
  <c r="G46" i="2"/>
  <c r="I46" i="2" s="1"/>
  <c r="G26" i="2"/>
  <c r="I26" i="2" s="1"/>
  <c r="G22" i="2"/>
  <c r="I22" i="2" s="1"/>
  <c r="G43" i="2"/>
  <c r="I43" i="2" s="1"/>
  <c r="G18" i="2"/>
  <c r="I18" i="2" s="1"/>
  <c r="G30" i="2"/>
  <c r="I30" i="2" s="1"/>
  <c r="G31" i="2"/>
  <c r="I31" i="2" s="1"/>
  <c r="G34" i="2"/>
  <c r="I34" i="2" s="1"/>
  <c r="G14" i="2"/>
  <c r="I14" i="2" s="1"/>
  <c r="G6" i="2"/>
  <c r="I6" i="2" s="1"/>
  <c r="G42" i="2"/>
  <c r="I42" i="2" s="1"/>
  <c r="G39" i="2"/>
  <c r="I39" i="2" s="1"/>
  <c r="G10" i="2"/>
  <c r="I10" i="2" s="1"/>
  <c r="G38" i="2"/>
  <c r="I38" i="2" s="1"/>
  <c r="G35" i="2"/>
  <c r="I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i/>
            <sz val="12"/>
            <color indexed="81"/>
            <rFont val="Times New Roman"/>
            <family val="1"/>
          </rPr>
          <t>aid +1
haste +1</t>
        </r>
      </text>
    </comment>
    <comment ref="B9" authorId="0" shapeId="0" xr:uid="{00000000-0006-0000-0000-000002000000}">
      <text>
        <r>
          <rPr>
            <i/>
            <sz val="12"/>
            <color indexed="81"/>
            <rFont val="Times New Roman"/>
            <family val="1"/>
          </rPr>
          <t>holy transformation +4</t>
        </r>
      </text>
    </comment>
    <comment ref="E9" authorId="0" shapeId="0" xr:uid="{00000000-0006-0000-0000-000003000000}">
      <text>
        <r>
          <rPr>
            <sz val="12"/>
            <color indexed="81"/>
            <rFont val="Times New Roman"/>
            <family val="1"/>
          </rPr>
          <t>See PHB 162</t>
        </r>
      </text>
    </comment>
    <comment ref="B11" authorId="0" shapeId="0" xr:uid="{00000000-0006-0000-0000-000004000000}">
      <text>
        <r>
          <rPr>
            <i/>
            <sz val="12"/>
            <color indexed="81"/>
            <rFont val="Times New Roman"/>
            <family val="1"/>
          </rPr>
          <t>holy transformation +4</t>
        </r>
      </text>
    </comment>
    <comment ref="E11" authorId="0" shapeId="0" xr:uid="{00000000-0006-0000-0000-000005000000}">
      <text>
        <r>
          <rPr>
            <sz val="12"/>
            <color indexed="81"/>
            <rFont val="Times New Roman"/>
            <family val="1"/>
          </rPr>
          <t>[(13 * 6 Archivist) * 75%] + (13 * 1 Con)</t>
        </r>
      </text>
    </comment>
    <comment ref="B12" authorId="0" shapeId="0" xr:uid="{00000000-0006-0000-0000-000006000000}">
      <text>
        <r>
          <rPr>
            <i/>
            <sz val="12"/>
            <color indexed="81"/>
            <rFont val="Times New Roman"/>
            <family val="1"/>
          </rPr>
          <t>Headband of Intellect +2
Ioun Stone +2</t>
        </r>
      </text>
    </comment>
    <comment ref="E12" authorId="0" shapeId="0" xr:uid="{00000000-0006-0000-0000-000007000000}">
      <text>
        <r>
          <rPr>
            <sz val="12"/>
            <color indexed="81"/>
            <rFont val="Times New Roman"/>
            <family val="1"/>
          </rPr>
          <t>Shield of Faith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cloak of resistance +3
nightshield +3
holy transformation +4</t>
        </r>
      </text>
    </comment>
    <comment ref="F4" authorId="0" shapeId="0" xr:uid="{00000000-0006-0000-0100-000002000000}">
      <text>
        <r>
          <rPr>
            <i/>
            <sz val="12"/>
            <color indexed="81"/>
            <rFont val="Times New Roman"/>
            <family val="1"/>
          </rPr>
          <t>cloak of resistance +3
nightshield +3
holy transformation +4</t>
        </r>
      </text>
    </comment>
    <comment ref="F5" authorId="0" shapeId="0" xr:uid="{00000000-0006-0000-0100-000003000000}">
      <text>
        <r>
          <rPr>
            <i/>
            <sz val="12"/>
            <color indexed="81"/>
            <rFont val="Times New Roman"/>
            <family val="1"/>
          </rPr>
          <t>cloak of resistance +3
nightshield +3
holy transformation +4</t>
        </r>
      </text>
    </comment>
    <comment ref="F10" authorId="0" shapeId="0" xr:uid="{00000000-0006-0000-0100-000004000000}">
      <text>
        <r>
          <rPr>
            <b/>
            <sz val="12"/>
            <color indexed="81"/>
            <rFont val="Times New Roman"/>
            <family val="1"/>
          </rPr>
          <t xml:space="preserve">Price (Item Level):  </t>
        </r>
        <r>
          <rPr>
            <sz val="12"/>
            <color indexed="81"/>
            <rFont val="Times New Roman"/>
            <family val="1"/>
          </rPr>
          <t xml:space="preserve">2,800 gp (7th)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conjuration
</t>
        </r>
        <r>
          <rPr>
            <b/>
            <sz val="12"/>
            <color indexed="81"/>
            <rFont val="Times New Roman"/>
            <family val="1"/>
          </rPr>
          <t xml:space="preserve">Activation:  </t>
        </r>
        <r>
          <rPr>
            <sz val="12"/>
            <color indexed="81"/>
            <rFont val="Times New Roman"/>
            <family val="1"/>
          </rPr>
          <t xml:space="preserve">Move (manipulation); see text
</t>
        </r>
        <r>
          <rPr>
            <b/>
            <sz val="12"/>
            <color indexed="81"/>
            <rFont val="Times New Roman"/>
            <family val="1"/>
          </rPr>
          <t xml:space="preserve">Weight:  </t>
        </r>
        <r>
          <rPr>
            <sz val="12"/>
            <color indexed="81"/>
            <rFont val="Times New Roman"/>
            <family val="1"/>
          </rPr>
          <t>3 lb.
This elaborate mahogany tube has a slit that runs along its length. A wooden dowel, capped on the ends with gold, fi ts against the slit, locking into place with jeweled clasps.
An infinite scrollcase holds up to fifty scrolls or other parchments, which can be placed within it or removed as with any normal scrollcase.  When you activate an infinite scrollcase, the desired scroll unfurls through the slit, ready to read or cast from.  When you cast a spell from a scroll unfurled from an infinite scrollcase, you gain a +4 competence bonus on Concentration checks made to cast that spell defensively.
If you have at least a +1 base attack bonus, you can retrieve a scroll from an infi nite scrollcase as part of a move action, similar to drawing a weapon.
Magic Item Compendium 162</t>
        </r>
      </text>
    </comment>
    <comment ref="F12" authorId="0" shapeId="0" xr:uid="{00000000-0006-0000-0100-000005000000}">
      <text>
        <r>
          <rPr>
            <sz val="12"/>
            <color indexed="81"/>
            <rFont val="Times New Roman"/>
            <family val="1"/>
          </rPr>
          <t>Lore Mastery</t>
        </r>
      </text>
    </comment>
    <comment ref="F18" authorId="0" shapeId="0" xr:uid="{00000000-0006-0000-0100-000006000000}">
      <text>
        <r>
          <rPr>
            <sz val="12"/>
            <color indexed="81"/>
            <rFont val="Times New Roman"/>
            <family val="1"/>
          </rPr>
          <t>K:  Local synergy</t>
        </r>
      </text>
    </comment>
    <comment ref="F21" authorId="0" shapeId="0" xr:uid="{00000000-0006-0000-0100-000007000000}">
      <text>
        <r>
          <rPr>
            <sz val="12"/>
            <color indexed="81"/>
            <rFont val="Times New Roman"/>
            <family val="1"/>
          </rPr>
          <t>Breastplate -4
Gnome (Small) +4</t>
        </r>
      </text>
    </comment>
    <comment ref="F24" authorId="0" shapeId="0" xr:uid="{00000000-0006-0000-0100-000008000000}">
      <text>
        <r>
          <rPr>
            <sz val="12"/>
            <color indexed="81"/>
            <rFont val="Times New Roman"/>
            <family val="1"/>
          </rPr>
          <t>Lore Mastery</t>
        </r>
      </text>
    </comment>
    <comment ref="F26" authorId="0" shapeId="0" xr:uid="{00000000-0006-0000-0100-000009000000}">
      <text>
        <r>
          <rPr>
            <sz val="12"/>
            <color indexed="81"/>
            <rFont val="Times New Roman"/>
            <family val="1"/>
          </rPr>
          <t>Lore Mastery</t>
        </r>
      </text>
    </comment>
    <comment ref="F29" authorId="0" shapeId="0" xr:uid="{00000000-0006-0000-0100-00000A000000}">
      <text>
        <r>
          <rPr>
            <sz val="12"/>
            <color indexed="81"/>
            <rFont val="Times New Roman"/>
            <family val="1"/>
          </rPr>
          <t>Lore Mastery</t>
        </r>
      </text>
    </comment>
    <comment ref="F33" authorId="0" shapeId="0" xr:uid="{00000000-0006-0000-0100-00000B000000}">
      <text>
        <r>
          <rPr>
            <sz val="12"/>
            <color indexed="81"/>
            <rFont val="Times New Roman"/>
            <family val="1"/>
          </rPr>
          <t>Gnome +2</t>
        </r>
      </text>
    </comment>
    <comment ref="F39" authorId="0" shapeId="0" xr:uid="{00000000-0006-0000-0100-00000C000000}">
      <text>
        <r>
          <rPr>
            <sz val="12"/>
            <color indexed="81"/>
            <rFont val="Times New Roman"/>
            <family val="1"/>
          </rPr>
          <t>K:  Archit. synergy</t>
        </r>
      </text>
    </comment>
    <comment ref="F43" authorId="0" shapeId="0" xr:uid="{00000000-0006-0000-0100-00000D000000}">
      <text>
        <r>
          <rPr>
            <sz val="12"/>
            <color indexed="81"/>
            <rFont val="Times New Roman"/>
            <family val="1"/>
          </rPr>
          <t>K:  Arcana synergy</t>
        </r>
      </text>
    </comment>
    <comment ref="F45" authorId="0" shapeId="0" xr:uid="{00000000-0006-0000-0100-00000E000000}">
      <text>
        <r>
          <rPr>
            <sz val="12"/>
            <color indexed="81"/>
            <rFont val="Times New Roman"/>
            <family val="1"/>
          </rPr>
          <t>+2 underground (K:  Dungeon synergy)
+2 outside Material Plane (K:  Planes synergy)</t>
        </r>
      </text>
    </comment>
    <comment ref="F48" authorId="0" shapeId="0" xr:uid="{00000000-0006-0000-0100-00000F000000}">
      <text>
        <r>
          <rPr>
            <sz val="12"/>
            <color indexed="81"/>
            <rFont val="Times New Roman"/>
            <family val="1"/>
          </rPr>
          <t>Spellcraft synergy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9" authorId="0" shapeId="0" xr:uid="{00000000-0006-0000-0200-000001000000}">
      <text>
        <r>
          <rPr>
            <sz val="12"/>
            <color indexed="81"/>
            <rFont val="Times New Roman"/>
            <family val="1"/>
          </rPr>
          <t>Phosphorescent moss</t>
        </r>
      </text>
    </comment>
    <comment ref="D14" authorId="0" shapeId="0" xr:uid="{00000000-0006-0000-0200-000002000000}">
      <text>
        <r>
          <rPr>
            <sz val="12"/>
            <color indexed="81"/>
            <rFont val="Times New Roman"/>
            <family val="1"/>
          </rPr>
          <t>Prism, lens, or monocle</t>
        </r>
      </text>
    </comment>
    <comment ref="D15" authorId="0" shapeId="0" xr:uid="{00000000-0006-0000-0200-000003000000}">
      <text>
        <r>
          <rPr>
            <sz val="12"/>
            <color indexed="81"/>
            <rFont val="Times New Roman"/>
            <family val="1"/>
          </rPr>
          <t>Miniature cloak</t>
        </r>
      </text>
    </comment>
    <comment ref="D19" authorId="0" shapeId="0" xr:uid="{00000000-0006-0000-0200-000004000000}">
      <text>
        <r>
          <rPr>
            <sz val="12"/>
            <color indexed="81"/>
            <rFont val="Times New Roman"/>
            <family val="1"/>
          </rPr>
          <t>Pure Water</t>
        </r>
      </text>
    </comment>
    <comment ref="D20" authorId="0" shapeId="0" xr:uid="{00000000-0006-0000-0200-000005000000}">
      <text>
        <r>
          <rPr>
            <sz val="12"/>
            <color indexed="81"/>
            <rFont val="Times New Roman"/>
            <family val="1"/>
          </rPr>
          <t>holy water, holy symbol, 100 XP</t>
        </r>
      </text>
    </comment>
    <comment ref="D22" authorId="0" shapeId="0" xr:uid="{00000000-0006-0000-0200-000006000000}">
      <text>
        <r>
          <rPr>
            <sz val="12"/>
            <color indexed="81"/>
            <rFont val="Times New Roman"/>
            <family val="1"/>
          </rPr>
          <t>Soot &amp; Salt</t>
        </r>
      </text>
    </comment>
    <comment ref="D29" authorId="0" shapeId="0" xr:uid="{00000000-0006-0000-0200-000007000000}">
      <text>
        <r>
          <rPr>
            <sz val="12"/>
            <color indexed="81"/>
            <rFont val="Times New Roman"/>
            <family val="1"/>
          </rPr>
          <t>Earth from grave</t>
        </r>
      </text>
    </comment>
    <comment ref="D42" authorId="0" shapeId="0" xr:uid="{00000000-0006-0000-0200-000008000000}">
      <text>
        <r>
          <rPr>
            <sz val="12"/>
            <color indexed="81"/>
            <rFont val="Times New Roman"/>
            <family val="1"/>
          </rPr>
          <t>Imbued weapon</t>
        </r>
      </text>
    </comment>
    <comment ref="D47" authorId="0" shapeId="0" xr:uid="{00000000-0006-0000-0200-000009000000}">
      <text>
        <r>
          <rPr>
            <sz val="12"/>
            <color indexed="81"/>
            <rFont val="Times New Roman"/>
            <family val="1"/>
          </rPr>
          <t>Powdered silver</t>
        </r>
      </text>
    </comment>
    <comment ref="D48" authorId="0" shapeId="0" xr:uid="{00000000-0006-0000-0200-00000A000000}">
      <text>
        <r>
          <rPr>
            <sz val="12"/>
            <color indexed="81"/>
            <rFont val="Times New Roman"/>
            <family val="1"/>
          </rPr>
          <t>Powdered silver</t>
        </r>
      </text>
    </comment>
    <comment ref="D52" authorId="0" shapeId="0" xr:uid="{00000000-0006-0000-0200-00000B000000}">
      <text>
        <r>
          <rPr>
            <sz val="12"/>
            <color indexed="81"/>
            <rFont val="Times New Roman"/>
            <family val="1"/>
          </rPr>
          <t>Parchment w/ holy text</t>
        </r>
      </text>
    </comment>
    <comment ref="D54" authorId="0" shapeId="0" xr:uid="{00000000-0006-0000-0200-00000C000000}">
      <text>
        <r>
          <rPr>
            <sz val="12"/>
            <rFont val="Times New Roman"/>
            <family val="1"/>
          </rPr>
          <t>Bag and candle</t>
        </r>
      </text>
    </comment>
    <comment ref="D56" authorId="0" shapeId="0" xr:uid="{00000000-0006-0000-0200-00000D000000}">
      <text/>
    </comment>
    <comment ref="D60" authorId="0" shapeId="0" xr:uid="{00000000-0006-0000-0200-00000E000000}">
      <text>
        <r>
          <rPr>
            <sz val="12"/>
            <color indexed="81"/>
            <rFont val="Times New Roman"/>
            <family val="1"/>
          </rPr>
          <t>25 gp of sticks and bones</t>
        </r>
      </text>
    </comment>
    <comment ref="D63" authorId="0" shapeId="0" xr:uid="{00000000-0006-0000-0200-00000F000000}">
      <text>
        <r>
          <rPr>
            <sz val="12"/>
            <color indexed="81"/>
            <rFont val="Times New Roman"/>
            <family val="1"/>
          </rPr>
          <t>tallow, bringstone, powdered iron</t>
        </r>
      </text>
    </comment>
    <comment ref="D64" authorId="0" shapeId="0" xr:uid="{00000000-0006-0000-0200-000010000000}">
      <text>
        <r>
          <rPr>
            <sz val="12"/>
            <color indexed="81"/>
            <rFont val="Times New Roman"/>
            <family val="1"/>
          </rPr>
          <t>5 gems worth 1GP each</t>
        </r>
      </text>
    </comment>
    <comment ref="D70" authorId="0" shapeId="0" xr:uid="{00000000-0006-0000-0200-000011000000}">
      <text>
        <r>
          <rPr>
            <sz val="12"/>
            <rFont val="Times New Roman"/>
            <family val="1"/>
          </rPr>
          <t>Bag and candle</t>
        </r>
      </text>
    </comment>
    <comment ref="D74" authorId="0" shapeId="0" xr:uid="{00000000-0006-0000-0200-000012000000}">
      <text>
        <r>
          <rPr>
            <sz val="12"/>
            <color indexed="81"/>
            <rFont val="Times New Roman"/>
            <family val="1"/>
          </rPr>
          <t>phosphorous</t>
        </r>
      </text>
    </comment>
    <comment ref="D78" authorId="0" shapeId="0" xr:uid="{00000000-0006-0000-0200-000013000000}">
      <text/>
    </comment>
    <comment ref="D83" authorId="0" shapeId="0" xr:uid="{00000000-0006-0000-0200-000014000000}">
      <text>
        <r>
          <rPr>
            <sz val="12"/>
            <color indexed="81"/>
            <rFont val="Times New Roman"/>
            <family val="1"/>
          </rPr>
          <t>Herbal inhalant applied under nostrils, smoked, or imbibed</t>
        </r>
      </text>
    </comment>
    <comment ref="D84" authorId="0" shapeId="0" xr:uid="{00000000-0006-0000-0200-000015000000}">
      <text>
        <r>
          <rPr>
            <sz val="12"/>
            <color indexed="81"/>
            <rFont val="Times New Roman"/>
            <family val="1"/>
          </rPr>
          <t>100+ GP worth of diamond dust</t>
        </r>
      </text>
    </comment>
    <comment ref="D86" authorId="0" shapeId="0" xr:uid="{00000000-0006-0000-0200-000016000000}">
      <text/>
    </comment>
    <comment ref="D87" authorId="0" shapeId="0" xr:uid="{00000000-0006-0000-0200-000017000000}">
      <text>
        <r>
          <rPr>
            <sz val="12"/>
            <color indexed="81"/>
            <rFont val="Times New Roman"/>
            <family val="1"/>
          </rPr>
          <t>Parchment w/ unholy text</t>
        </r>
      </text>
    </comment>
    <comment ref="D90" authorId="0" shapeId="0" xr:uid="{00000000-0006-0000-0200-000018000000}">
      <text>
        <r>
          <rPr>
            <sz val="12"/>
            <color indexed="81"/>
            <rFont val="Times New Roman"/>
            <family val="1"/>
          </rPr>
          <t>Natural pool of water</t>
        </r>
      </text>
    </comment>
    <comment ref="D96" authorId="0" shapeId="0" xr:uid="{00000000-0006-0000-0200-000019000000}">
      <text>
        <r>
          <rPr>
            <sz val="12"/>
            <color indexed="81"/>
            <rFont val="Times New Roman"/>
            <family val="1"/>
          </rPr>
          <t>A statuette of a Celestial or fiend worth 50 gp.</t>
        </r>
      </text>
    </comment>
    <comment ref="D98" authorId="0" shapeId="0" xr:uid="{00000000-0006-0000-0200-00001A000000}">
      <text>
        <r>
          <rPr>
            <sz val="12"/>
            <color indexed="81"/>
            <rFont val="Times New Roman"/>
            <family val="1"/>
          </rPr>
          <t>You trace the glyph with incense, which must first be sprinkled with powdered diamond worth at least 200 gp.</t>
        </r>
      </text>
    </comment>
    <comment ref="D102" authorId="0" shapeId="0" xr:uid="{00000000-0006-0000-0200-00001B000000}">
      <text>
        <r>
          <rPr>
            <sz val="12"/>
            <color indexed="81"/>
            <rFont val="Times New Roman"/>
            <family val="1"/>
          </rPr>
          <t>Parchment w/ unholy text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rFont val="Times New Roman"/>
            <family val="1"/>
          </rPr>
          <t xml:space="preserve">Your path to faith is more scholarly than those of other clerics.
</t>
        </r>
        <r>
          <rPr>
            <b/>
            <sz val="12"/>
            <color indexed="81"/>
            <rFont val="Times New Roman"/>
            <family val="1"/>
          </rPr>
          <t xml:space="preserve">Prerequisites:  </t>
        </r>
        <r>
          <rPr>
            <sz val="12"/>
            <rFont val="Times New Roman"/>
            <family val="1"/>
          </rPr>
          <t xml:space="preserve">Intelligence 13+
</t>
        </r>
        <r>
          <rPr>
            <b/>
            <sz val="12"/>
            <color indexed="81"/>
            <rFont val="Times New Roman"/>
            <family val="1"/>
          </rPr>
          <t xml:space="preserve">Benefit:  </t>
        </r>
        <r>
          <rPr>
            <sz val="12"/>
            <rFont val="Times New Roman"/>
            <family val="1"/>
          </rPr>
          <t xml:space="preserve">For the purpose of determining bonus divine spells per day and maximum divine spell level, your primary spellcasting ability is Intelligence.  If you have more than one divine spellcasting class, the bonus applies to only one of those classes.  Your spell save DCs are not affected by this change.
</t>
        </r>
        <r>
          <rPr>
            <b/>
            <sz val="12"/>
            <color indexed="81"/>
            <rFont val="Times New Roman"/>
            <family val="1"/>
          </rPr>
          <t xml:space="preserve">Special:  </t>
        </r>
        <r>
          <rPr>
            <sz val="12"/>
            <rFont val="Times New Roman"/>
            <family val="1"/>
          </rPr>
          <t>You may only take this feat as a 1st-level character.  If you take this feat more than once, it applies to a different divine spellcasting class each time.  You may take this feat even if you have no divine spellcasting classes yet.
Legends of the Twins (Dragonlance)</t>
        </r>
      </text>
    </comment>
    <comment ref="A3" authorId="0" shapeId="0" xr:uid="{00000000-0006-0000-0400-000002000000}">
      <text>
        <r>
          <rPr>
            <sz val="12"/>
            <color indexed="81"/>
            <rFont val="Times New Roman"/>
            <family val="1"/>
          </rPr>
          <t xml:space="preserve">In addition to your studies of the darkness, you have spent time studying giants and fey.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on giants and fey. You use Knowledge (nature)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only use that class feature on aberrations, elementals, magical beasts, outsiders, and undead.
Heroes of Horror 119</t>
        </r>
      </text>
    </comment>
    <comment ref="A4" authorId="0" shapeId="0" xr:uid="{00000000-0006-0000-0400-000003000000}">
      <text>
        <r>
          <rPr>
            <sz val="12"/>
            <color indexed="81"/>
            <rFont val="Times New Roman"/>
            <family val="1"/>
          </rPr>
          <t xml:space="preserve">In addition to your studies of the darkness, you have spent time studying dragons and constructs.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ability on dragons and constructs. You use Knowledge (arcana)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use that class feature only on aberrations, elementals, magical beasts, outsiders, and undead.
Heroes of Horror 122</t>
        </r>
      </text>
    </comment>
    <comment ref="A5" authorId="0" shapeId="0" xr:uid="{00000000-0006-0000-0400-000004000000}">
      <text>
        <r>
          <rPr>
            <sz val="12"/>
            <color indexed="81"/>
            <rFont val="Times New Roman"/>
            <family val="1"/>
          </rPr>
          <t xml:space="preserve">You have the ability to dredge up obscure knowledge in appropriate situations.
</t>
        </r>
        <r>
          <rPr>
            <b/>
            <sz val="12"/>
            <color indexed="81"/>
            <rFont val="Times New Roman"/>
            <family val="1"/>
          </rPr>
          <t xml:space="preserve">Prerequisites:  </t>
        </r>
        <r>
          <rPr>
            <sz val="12"/>
            <color indexed="81"/>
            <rFont val="Times New Roman"/>
            <family val="1"/>
          </rPr>
          <t xml:space="preserve">Gnome, Int 13.
</t>
        </r>
        <r>
          <rPr>
            <b/>
            <sz val="12"/>
            <color indexed="81"/>
            <rFont val="Times New Roman"/>
            <family val="1"/>
          </rPr>
          <t xml:space="preserve">Benefit:  </t>
        </r>
        <r>
          <rPr>
            <sz val="12"/>
            <color indexed="81"/>
            <rFont val="Times New Roman"/>
            <family val="1"/>
          </rPr>
          <t>Whenever you make a Knowledge check or a bardic knowledge check, roll twice and use the better of the two results.
Feat Bible 458</t>
        </r>
      </text>
    </comment>
    <comment ref="A6" authorId="0" shapeId="0" xr:uid="{00000000-0006-0000-04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9" authorId="0" shapeId="0" xr:uid="{00000000-0006-0000-0400-000006000000}">
      <text>
        <r>
          <rPr>
            <sz val="12"/>
            <color indexed="81"/>
            <rFont val="Times New Roman"/>
            <family val="1"/>
          </rPr>
          <t>Base Knowledge check is DC is 15.
Heroes of Horror 83</t>
        </r>
      </text>
    </comment>
    <comment ref="A10" authorId="0" shapeId="0" xr:uid="{00000000-0006-0000-0400-000007000000}">
      <text>
        <r>
          <rPr>
            <sz val="12"/>
            <color indexed="81"/>
            <rFont val="Times New Roman"/>
            <family val="1"/>
          </rPr>
          <t>Starting at 5th level, the archivist can use his dark knowledge to help his allies fight off the corrupting influence of other creatures.  Allies within 60 feet of the archivist gain a +1 bonus on saving throws against the affected creature’s abilities.  If the archivist succeeds on his Knowledge check by 10 or more, this bonus increases to +2.  If the archivist succeeds on his Knowledge check by 20 or more, this bonus increases to +3.
Heroes of Horror 83</t>
        </r>
      </text>
    </comment>
    <comment ref="A11" authorId="0" shapeId="0" xr:uid="{00000000-0006-0000-0400-000008000000}">
      <text>
        <r>
          <rPr>
            <b/>
            <sz val="12"/>
            <color indexed="81"/>
            <rFont val="Times New Roman"/>
            <family val="1"/>
          </rPr>
          <t xml:space="preserve">Tactics:  </t>
        </r>
        <r>
          <rPr>
            <sz val="12"/>
            <color indexed="81"/>
            <rFont val="Times New Roman"/>
            <family val="1"/>
          </rPr>
          <t>The archivist knows the general combat behaviors of creatures of that race, granting his allies a +1 bonus to attack rolls made against them.  For example, an archivist confronted by corruption eaters who succeeded on his Knowledge (dungeoneering) check would grant his allies the attack bonus against all the corruption eaters they fought in that encounter.
If the archivist succeeds on his Knowledge check by 10 or more, then this bonus increases to +2.  If the archivist succeeds on his Knowledge check by 20 or more, then this bonus increases to +3.
Heroes of Horror 83</t>
        </r>
      </text>
    </comment>
    <comment ref="A12" authorId="0" shapeId="0" xr:uid="{00000000-0006-0000-0400-000009000000}">
      <text>
        <r>
          <rPr>
            <sz val="12"/>
            <color indexed="81"/>
            <rFont val="Times New Roman"/>
            <family val="1"/>
          </rPr>
          <t>Starting at 8th level, an archivist can direct his allies to attack vital spots of his enemies.  On a successful Knowledge check, he grants them a bonus to weapon damage rolls made against the target creatures equal to 1d6 points of damage.  If the archivist succeeds on his Knowledge check by 10 or more, then this bonus increases to 2d6.  If the archivist succeeds on his Knowledge check by 20 or more, then this bonus increases to 3d6.
Heroes of Horror 83</t>
        </r>
      </text>
    </comment>
    <comment ref="A13" authorId="0" shapeId="0" xr:uid="{00000000-0006-0000-0400-00000A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15" authorId="0" shapeId="0" xr:uid="{00000000-0006-0000-0400-00000B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16" authorId="0" shapeId="0" xr:uid="{00000000-0006-0000-0400-00000C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17" authorId="0" shapeId="0" xr:uid="{00000000-0006-0000-0400-00000D00000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A18" authorId="0" shapeId="0" xr:uid="{00000000-0006-0000-0400-00000E000000}">
      <text>
        <r>
          <rPr>
            <b/>
            <sz val="12"/>
            <color indexed="81"/>
            <rFont val="Times New Roman"/>
            <family val="1"/>
          </rPr>
          <t xml:space="preserve">Still Mind (Ex):  </t>
        </r>
        <r>
          <rPr>
            <sz val="12"/>
            <color indexed="81"/>
            <rFont val="Times New Roman"/>
            <family val="1"/>
          </rPr>
          <t>Starting at 4th level, an archivist gains a +2 bonus on saving throws against spells and effects from the school of enchantment, due to his rigorous focus and intense mental discipline.</t>
        </r>
      </text>
    </comment>
    <comment ref="A19" authorId="0" shapeId="0" xr:uid="{00000000-0006-0000-0400-00000F000000}">
      <text>
        <r>
          <rPr>
            <sz val="12"/>
            <color indexed="81"/>
            <rFont val="Times New Roman"/>
            <family val="1"/>
          </rPr>
          <t xml:space="preserve">You can imbue your spells with the raw energy of good.
</t>
        </r>
        <r>
          <rPr>
            <b/>
            <sz val="12"/>
            <color indexed="81"/>
            <rFont val="Times New Roman"/>
            <family val="1"/>
          </rPr>
          <t xml:space="preserve">Prerequisite: </t>
        </r>
        <r>
          <rPr>
            <sz val="12"/>
            <color indexed="81"/>
            <rFont val="Times New Roman"/>
            <family val="1"/>
          </rPr>
          <t xml:space="preserve">Any good alignment.
</t>
        </r>
        <r>
          <rPr>
            <b/>
            <sz val="12"/>
            <color indexed="81"/>
            <rFont val="Times New Roman"/>
            <family val="1"/>
          </rPr>
          <t xml:space="preserve">Benefit: </t>
        </r>
        <r>
          <rPr>
            <sz val="12"/>
            <color indexed="81"/>
            <rFont val="Times New Roman"/>
            <family val="1"/>
          </rPr>
          <t>A spell you modify with this feat gains the good descriptor.  Furthermore, if the spell deals damage, half of the damage (rounded down) results directly from divine power and is therefore not subject to be reduced by resistance or immunity to energy-based attacks.  For example, a consecrated fire storm spell cast by a 16th-level cleric deals 16d6 points of damage, half of which is fire damage and half of which is sheer divine power.  Thus, creatures immune to fire still take damage.  The consecrated spell uses up a spell slot one level higher than the spell’s actual level.
Complete Divine 79</t>
        </r>
      </text>
    </comment>
    <comment ref="A20" authorId="0" shapeId="0" xr:uid="{00000000-0006-0000-0400-000010000000}">
      <text>
        <r>
          <rPr>
            <sz val="12"/>
            <color indexed="81"/>
            <rFont val="Times New Roman"/>
            <family val="1"/>
          </rPr>
          <t>By speaking aloud a dread secret of the target creature, an archivist of 11th level or higher can dazzle a target creature for 1 round.  Unlike other dark knowledge, this ability can be used only against a single creature.  If the archivist succeeds on his Knowledge check by 10 or more, then the target is dazed for 1 round.  If the archivist succeeds on his Knowledge check by 20 or more, then the target is stunned for 1 round (if the target is immune to being stunned but not immune to being dazed, such as most undead, then the archivist can choose to daze the target instead of stunning it).
Heroes of Horror 83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1" authorId="0" shapeId="0" xr:uid="{00000000-0006-0000-0500-000001000000}">
      <text>
        <r>
          <rPr>
            <b/>
            <sz val="12"/>
            <color indexed="81"/>
            <rFont val="Times New Roman"/>
            <family val="1"/>
          </rPr>
          <t xml:space="preserve">Price (Item Level):  </t>
        </r>
        <r>
          <rPr>
            <sz val="12"/>
            <color indexed="81"/>
            <rFont val="Times New Roman"/>
            <family val="1"/>
          </rPr>
          <t xml:space="preserve">See text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varies
</t>
        </r>
        <r>
          <rPr>
            <b/>
            <sz val="12"/>
            <color indexed="81"/>
            <rFont val="Times New Roman"/>
            <family val="1"/>
          </rPr>
          <t xml:space="preserve">Activation:  </t>
        </r>
        <r>
          <rPr>
            <sz val="12"/>
            <color indexed="81"/>
            <rFont val="Times New Roman"/>
            <family val="1"/>
          </rPr>
          <t xml:space="preserve">See text
</t>
        </r>
        <r>
          <rPr>
            <b/>
            <sz val="12"/>
            <color indexed="81"/>
            <rFont val="Times New Roman"/>
            <family val="1"/>
          </rPr>
          <t xml:space="preserve">Weight:  </t>
        </r>
        <r>
          <rPr>
            <sz val="12"/>
            <color indexed="81"/>
            <rFont val="Times New Roman"/>
            <family val="1"/>
          </rPr>
          <t xml:space="preserve">1/4 lb.
This reddish crystal shard is inscribed with arcane symbols, banded with mithral, and hanging from a small silver chain.
An empowered spellshard is keyed to a specific spell of up to 3rd level.  When you cast the attuned spell, you can use your empowered spellshard as a focus in addition to the spell’s normal components (if any).  Doing this empowers the spell (as though using the Empower Spell feat, but with no adjustment to spell level or casting time).
The spellshard is activated as a part of the spellcasting process.  The markings on the shard reveal the spell to which it is attuned to a character who makes a successful DC 30 Spellcraft check.  The prices and levels of empowered spellshards are described on the table below.
Spell Level Price (Item Level)
1st 1,500 gp (5th)
2nd 3,000 gp (7th)
3rd 6,000 gp (10th)
An empowered spellshard functions three times per day.
The school of magic an empowered spellshard radiates is the same as that of the spell to which it is attuned.
</t>
        </r>
        <r>
          <rPr>
            <b/>
            <sz val="12"/>
            <color indexed="81"/>
            <rFont val="Times New Roman"/>
            <family val="1"/>
          </rPr>
          <t xml:space="preserve">Lore:  </t>
        </r>
        <r>
          <rPr>
            <sz val="12"/>
            <color indexed="81"/>
            <rFont val="Times New Roman"/>
            <family val="1"/>
          </rPr>
          <t>These shards were created during the last great war to assist battle mages on the front lines (Knowledge [history] DC 10).  As a result, many empowered spellshards are keyed to destructive evocation spells (Knowledge [history] DC 15).
Magic Item Compendium 96</t>
        </r>
      </text>
    </comment>
    <comment ref="D11" authorId="0" shapeId="0" xr:uid="{00000000-0006-0000-0500-000002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D18" authorId="0" shapeId="0" xr:uid="{00000000-0006-0000-0500-000003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These sleek leather boots lean slightly forward, as if poised to leap.
While wearing dimension stride boots, you gain a +2 competence bonus on Jump checks.  This is a continuous effect and requires no activation.
In addition, the boots have 5 charges, which are renewed each day at dawn.
Spending 1 or more charges allows you to teleport a short distance (with no chance of error).  You must have line of sight and line of effect to your destination.  You can’t use the boots to move into a space occupied by another creature, nor can you teleport into a solid object; if you attempt to do so, the boots’ activation is wasted.  You can bring along objects weighing up to your maximum load, but you can’t bring other creatures.
1 charge: Teleport 20 feet.
3 charges: Teleport 40 feet.
5 charges: Teleport 60 feet.
Magic Item Compendium 94</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1,000 gp (4th)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abjuration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The end of this long silken cord is tied with five different knots.
A dispelling cord is worn wrapped loosely around your chest, its two ends slung over your shoulder.  When you activate a dispelling cord, you gain a +2 competence bonus on any dispel checks you make until the end of your turn.
A dispelling cord functions five times per day.  Each time it is activated, one of the five knots magically unties itself, indicating the uses remaining for the day.
</t>
        </r>
        <r>
          <rPr>
            <b/>
            <sz val="12"/>
            <color indexed="81"/>
            <rFont val="Times New Roman"/>
            <family val="1"/>
          </rPr>
          <t xml:space="preserve">Lore:  </t>
        </r>
        <r>
          <rPr>
            <sz val="12"/>
            <color indexed="81"/>
            <rFont val="Times New Roman"/>
            <family val="1"/>
          </rPr>
          <t>The first dispelling cords were created by an ancient king who wanted to prevent his enemies from having magical dominion over his army.  To ensure magical supremacy, the king ordered his mages into battle armed with dispelling cords (Knowledge [history] DC 15).
Magic Item Compendium 94</t>
        </r>
      </text>
    </comment>
    <comment ref="A7" authorId="0" shapeId="0" xr:uid="{00000000-0006-0000-0600-000003000000}">
      <text>
        <r>
          <rPr>
            <b/>
            <sz val="12"/>
            <color indexed="81"/>
            <rFont val="Times New Roman"/>
            <family val="1"/>
          </rPr>
          <t xml:space="preserve">Price (Item Level):  </t>
        </r>
        <r>
          <rPr>
            <sz val="12"/>
            <color indexed="81"/>
            <rFont val="Times New Roman"/>
            <family val="1"/>
          </rPr>
          <t xml:space="preserve">See text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varies
</t>
        </r>
        <r>
          <rPr>
            <b/>
            <sz val="12"/>
            <color indexed="81"/>
            <rFont val="Times New Roman"/>
            <family val="1"/>
          </rPr>
          <t xml:space="preserve">Activation:  </t>
        </r>
        <r>
          <rPr>
            <sz val="12"/>
            <color indexed="81"/>
            <rFont val="Times New Roman"/>
            <family val="1"/>
          </rPr>
          <t xml:space="preserve">See text
</t>
        </r>
        <r>
          <rPr>
            <b/>
            <sz val="12"/>
            <color indexed="81"/>
            <rFont val="Times New Roman"/>
            <family val="1"/>
          </rPr>
          <t xml:space="preserve">Weight:  </t>
        </r>
        <r>
          <rPr>
            <sz val="12"/>
            <color indexed="81"/>
            <rFont val="Times New Roman"/>
            <family val="1"/>
          </rPr>
          <t xml:space="preserve">1/4 lb.
This reddish crystal shard is inscribed with arcane symbols, banded with mithral, and hanging from a small silver chain.
An empowered spellshard is keyed to a specific spell of up to 3rd level.  When you cast the attuned spell, you can use your empowered spellshard as a focus in addition to the spell’s normal components (if any).  Doing this empowers the spell (as though using the Empower Spell feat, but with no adjustment to spell level or casting time).
The spellshard is activated as a part of the spellcasting process.  The markings on the shard reveal the spell to which it is attuned to a character who makes a successful DC 30 Spellcraft check.  The prices and levels of empowered spellshards are described on the table below.
Spell Level Price (Item Level)
1st 1,500 gp (5th)
2nd 3,000 gp (7th)
3rd 6,000 gp (10th)
An empowered spellshard functions three times per day.
The school of magic an empowered spellshard radiates is the same as that of the spell to which it is attuned.
</t>
        </r>
        <r>
          <rPr>
            <b/>
            <sz val="12"/>
            <color indexed="81"/>
            <rFont val="Times New Roman"/>
            <family val="1"/>
          </rPr>
          <t xml:space="preserve">Lore:  </t>
        </r>
        <r>
          <rPr>
            <sz val="12"/>
            <color indexed="81"/>
            <rFont val="Times New Roman"/>
            <family val="1"/>
          </rPr>
          <t>These shards were created during the last great war to assist battle mages on the front lines (Knowledge [history] DC 10).  As a result, many empowered spellshards are keyed to destructive evocation spells (Knowledge [history] DC 15).
Magic Item Compendium 96</t>
        </r>
      </text>
    </comment>
    <comment ref="A9" authorId="0" shapeId="0" xr:uid="{00000000-0006-0000-0600-000004000000}">
      <text>
        <r>
          <rPr>
            <sz val="12"/>
            <color indexed="81"/>
            <rFont val="Times New Roman"/>
            <family val="1"/>
          </rPr>
          <t>This device is a light cord with a small gem set so that it rests upon the forehead of the wearer.  The headband adds to the wearer’s Intelligence score in the form of an enhancement bonus of +2, +4, or +6. This enhancement bonus does not earn the wearer extra skill points when a new level is attained; use the unenhanced Intelligence bonus to determine skill points.
DMG 258</t>
        </r>
      </text>
    </comment>
    <comment ref="A11" authorId="0" shapeId="0" xr:uid="{00000000-0006-0000-0600-000005000000}">
      <text>
        <r>
          <rPr>
            <b/>
            <sz val="12"/>
            <color indexed="81"/>
            <rFont val="Times New Roman"/>
            <family val="1"/>
          </rPr>
          <t xml:space="preserve">Price (Item Level):  </t>
        </r>
        <r>
          <rPr>
            <sz val="12"/>
            <color indexed="81"/>
            <rFont val="Times New Roman"/>
            <family val="1"/>
          </rPr>
          <t xml:space="preserve">7,500 gp (11th)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evocation
</t>
        </r>
        <r>
          <rPr>
            <b/>
            <sz val="12"/>
            <color indexed="81"/>
            <rFont val="Times New Roman"/>
            <family val="1"/>
          </rPr>
          <t xml:space="preserve">Activation:  </t>
        </r>
        <r>
          <rPr>
            <sz val="12"/>
            <color indexed="81"/>
            <rFont val="Times New Roman"/>
            <family val="1"/>
          </rPr>
          <t>— and swift (command)
This copper ring occasionally emits tiny sparks.
A ring of mystic lightning provides a boost to your electricity-based spells.  When casting spells with the electricity descriptor, you gain a +1 competence bonus to caster level.  This is a continuous effect and requires no activation.
In addition, this ring has 3 charges, which are renewed each day at dawn.
Spending 1 or more charges grants a bonus to the damage dealt by the next electricity spell you cast before the end of your turn.  (If the spell doesn’t normally deal electricity damage, this expenditure has no effect).
1 charge: +2d6 electricity damage.
2 charges: +3d6 electricity damage.
3 charges: +4d6 electricity damage.
Magic Item Compendium 126</t>
        </r>
      </text>
    </comment>
    <comment ref="A16" authorId="0" shapeId="0" xr:uid="{00000000-0006-0000-0600-000006000000}">
      <text>
        <r>
          <rPr>
            <b/>
            <sz val="12"/>
            <color indexed="81"/>
            <rFont val="Times New Roman"/>
            <family val="1"/>
          </rPr>
          <t xml:space="preserve">Price (Item Level):  </t>
        </r>
        <r>
          <rPr>
            <sz val="12"/>
            <color indexed="81"/>
            <rFont val="Times New Roman"/>
            <family val="1"/>
          </rPr>
          <t xml:space="preserve">2,800 gp (7th)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conjuration
</t>
        </r>
        <r>
          <rPr>
            <b/>
            <sz val="12"/>
            <color indexed="81"/>
            <rFont val="Times New Roman"/>
            <family val="1"/>
          </rPr>
          <t xml:space="preserve">Activation:  </t>
        </r>
        <r>
          <rPr>
            <sz val="12"/>
            <color indexed="81"/>
            <rFont val="Times New Roman"/>
            <family val="1"/>
          </rPr>
          <t xml:space="preserve">Move (manipulation); see text
</t>
        </r>
        <r>
          <rPr>
            <b/>
            <sz val="12"/>
            <color indexed="81"/>
            <rFont val="Times New Roman"/>
            <family val="1"/>
          </rPr>
          <t xml:space="preserve">Weight:  </t>
        </r>
        <r>
          <rPr>
            <sz val="12"/>
            <color indexed="81"/>
            <rFont val="Times New Roman"/>
            <family val="1"/>
          </rPr>
          <t>3 lb.
This elaborate mahogany tube has a slit that runs along its length. A wooden dowel, capped on the ends with gold, fi ts against the slit, locking into place with jeweled clasps.
An infinite scrollcase holds up to fifty scrolls or other parchments, which can be placed within it or removed as with any normal scrollcase.  When you activate an infinite scrollcase, the desired scroll unfurls through the slit, ready to read or cast from.  When you cast a spell from a scroll unfurled from an infinite scrollcase, you gain a +4 competence bonus on Concentration checks made to cast that spell defensively.
If you have at least a +1 base attack bonus, you can retrieve a scroll from an infi nite scrollcase as part of a move action, similar to drawing a weapon.
Magic Item Compendium 162</t>
        </r>
      </text>
    </comment>
    <comment ref="A17" authorId="0" shapeId="0" xr:uid="{00000000-0006-0000-0600-000007000000}">
      <text>
        <r>
          <rPr>
            <b/>
            <sz val="12"/>
            <color indexed="81"/>
            <rFont val="Times New Roman"/>
            <family val="1"/>
          </rPr>
          <t xml:space="preserve">Price (Item Level):  </t>
        </r>
        <r>
          <rPr>
            <sz val="12"/>
            <color indexed="81"/>
            <rFont val="Times New Roman"/>
            <family val="1"/>
          </rPr>
          <t xml:space="preserve">9,000 gp (12th) (lesser); 32,500 (16th) (normal); 73,000 (19th) (greater)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Activation:</t>
        </r>
        <r>
          <rPr>
            <sz val="12"/>
            <color indexed="81"/>
            <rFont val="Times New Roman"/>
            <family val="1"/>
          </rPr>
          <t xml:space="preserve">  —
</t>
        </r>
        <r>
          <rPr>
            <b/>
            <sz val="12"/>
            <color indexed="81"/>
            <rFont val="Times New Roman"/>
            <family val="1"/>
          </rPr>
          <t xml:space="preserve">Weight:  </t>
        </r>
        <r>
          <rPr>
            <sz val="12"/>
            <color indexed="81"/>
            <rFont val="Times New Roman"/>
            <family val="1"/>
          </rPr>
          <t>1 lb.
This thick iron rod has a handle wrapped in worn leather, and a small golden icon of an
outstretched hand at its tip.
You can cast up to three spells per day as though their ranges were affected by the Reach Spell feat.
Magic Item Compendium 165</t>
        </r>
      </text>
    </comment>
    <comment ref="A21" authorId="0" shapeId="0" xr:uid="{00000000-0006-0000-0600-00000800000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1 minute or 1 standard action; see text
</t>
        </r>
        <r>
          <rPr>
            <b/>
            <sz val="12"/>
            <color indexed="81"/>
            <rFont val="Times New Roman"/>
            <family val="1"/>
          </rPr>
          <t xml:space="preserve">Weight:  </t>
        </r>
        <r>
          <rPr>
            <sz val="12"/>
            <color indexed="81"/>
            <rFont val="Times New Roman"/>
            <family val="1"/>
          </rPr>
          <t>1 lb.
This small book is bound in hammered silver and engraved with the continents of the world.
A tome of worldly memory allows you to call upon the secret memories of the world to aid you in unlocking forgotten
knowledge.  By studying the book for 1 minute, you gain a +5 competence bonus on a single Knowledge check.  The tome functions three times per day.
If you have at least 5 ranks in the Knowledge skill in question, you need only peruse the book as a standard action to gain its benefit.
Magic Item Compendium 190</t>
        </r>
      </text>
    </comment>
    <comment ref="A24" authorId="0" shapeId="0" xr:uid="{00000000-0006-0000-0600-000009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<sst xmlns="http://schemas.openxmlformats.org/spreadsheetml/2006/main" count="1513" uniqueCount="525">
  <si>
    <t>Kedrik</t>
  </si>
  <si>
    <t>Osvaldur</t>
  </si>
  <si>
    <t>NPC</t>
  </si>
  <si>
    <t>Race:</t>
  </si>
  <si>
    <t>Whisper Gnome</t>
  </si>
  <si>
    <t>Sex:</t>
  </si>
  <si>
    <t>Male</t>
  </si>
  <si>
    <t>Archivist</t>
  </si>
  <si>
    <t>Damara</t>
  </si>
  <si>
    <t>Oghma</t>
  </si>
  <si>
    <t>3’ 5”</t>
  </si>
  <si>
    <t>Lawful Good</t>
  </si>
  <si>
    <t>43 lbs.</t>
  </si>
  <si>
    <t>Initiative:</t>
  </si>
  <si>
    <t>30’</t>
  </si>
  <si>
    <t>Strength:</t>
  </si>
  <si>
    <t>+0</t>
  </si>
  <si>
    <t>Dexterity:</t>
  </si>
  <si>
    <t>Constitution:</t>
  </si>
  <si>
    <t>Hit Points:</t>
  </si>
  <si>
    <t>Intelligence:</t>
  </si>
  <si>
    <t>Wisdom:</t>
  </si>
  <si>
    <t>Charisma:</t>
  </si>
  <si>
    <t>AC:</t>
  </si>
  <si>
    <t>Personality, History, and Notes</t>
  </si>
  <si>
    <r>
      <t>29</t>
    </r>
    <r>
      <rPr>
        <sz val="13"/>
        <rFont val="Times New Roman"/>
        <family val="1"/>
      </rPr>
      <t>/</t>
    </r>
    <r>
      <rPr>
        <sz val="13"/>
        <color indexed="51"/>
        <rFont val="Times New Roman"/>
        <family val="1"/>
      </rPr>
      <t>57</t>
    </r>
    <r>
      <rPr>
        <sz val="13"/>
        <rFont val="Times New Roman"/>
        <family val="1"/>
      </rPr>
      <t>/</t>
    </r>
    <r>
      <rPr>
        <sz val="13"/>
        <color indexed="10"/>
        <rFont val="Times New Roman"/>
        <family val="1"/>
      </rPr>
      <t>86</t>
    </r>
  </si>
  <si>
    <t>Skills</t>
  </si>
  <si>
    <t>Skill/Save</t>
  </si>
  <si>
    <t>Rank</t>
  </si>
  <si>
    <t>Ability</t>
  </si>
  <si>
    <t>Mod.</t>
  </si>
  <si>
    <t>Ability &amp; Mod.</t>
  </si>
  <si>
    <t>Misc. Mods.</t>
  </si>
  <si>
    <t>Total</t>
  </si>
  <si>
    <t>Roll</t>
  </si>
  <si>
    <t>Check</t>
  </si>
  <si>
    <t>Notes</t>
  </si>
  <si>
    <t>Fortitude</t>
  </si>
  <si>
    <t>Reflex</t>
  </si>
  <si>
    <t>Dex</t>
  </si>
  <si>
    <t>Will</t>
  </si>
  <si>
    <t>+2 vs. Enchantment &amp; Illusions</t>
  </si>
  <si>
    <t>Appraise</t>
  </si>
  <si>
    <t>0</t>
  </si>
  <si>
    <t>Balance</t>
  </si>
  <si>
    <t>Bluff</t>
  </si>
  <si>
    <t>Climb</t>
  </si>
  <si>
    <t>Concentration</t>
  </si>
  <si>
    <t>Craft:  (type)</t>
  </si>
  <si>
    <t>Decipher Script</t>
  </si>
  <si>
    <t>2</t>
  </si>
  <si>
    <t>Diplomacy</t>
  </si>
  <si>
    <t>Disable Device</t>
  </si>
  <si>
    <t>Disguise</t>
  </si>
  <si>
    <t>Escape Artist</t>
  </si>
  <si>
    <t>Forgery</t>
  </si>
  <si>
    <t>Gather Information</t>
  </si>
  <si>
    <t>Handle Animal</t>
  </si>
  <si>
    <t>Heal</t>
  </si>
  <si>
    <t>Hide</t>
  </si>
  <si>
    <t>Intimidate</t>
  </si>
  <si>
    <t>Jump</t>
  </si>
  <si>
    <t>Knowledge:  Arcana</t>
  </si>
  <si>
    <t>Trivial Knowledge, best of 2 rolls</t>
  </si>
  <si>
    <t>Knowledge:  Archit./Engin.</t>
  </si>
  <si>
    <t>Knowledge:  Dungeoneering</t>
  </si>
  <si>
    <t>Knowledge:  History</t>
  </si>
  <si>
    <t>Knowledge:  Local</t>
  </si>
  <si>
    <t>Knowledge:  Nobility &amp; Royalty</t>
  </si>
  <si>
    <t>Knowledge:  Nature</t>
  </si>
  <si>
    <t>Knowledge:  The Planes</t>
  </si>
  <si>
    <t>Knowledge:  Religion</t>
  </si>
  <si>
    <t>Listen</t>
  </si>
  <si>
    <t>Move Silently</t>
  </si>
  <si>
    <t>Open Lock</t>
  </si>
  <si>
    <t>Perform:  (type)</t>
  </si>
  <si>
    <t>Profession:  (type)</t>
  </si>
  <si>
    <t>Ride</t>
  </si>
  <si>
    <t>Search</t>
  </si>
  <si>
    <t>Sense Motive</t>
  </si>
  <si>
    <t>Sleight of Hand</t>
  </si>
  <si>
    <t>Speak Language</t>
  </si>
  <si>
    <t>Spellcraft</t>
  </si>
  <si>
    <t>Spot</t>
  </si>
  <si>
    <t>Survival</t>
  </si>
  <si>
    <t>Swim</t>
  </si>
  <si>
    <t>Tumble</t>
  </si>
  <si>
    <t>Use Magic Device</t>
  </si>
  <si>
    <t>Use Rope</t>
  </si>
  <si>
    <t>Archivist 1</t>
  </si>
  <si>
    <t>Archivist 2</t>
  </si>
  <si>
    <t>Archivist 3</t>
  </si>
  <si>
    <t>Archivist 4</t>
  </si>
  <si>
    <t>Archivist 5</t>
  </si>
  <si>
    <t>Archivist 6</t>
  </si>
  <si>
    <t>Archivist 7</t>
  </si>
  <si>
    <t>Archivist 8</t>
  </si>
  <si>
    <t>Archivist 9</t>
  </si>
  <si>
    <t>Archivist 10</t>
  </si>
  <si>
    <t>Spells in Prayerbook</t>
  </si>
  <si>
    <t>Spell</t>
  </si>
  <si>
    <t>Level</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</si>
  <si>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</si>
  <si>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</si>
  <si>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</si>
  <si>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</si>
  <si>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</si>
  <si>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</si>
  <si>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</si>
  <si>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</si>
  <si>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</si>
  <si>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</si>
  <si>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</si>
  <si>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</si>
  <si>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</si>
  <si>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</si>
  <si>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</si>
  <si>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</si>
  <si>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</si>
  <si>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</si>
  <si>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</si>
  <si>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Universal</t>
  </si>
  <si>
    <t>Touch</t>
  </si>
  <si>
    <t>Detect Magic</t>
  </si>
  <si>
    <t>60’</t>
  </si>
  <si>
    <t>1 min/lvl</t>
  </si>
  <si>
    <t>Detect Poison</t>
  </si>
  <si>
    <t>Divination</t>
  </si>
  <si>
    <t>Guidance</t>
  </si>
  <si>
    <t>1 minute</t>
  </si>
  <si>
    <t>Light</t>
  </si>
  <si>
    <t>Evocation</t>
  </si>
  <si>
    <t>V M/DF</t>
  </si>
  <si>
    <t>Mending</t>
  </si>
  <si>
    <t>10’</t>
  </si>
  <si>
    <t>Message</t>
  </si>
  <si>
    <t>V S F</t>
  </si>
  <si>
    <t>100’ + 10’/lvl</t>
  </si>
  <si>
    <t>Preserve Organ</t>
  </si>
  <si>
    <t>Necromancy</t>
  </si>
  <si>
    <t>V S DF</t>
  </si>
  <si>
    <t>10 minutes</t>
  </si>
  <si>
    <t>24 hours</t>
  </si>
  <si>
    <t>Book of Vile Darkness</t>
  </si>
  <si>
    <t>Purify Food &amp; Drink</t>
  </si>
  <si>
    <t>Read Magic</t>
  </si>
  <si>
    <t>Personal</t>
  </si>
  <si>
    <t>Resistance</t>
  </si>
  <si>
    <t>Abjuration</t>
  </si>
  <si>
    <t>V S M/DF</t>
  </si>
  <si>
    <t>Summon Holy Symbol</t>
  </si>
  <si>
    <t>0’</t>
  </si>
  <si>
    <t>1 rnd/lvl</t>
  </si>
  <si>
    <t>Complete Champion</t>
  </si>
  <si>
    <t>Virtue</t>
  </si>
  <si>
    <t>Bless</t>
  </si>
  <si>
    <t>Enchantment</t>
  </si>
  <si>
    <t>50’</t>
  </si>
  <si>
    <t>Bless Water</t>
  </si>
  <si>
    <t>V S M</t>
  </si>
  <si>
    <t>Burial Blessing</t>
  </si>
  <si>
    <t>V S M XP</t>
  </si>
  <si>
    <t>Permanent</t>
  </si>
  <si>
    <t>Defenders of the Faith</t>
  </si>
  <si>
    <t>Command</t>
  </si>
  <si>
    <t>V</t>
  </si>
  <si>
    <t>1 round</t>
  </si>
  <si>
    <t>Comprehend Languages</t>
  </si>
  <si>
    <t>Conjure Ice Beast I</t>
  </si>
  <si>
    <t>1 FR</t>
  </si>
  <si>
    <t>Frostburn</t>
  </si>
  <si>
    <t>Cure Light Wounds</t>
  </si>
  <si>
    <t>Deathwatch</t>
  </si>
  <si>
    <t>Detect Animals/Plants</t>
  </si>
  <si>
    <t>400’ + 40’/lvl</t>
  </si>
  <si>
    <t>Detect Evil/Chaos/Law</t>
  </si>
  <si>
    <t>Detect Secret Doors</t>
  </si>
  <si>
    <t>Detect Undead</t>
  </si>
  <si>
    <t>40’</t>
  </si>
  <si>
    <t>Divine Favor</t>
  </si>
  <si>
    <t>Divine Inspiration</t>
  </si>
  <si>
    <t>Sacrifice</t>
  </si>
  <si>
    <t>1d4 rnds</t>
  </si>
  <si>
    <t>Book of Exalted Deeds</t>
  </si>
  <si>
    <t>Endure Elements</t>
  </si>
  <si>
    <t>Entangle</t>
  </si>
  <si>
    <t>Eyes of the Avoral</t>
  </si>
  <si>
    <t>V S F DF</t>
  </si>
  <si>
    <t>1 hr/lvl</t>
  </si>
  <si>
    <t>Grave Strike</t>
  </si>
  <si>
    <t>V DF</t>
  </si>
  <si>
    <t>Swift</t>
  </si>
  <si>
    <t>Complete Adventurer</t>
  </si>
  <si>
    <t>Guiding Light</t>
  </si>
  <si>
    <t>Healthful Rest</t>
  </si>
  <si>
    <t>Hide from Undead</t>
  </si>
  <si>
    <t>Impede</t>
  </si>
  <si>
    <t>Light of Lunia</t>
  </si>
  <si>
    <t>Planar Handbook</t>
  </si>
  <si>
    <t>Magic Stone</t>
  </si>
  <si>
    <t>30 minutes</t>
  </si>
  <si>
    <t>Magic Weapon</t>
  </si>
  <si>
    <t>V S F/DF</t>
  </si>
  <si>
    <t>Nightshield</t>
  </si>
  <si>
    <t>Nimbus of Light</t>
  </si>
  <si>
    <t>Complete Divine</t>
  </si>
  <si>
    <t>Obscuring Mist</t>
  </si>
  <si>
    <t>30’ radius</t>
  </si>
  <si>
    <t>Omen of Peril</t>
  </si>
  <si>
    <t>V F</t>
  </si>
  <si>
    <t>Protection from Chaos</t>
  </si>
  <si>
    <t>Protection from Evil</t>
  </si>
  <si>
    <t>Remove Fear</t>
  </si>
  <si>
    <t>Resist Planar Alignment</t>
  </si>
  <si>
    <t>Sanctuary</t>
  </si>
  <si>
    <t>Shield of Faith</t>
  </si>
  <si>
    <t>Spell Flower</t>
  </si>
  <si>
    <t>Summon Monster I</t>
  </si>
  <si>
    <t>Summon Nature’s Ally I</t>
  </si>
  <si>
    <t>Summon Undead I</t>
  </si>
  <si>
    <t>Libris Mortis</t>
  </si>
  <si>
    <t>Vigor, Lesser</t>
  </si>
  <si>
    <t>special</t>
  </si>
  <si>
    <t>Vision of Heaven</t>
  </si>
  <si>
    <t>Aid</t>
  </si>
  <si>
    <t>Augury</t>
  </si>
  <si>
    <t>Cure Moderate Wounds</t>
  </si>
  <si>
    <t>Find Traps</t>
  </si>
  <si>
    <t>Flaming Sphere</t>
  </si>
  <si>
    <t>Gembomb</t>
  </si>
  <si>
    <t>Special</t>
  </si>
  <si>
    <t>FRCS</t>
  </si>
  <si>
    <t>Identify</t>
  </si>
  <si>
    <t>Restoration, Lesser</t>
  </si>
  <si>
    <t>Silence</t>
  </si>
  <si>
    <t>Illusion</t>
  </si>
  <si>
    <t>Spiritual Weapon</t>
  </si>
  <si>
    <t>Summon Monster II</t>
  </si>
  <si>
    <t>Summon Nature’s Ally II</t>
  </si>
  <si>
    <t>Call Lightning</t>
  </si>
  <si>
    <t>Dispel Magic</t>
  </si>
  <si>
    <t>Flame of Faith</t>
  </si>
  <si>
    <t>Footsteps of the Divine</t>
  </si>
  <si>
    <t>Heart’s Ease</t>
  </si>
  <si>
    <t>Inspired Aim</t>
  </si>
  <si>
    <t>Stone Shape</t>
  </si>
  <si>
    <t>Summon Nature’s Ally III</t>
  </si>
  <si>
    <t>Castigate</t>
  </si>
  <si>
    <t>Celestial Brilliance</t>
  </si>
  <si>
    <t>1 day/lvl</t>
  </si>
  <si>
    <t>Death Ward</t>
  </si>
  <si>
    <t>Divine Storm</t>
  </si>
  <si>
    <t>Freedom of Movement</t>
  </si>
  <si>
    <t>Restoration</t>
  </si>
  <si>
    <t>Bear’s Heart</t>
  </si>
  <si>
    <t>20’</t>
  </si>
  <si>
    <t>Break Enchantment</t>
  </si>
  <si>
    <t>Chaav’s Laugh</t>
  </si>
  <si>
    <t>Dispel Evil</t>
  </si>
  <si>
    <t>Flame Strike</t>
  </si>
  <si>
    <t>Greater Command</t>
  </si>
  <si>
    <t>Summon Undead V</t>
  </si>
  <si>
    <t>Chasing Perfection</t>
  </si>
  <si>
    <t>PHB II</t>
  </si>
  <si>
    <t>Dispel Magic, Greater</t>
  </si>
  <si>
    <t>Planar Ally</t>
  </si>
  <si>
    <t>Touch of Adamantine</t>
  </si>
  <si>
    <t>Daily Prayers</t>
  </si>
  <si>
    <t>Illus.</t>
  </si>
  <si>
    <t>DC</t>
  </si>
  <si>
    <t>Cast?</t>
  </si>
  <si>
    <t>Detect Evil</t>
  </si>
  <si>
    <t>Hold Person</t>
  </si>
  <si>
    <t>Whisper Gnome Spells</t>
  </si>
  <si>
    <t>Ghost Sound</t>
  </si>
  <si>
    <t>Mage Hand</t>
  </si>
  <si>
    <t>Silence (on self)</t>
  </si>
  <si>
    <t>Prayers per Day</t>
  </si>
  <si>
    <t>Daily Spells by Level</t>
  </si>
  <si>
    <t>0th</t>
  </si>
  <si>
    <t>1st</t>
  </si>
  <si>
    <t>2nd</t>
  </si>
  <si>
    <t>3rd</t>
  </si>
  <si>
    <t>4th</t>
  </si>
  <si>
    <t>5th</t>
  </si>
  <si>
    <t>6th</t>
  </si>
  <si>
    <t>7th</t>
  </si>
  <si>
    <t>8th</t>
  </si>
  <si>
    <t>9th</t>
  </si>
  <si>
    <t>Archivist Spells</t>
  </si>
  <si>
    <t>Intelligence Bonus</t>
  </si>
  <si>
    <t>Total Daily Spells</t>
  </si>
  <si>
    <t>Feats</t>
  </si>
  <si>
    <t>Languages</t>
  </si>
  <si>
    <t xml:space="preserve">Common, Gnomish, </t>
  </si>
  <si>
    <t>Elven, Dwarven, Draconic</t>
  </si>
  <si>
    <t>Speak with Burrowing Animals 1/day</t>
  </si>
  <si>
    <t>Racial Abilities</t>
  </si>
  <si>
    <t>Low-light Vision</t>
  </si>
  <si>
    <t>Archivist Features</t>
  </si>
  <si>
    <t>Darkvision 60’</t>
  </si>
  <si>
    <t>+1 vs. kobolds &amp; goblinoids</t>
  </si>
  <si>
    <t>Dark Knowledge (puissance)</t>
  </si>
  <si>
    <t>+4 dodge vs. Giant type</t>
  </si>
  <si>
    <t>Dark Knowledge (tactics)</t>
  </si>
  <si>
    <t>Weapon Proficiencies</t>
  </si>
  <si>
    <t>Dark Knowledge (foe)</t>
  </si>
  <si>
    <t>Simple Weapons</t>
  </si>
  <si>
    <t>Light and Medium Armor</t>
  </si>
  <si>
    <t>Scribe Scroll</t>
  </si>
  <si>
    <t>Still Mind</t>
  </si>
  <si>
    <t>Weapons and Armor</t>
  </si>
  <si>
    <t>Melee Weapon</t>
  </si>
  <si>
    <t>Dmg</t>
  </si>
  <si>
    <t>D+</t>
  </si>
  <si>
    <t>TH+</t>
  </si>
  <si>
    <t>Critical</t>
  </si>
  <si>
    <t>Type</t>
  </si>
  <si>
    <t>Wt.</t>
  </si>
  <si>
    <t>Atk</t>
  </si>
  <si>
    <t>Value</t>
  </si>
  <si>
    <t>1d4</t>
  </si>
  <si>
    <t>x2</t>
  </si>
  <si>
    <t>Bludgeon</t>
  </si>
  <si>
    <t>1d3</t>
  </si>
  <si>
    <t>1</t>
  </si>
  <si>
    <t>19-20, x2</t>
  </si>
  <si>
    <t>Prcg/Slash</t>
  </si>
  <si>
    <t>bypasses concealment</t>
  </si>
  <si>
    <t>Spiritual Longsword</t>
  </si>
  <si>
    <t>1d8</t>
  </si>
  <si>
    <t>Slashing</t>
  </si>
  <si>
    <t>-</t>
  </si>
  <si>
    <t>Touch Attack</t>
  </si>
  <si>
    <t>varies</t>
  </si>
  <si>
    <t>Ranged Weapon</t>
  </si>
  <si>
    <t>Dmg.</t>
  </si>
  <si>
    <t>Rng.</t>
  </si>
  <si>
    <t>Ranged Touch Spells</t>
  </si>
  <si>
    <t>Bypass Spell Resistance</t>
  </si>
  <si>
    <t>120’</t>
  </si>
  <si>
    <t>1d6</t>
  </si>
  <si>
    <t>Armor &amp; Shield</t>
  </si>
  <si>
    <t>AC Mod.</t>
  </si>
  <si>
    <t>Arcane</t>
  </si>
  <si>
    <t>Speed</t>
  </si>
  <si>
    <t>Hammerblock Mithral Chain Shirt +2</t>
  </si>
  <si>
    <t>Treated as light armor; DR 5/piercing and slashing</t>
  </si>
  <si>
    <t>Ring of Protection +2</t>
  </si>
  <si>
    <t>Barkskin</t>
  </si>
  <si>
    <t>two</t>
  </si>
  <si>
    <t>BAB:</t>
  </si>
  <si>
    <t>Missiles</t>
  </si>
  <si>
    <t>Qty.</t>
  </si>
  <si>
    <t>Electric Bolts</t>
  </si>
  <si>
    <t>Sonic Bolts</t>
  </si>
  <si>
    <t>Cold Bolts</t>
  </si>
  <si>
    <t>Bolts</t>
  </si>
  <si>
    <t>Scrolls and Potions</t>
  </si>
  <si>
    <t>CLev</t>
  </si>
  <si>
    <t>Scroll of Detect Poison</t>
  </si>
  <si>
    <t>Scroll of Mending</t>
  </si>
  <si>
    <t>Scroll of Resistance</t>
  </si>
  <si>
    <t>Scroll of Comprehend Languages</t>
  </si>
  <si>
    <t>Scroll of Detect Undead</t>
  </si>
  <si>
    <t>Scroll of Divine Favor</t>
  </si>
  <si>
    <t>Scroll of Stone Shape</t>
  </si>
  <si>
    <t>Scroll of Endure Elements</t>
  </si>
  <si>
    <t>Scroll of Entangle</t>
  </si>
  <si>
    <t>Scroll of Hide from Undead</t>
  </si>
  <si>
    <t>Scroll of Sanctuary</t>
  </si>
  <si>
    <t>Scroll of Shield of Faith</t>
  </si>
  <si>
    <t>Scroll of Shillelagh</t>
  </si>
  <si>
    <t>Scroll of Summon Monster I</t>
  </si>
  <si>
    <t>Scroll of Barkskin</t>
  </si>
  <si>
    <t>Scroll of Fire Trap</t>
  </si>
  <si>
    <t>Scroll of Flame Blade</t>
  </si>
  <si>
    <t>Scroll of Flaming Sphere</t>
  </si>
  <si>
    <t>Scroll of Summon Monster II</t>
  </si>
  <si>
    <t>Wand of Cure Moderate Wounds</t>
  </si>
  <si>
    <t>Equipment Worn</t>
  </si>
  <si>
    <t>Item</t>
  </si>
  <si>
    <t>Effects/</t>
  </si>
  <si>
    <t>Sacks</t>
  </si>
  <si>
    <t>Cloak of Resistance +3</t>
  </si>
  <si>
    <t>Equipment Carried</t>
  </si>
  <si>
    <t>Sunrod</t>
  </si>
  <si>
    <t>Rope, 50’ Hemp</t>
  </si>
  <si>
    <t>Trail Rations</t>
  </si>
  <si>
    <t xml:space="preserve">Spare Notebook </t>
  </si>
  <si>
    <t xml:space="preserve">Waterskin </t>
  </si>
  <si>
    <t>Bedroll</t>
  </si>
  <si>
    <t>Candles</t>
  </si>
  <si>
    <t>Chalk</t>
  </si>
  <si>
    <t>Crossbow Bolts</t>
  </si>
  <si>
    <t>Everburn Torch</t>
  </si>
  <si>
    <t>Flint &amp; Steel</t>
  </si>
  <si>
    <t>Ink (1 oz. vial)</t>
  </si>
  <si>
    <t>Inkpen</t>
  </si>
  <si>
    <t>Light Military Saddle</t>
  </si>
  <si>
    <t>Oil</t>
  </si>
  <si>
    <t>Paper</t>
  </si>
  <si>
    <t>Saddlebags</t>
  </si>
  <si>
    <t>Dog Encumbrance:</t>
  </si>
  <si>
    <t>Total Equity:</t>
  </si>
  <si>
    <t>Archivist 11</t>
  </si>
  <si>
    <t>Archivist Level</t>
  </si>
  <si>
    <t>Mount:  Riding Dog “Barge”</t>
  </si>
  <si>
    <t>Tomorrow’s Prayers</t>
  </si>
  <si>
    <t>Stash:  Shipshape Way</t>
  </si>
  <si>
    <t>Mount</t>
  </si>
  <si>
    <t>Dog</t>
  </si>
  <si>
    <t>+3</t>
  </si>
  <si>
    <t>Moonshae Wolfhound</t>
  </si>
  <si>
    <t>Size:</t>
  </si>
  <si>
    <t>Medium</t>
  </si>
  <si>
    <t>Speed:</t>
  </si>
  <si>
    <t>12</t>
  </si>
  <si>
    <t>19</t>
  </si>
  <si>
    <t>Fort:</t>
  </si>
  <si>
    <t>Ref:</t>
  </si>
  <si>
    <t>5</t>
  </si>
  <si>
    <t>Will:</t>
  </si>
  <si>
    <t>Barge</t>
  </si>
  <si>
    <t>Detect Chaos</t>
  </si>
  <si>
    <t>Dark Knowledge 7/day</t>
  </si>
  <si>
    <t>Archivist 12</t>
  </si>
  <si>
    <t>Headband of Intellect +2</t>
  </si>
  <si>
    <t>Ioun Stone</t>
  </si>
  <si>
    <t>+2 to Int</t>
  </si>
  <si>
    <t>Infinite Scroll Case</t>
  </si>
  <si>
    <t>Tome of Worldly Memory</t>
  </si>
  <si>
    <t>50-scroll limit</t>
  </si>
  <si>
    <t>3/day +5 to Knowledge check</t>
  </si>
  <si>
    <t>Ring of Mystic Lightning</t>
  </si>
  <si>
    <t>+1 to CL for lightning spells</t>
  </si>
  <si>
    <t>Metamagic Rod of Reach</t>
  </si>
  <si>
    <t>30’ range for touch spells</t>
  </si>
  <si>
    <t>Dispelling Cord</t>
  </si>
  <si>
    <t>5/day +2 to Dispel Checks</t>
  </si>
  <si>
    <t>Dimension Stride Boots</t>
  </si>
  <si>
    <t>Electric</t>
  </si>
  <si>
    <t>MW Dagger</t>
  </si>
  <si>
    <t>Empowered Spellshard, 3rd</t>
  </si>
  <si>
    <r>
      <t xml:space="preserve">Boosts </t>
    </r>
    <r>
      <rPr>
        <b/>
        <i/>
        <sz val="12"/>
        <rFont val="Times New Roman"/>
        <family val="1"/>
      </rPr>
      <t xml:space="preserve">call lightning </t>
    </r>
    <r>
      <rPr>
        <sz val="12"/>
        <rFont val="Times New Roman"/>
        <family val="1"/>
      </rPr>
      <t>by 50%</t>
    </r>
  </si>
  <si>
    <t>7d6</t>
  </si>
  <si>
    <r>
      <rPr>
        <i/>
        <sz val="12"/>
        <rFont val="Times New Roman"/>
        <family val="1"/>
      </rPr>
      <t xml:space="preserve">Call lightning </t>
    </r>
    <r>
      <rPr>
        <sz val="12"/>
        <rFont val="Times New Roman"/>
        <family val="1"/>
      </rPr>
      <t>Spell</t>
    </r>
  </si>
  <si>
    <t>4</t>
  </si>
  <si>
    <t>+4 to Concentration (cast def)</t>
  </si>
  <si>
    <t>Detect Law</t>
  </si>
  <si>
    <t>Eternal Wand</t>
  </si>
  <si>
    <t>CHOOSE 3RD-LEVEL SPELL</t>
  </si>
  <si>
    <t>q</t>
  </si>
  <si>
    <t>all</t>
  </si>
  <si>
    <t>V S M/DF F</t>
  </si>
  <si>
    <t>1 hour</t>
  </si>
  <si>
    <t>1st: Academic Priest</t>
  </si>
  <si>
    <t>3rd: Archivist of Nature</t>
  </si>
  <si>
    <t>6th: Draconic Archivist</t>
  </si>
  <si>
    <t>9th: Trivial Knowledge</t>
  </si>
  <si>
    <t>12th: Weapon Focus: Ranged Spell</t>
  </si>
  <si>
    <t>2nd: Lore Mastery: Arcana</t>
  </si>
  <si>
    <t>7th: Lore Mastery: Nobility &amp; Royalty</t>
  </si>
  <si>
    <t>13th: Lore Mastery: Dungeoneering</t>
  </si>
  <si>
    <t>10th [Bonus Feat]: Consecrate Spell</t>
  </si>
  <si>
    <t>11th: Dark Knowlede: Dread Secret</t>
  </si>
  <si>
    <t>2nd Attack</t>
  </si>
  <si>
    <t>Seeking Light Crossbow +2</t>
  </si>
  <si>
    <t>Blackthorn Shillelagh +2</t>
  </si>
  <si>
    <t>Diamond Spray</t>
  </si>
  <si>
    <t>Scrying</t>
  </si>
  <si>
    <t>Prayer</t>
  </si>
  <si>
    <r>
      <t xml:space="preserve">+1 </t>
    </r>
    <r>
      <rPr>
        <i/>
        <sz val="13"/>
        <rFont val="Times New Roman"/>
        <family val="1"/>
      </rPr>
      <t>haste</t>
    </r>
  </si>
  <si>
    <t>Armor Insulation</t>
  </si>
  <si>
    <t>Fur Clothing</t>
  </si>
  <si>
    <t>Cold Weather Outfit</t>
  </si>
  <si>
    <t>seven</t>
  </si>
  <si>
    <t>x1½</t>
  </si>
  <si>
    <t>Scroll of Message</t>
  </si>
  <si>
    <t>3/day add elect. dmg</t>
  </si>
  <si>
    <t>Holy Transformation</t>
  </si>
  <si>
    <t>Restoration, Mass</t>
  </si>
  <si>
    <t>Radiant Assault</t>
  </si>
  <si>
    <t>Race</t>
  </si>
  <si>
    <t>Class</t>
  </si>
  <si>
    <t>Region</t>
  </si>
  <si>
    <t>Deity</t>
  </si>
  <si>
    <t>Alignment</t>
  </si>
  <si>
    <t>Attack Bonus</t>
  </si>
  <si>
    <t>Initiative</t>
  </si>
  <si>
    <t>Strength</t>
  </si>
  <si>
    <t>Dexterity</t>
  </si>
  <si>
    <t>Constitution</t>
  </si>
  <si>
    <t>Intelligence</t>
  </si>
  <si>
    <t>Wisdom</t>
  </si>
  <si>
    <t>Charisma</t>
  </si>
  <si>
    <t>Sex</t>
  </si>
  <si>
    <t>Age</t>
  </si>
  <si>
    <t>Height</t>
  </si>
  <si>
    <t>Weight</t>
  </si>
  <si>
    <t>Grapple</t>
  </si>
  <si>
    <t>Base Speed</t>
  </si>
  <si>
    <t>Lb. Capacity</t>
  </si>
  <si>
    <t>Lb. Carried</t>
  </si>
  <si>
    <t>Hit Points</t>
  </si>
  <si>
    <t>Touch AC</t>
  </si>
  <si>
    <t>FF AC</t>
  </si>
  <si>
    <t>AC</t>
  </si>
  <si>
    <t>Glyph of Warding, Greater</t>
  </si>
  <si>
    <r>
      <rPr>
        <b/>
        <i/>
        <sz val="16"/>
        <color rgb="FF0000FF"/>
        <rFont val="Times New Roman"/>
        <family val="1"/>
      </rPr>
      <t xml:space="preserve">Minimum </t>
    </r>
    <r>
      <rPr>
        <i/>
        <sz val="16"/>
        <color rgb="FF0000FF"/>
        <rFont val="Times New Roman"/>
        <family val="1"/>
      </rPr>
      <t>Known Prayers</t>
    </r>
  </si>
  <si>
    <t>6 charges</t>
  </si>
  <si>
    <t>9 bolts remaining</t>
  </si>
  <si>
    <t>three</t>
  </si>
  <si>
    <t>Heward’s Handy Haversack</t>
  </si>
  <si>
    <t>?</t>
  </si>
  <si>
    <t>Books on Superstition</t>
  </si>
  <si>
    <t>Books on Dark Knowledge</t>
  </si>
  <si>
    <t>Records of Previous Cases</t>
  </si>
  <si>
    <t>*</t>
  </si>
  <si>
    <t>Atlases</t>
  </si>
  <si>
    <t>City Watch Documents</t>
  </si>
  <si>
    <t>Personal Documents</t>
  </si>
  <si>
    <t>Dictionaries, Polyglot</t>
  </si>
  <si>
    <t>Spare Clothing</t>
  </si>
  <si>
    <t>Scroll of Teleport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</si>
</sst>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0" x14ac:knownFonts="1">
    <font>
      <sz val="12"/>
      <color theme="1"/>
      <name val="Times New Roman"/>
      <family val="2"/>
    </font>
    <font>
      <sz val="12"/>
      <color theme="1"/>
      <name val="Times New Roman"/>
      <family val="2"/>
    </font>
    <font>
      <i/>
      <sz val="22"/>
      <color rgb="FFFFC000"/>
      <name val="Times New Roman"/>
      <family val="1"/>
    </font>
    <font>
      <i/>
      <sz val="22"/>
      <color indexed="17"/>
      <name val="Times New Roman"/>
      <family val="1"/>
    </font>
    <font>
      <b/>
      <sz val="12"/>
      <name val="Times New Roman"/>
      <family val="1"/>
    </font>
    <font>
      <sz val="12"/>
      <name val="Times New Roman"/>
      <family val="1"/>
    </font>
    <font>
      <u/>
      <sz val="12"/>
      <color indexed="12"/>
      <name val="Times New Roman"/>
      <family val="1"/>
    </font>
    <font>
      <i/>
      <sz val="12"/>
      <color indexed="42"/>
      <name val="Times New Roman"/>
      <family val="1"/>
    </font>
    <font>
      <b/>
      <sz val="13"/>
      <name val="Times New Roman"/>
      <family val="1"/>
    </font>
    <font>
      <sz val="13"/>
      <name val="Times New Roman"/>
      <family val="1"/>
    </font>
    <font>
      <b/>
      <sz val="13"/>
      <color indexed="10"/>
      <name val="Times New Roman"/>
      <family val="1"/>
    </font>
    <font>
      <sz val="13"/>
      <color indexed="23"/>
      <name val="Times New Roman"/>
      <family val="1"/>
    </font>
    <font>
      <sz val="13"/>
      <color indexed="17"/>
      <name val="Times New Roman"/>
      <family val="1"/>
    </font>
    <font>
      <sz val="13"/>
      <color indexed="51"/>
      <name val="Times New Roman"/>
      <family val="1"/>
    </font>
    <font>
      <sz val="13"/>
      <color indexed="10"/>
      <name val="Times New Roman"/>
      <family val="1"/>
    </font>
    <font>
      <sz val="12"/>
      <color indexed="81"/>
      <name val="Times New Roman"/>
      <family val="1"/>
    </font>
    <font>
      <b/>
      <sz val="13"/>
      <color indexed="46"/>
      <name val="Times New Roman"/>
      <family val="1"/>
    </font>
    <font>
      <b/>
      <sz val="13"/>
      <color indexed="12"/>
      <name val="Times New Roman"/>
      <family val="1"/>
    </font>
    <font>
      <b/>
      <sz val="13"/>
      <color rgb="FF00CC00"/>
      <name val="Times New Roman"/>
      <family val="1"/>
    </font>
    <font>
      <b/>
      <sz val="13"/>
      <color indexed="17"/>
      <name val="Times New Roman"/>
      <family val="1"/>
    </font>
    <font>
      <b/>
      <sz val="13"/>
      <color indexed="51"/>
      <name val="Times New Roman"/>
      <family val="1"/>
    </font>
    <font>
      <b/>
      <sz val="13"/>
      <color indexed="52"/>
      <name val="Times New Roman"/>
      <family val="1"/>
    </font>
    <font>
      <b/>
      <sz val="18"/>
      <name val="Times New Roman"/>
      <family val="1"/>
    </font>
    <font>
      <i/>
      <sz val="18"/>
      <name val="Times New Roman"/>
      <family val="1"/>
    </font>
    <font>
      <sz val="18"/>
      <name val="Times New Roman"/>
      <family val="1"/>
    </font>
    <font>
      <i/>
      <sz val="18"/>
      <color indexed="17"/>
      <name val="Times New Roman"/>
      <family val="1"/>
    </font>
    <font>
      <b/>
      <sz val="13"/>
      <color indexed="9"/>
      <name val="Times New Roman"/>
      <family val="1"/>
    </font>
    <font>
      <b/>
      <sz val="13"/>
      <color rgb="FFFFC0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sz val="13"/>
      <color indexed="46"/>
      <name val="Times New Roman"/>
      <family val="1"/>
    </font>
    <font>
      <sz val="13"/>
      <color indexed="52"/>
      <name val="Times New Roman"/>
      <family val="1"/>
    </font>
    <font>
      <sz val="13"/>
      <color indexed="12"/>
      <name val="Times New Roman"/>
      <family val="1"/>
    </font>
    <font>
      <i/>
      <sz val="12"/>
      <color indexed="81"/>
      <name val="Times New Roman"/>
      <family val="1"/>
    </font>
    <font>
      <i/>
      <sz val="18"/>
      <color indexed="12"/>
      <name val="Times New Roman"/>
      <family val="1"/>
    </font>
    <font>
      <sz val="10"/>
      <name val="Arial"/>
      <family val="2"/>
    </font>
    <font>
      <sz val="12"/>
      <color theme="1"/>
      <name val="Wingdings"/>
      <charset val="2"/>
    </font>
    <font>
      <i/>
      <sz val="16"/>
      <color indexed="12"/>
      <name val="Times New Roman"/>
      <family val="1"/>
    </font>
    <font>
      <i/>
      <sz val="16"/>
      <color rgb="FF0000FF"/>
      <name val="Times New Roman"/>
      <family val="1"/>
    </font>
    <font>
      <i/>
      <sz val="18"/>
      <color rgb="FF7030A0"/>
      <name val="Times New Roman"/>
      <family val="1"/>
    </font>
    <font>
      <b/>
      <sz val="12"/>
      <color theme="0"/>
      <name val="Times New Roman"/>
      <family val="1"/>
    </font>
    <font>
      <i/>
      <sz val="18"/>
      <color rgb="FF0000FF"/>
      <name val="Times New Roman"/>
      <family val="1"/>
    </font>
    <font>
      <b/>
      <sz val="12"/>
      <color theme="1"/>
      <name val="Times New Roman"/>
      <family val="1"/>
    </font>
    <font>
      <b/>
      <sz val="12"/>
      <color rgb="FF0000FF"/>
      <name val="Times New Roman"/>
      <family val="1"/>
    </font>
    <font>
      <i/>
      <sz val="16"/>
      <color indexed="53"/>
      <name val="Times New Roman"/>
      <family val="1"/>
    </font>
    <font>
      <i/>
      <sz val="16"/>
      <color indexed="57"/>
      <name val="Times New Roman"/>
      <family val="1"/>
    </font>
    <font>
      <sz val="13"/>
      <color rgb="FF0000FF"/>
      <name val="Times New Roman"/>
      <family val="1"/>
    </font>
    <font>
      <i/>
      <sz val="16"/>
      <color rgb="FFFFC000"/>
      <name val="Times New Roman"/>
      <family val="1"/>
    </font>
    <font>
      <i/>
      <sz val="16"/>
      <color indexed="10"/>
      <name val="Times New Roman"/>
      <family val="1"/>
    </font>
    <font>
      <b/>
      <sz val="12"/>
      <color indexed="81"/>
      <name val="Times New Roman"/>
      <family val="1"/>
    </font>
    <font>
      <b/>
      <sz val="12"/>
      <color indexed="9"/>
      <name val="Times New Roman"/>
      <family val="1"/>
    </font>
    <font>
      <b/>
      <sz val="12"/>
      <color rgb="FFFFC000"/>
      <name val="Times New Roman"/>
      <family val="1"/>
    </font>
    <font>
      <sz val="12"/>
      <color rgb="FFFFC000"/>
      <name val="Times New Roman"/>
      <family val="1"/>
    </font>
    <font>
      <i/>
      <sz val="12"/>
      <name val="Times New Roman"/>
      <family val="1"/>
    </font>
    <font>
      <sz val="12"/>
      <color theme="0"/>
      <name val="Times New Roman"/>
      <family val="1"/>
    </font>
    <font>
      <b/>
      <sz val="12"/>
      <color rgb="FF7030A0"/>
      <name val="Times New Roman"/>
      <family val="1"/>
    </font>
    <font>
      <b/>
      <sz val="12"/>
      <color theme="9" tint="-0.249977111117893"/>
      <name val="Times New Roman"/>
      <family val="1"/>
    </font>
    <font>
      <b/>
      <sz val="12"/>
      <color rgb="FF00B0F0"/>
      <name val="Times New Roman"/>
      <family val="1"/>
    </font>
    <font>
      <b/>
      <i/>
      <sz val="16"/>
      <color rgb="FF0000FF"/>
      <name val="Times New Roman"/>
      <family val="1"/>
    </font>
    <font>
      <i/>
      <sz val="20"/>
      <color theme="7" tint="0.39997558519241921"/>
      <name val="Times New Roman"/>
      <family val="1"/>
    </font>
    <font>
      <i/>
      <sz val="12"/>
      <color indexed="9"/>
      <name val="Times New Roman"/>
      <family val="1"/>
    </font>
    <font>
      <i/>
      <sz val="10"/>
      <name val="Times New Roman"/>
      <family val="1"/>
    </font>
    <font>
      <b/>
      <sz val="13"/>
      <color indexed="20"/>
      <name val="Times New Roman"/>
      <family val="1"/>
    </font>
    <font>
      <sz val="12"/>
      <name val="Times New Roman"/>
      <family val="1"/>
      <charset val="1"/>
    </font>
    <font>
      <sz val="13"/>
      <color rgb="FFFF0000"/>
      <name val="Times New Roman"/>
      <family val="1"/>
    </font>
    <font>
      <b/>
      <i/>
      <sz val="12"/>
      <name val="Times New Roman"/>
      <family val="1"/>
    </font>
    <font>
      <i/>
      <sz val="13"/>
      <name val="Times New Roman"/>
      <family val="1"/>
    </font>
    <font>
      <i/>
      <sz val="17"/>
      <name val="Times New Roman"/>
      <family val="1"/>
    </font>
  </fonts>
  <fills count="20">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11"/>
        <bgColor indexed="64"/>
      </patternFill>
    </fill>
    <fill>
      <patternFill patternType="solid">
        <fgColor indexed="17"/>
        <bgColor indexed="64"/>
      </patternFill>
    </fill>
    <fill>
      <patternFill patternType="solid">
        <fgColor rgb="FF7030A0"/>
        <bgColor indexed="64"/>
      </patternFill>
    </fill>
    <fill>
      <patternFill patternType="solid">
        <fgColor rgb="FFCCFFCC"/>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indexed="12"/>
        <bgColor indexed="64"/>
      </patternFill>
    </fill>
    <fill>
      <patternFill patternType="solid">
        <fgColor rgb="FF0000FF"/>
        <bgColor indexed="64"/>
      </patternFill>
    </fill>
    <fill>
      <patternFill patternType="solid">
        <fgColor rgb="FFFF0000"/>
        <bgColor indexed="64"/>
      </patternFill>
    </fill>
    <fill>
      <patternFill patternType="solid">
        <fgColor rgb="FF00FF00"/>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indexed="10"/>
        <bgColor indexed="64"/>
      </patternFill>
    </fill>
    <fill>
      <patternFill patternType="solid">
        <fgColor rgb="FF9966FF"/>
        <bgColor indexed="64"/>
      </patternFill>
    </fill>
    <fill>
      <patternFill patternType="solid">
        <fgColor rgb="FFFFFF00"/>
        <bgColor indexed="64"/>
      </patternFill>
    </fill>
    <fill>
      <patternFill patternType="lightGrid">
        <fgColor rgb="FFFFFF00"/>
        <bgColor rgb="FF9966FF"/>
      </patternFill>
    </fill>
  </fills>
  <borders count="155">
    <border>
      <left/>
      <right/>
      <top/>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double">
        <color indexed="64"/>
      </right>
      <top style="double">
        <color indexed="64"/>
      </top>
      <bottom style="thick">
        <color rgb="FF009900"/>
      </bottom>
      <diagonal/>
    </border>
    <border>
      <left style="double">
        <color indexed="64"/>
      </left>
      <right/>
      <top/>
      <bottom/>
      <diagonal/>
    </border>
    <border>
      <left/>
      <right style="double">
        <color indexed="64"/>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style="thin">
        <color indexed="64"/>
      </bottom>
      <diagonal/>
    </border>
    <border>
      <left style="thin">
        <color auto="1"/>
      </left>
      <right style="double">
        <color auto="1"/>
      </right>
      <top style="double">
        <color auto="1"/>
      </top>
      <bottom style="thin">
        <color auto="1"/>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bottom style="thin">
        <color indexed="9"/>
      </bottom>
      <diagonal/>
    </border>
    <border>
      <left style="double">
        <color indexed="64"/>
      </left>
      <right style="thin">
        <color indexed="64"/>
      </right>
      <top style="thin">
        <color indexed="9"/>
      </top>
      <bottom style="thin">
        <color indexed="9"/>
      </bottom>
      <diagonal/>
    </border>
    <border>
      <left style="medium">
        <color indexed="64"/>
      </left>
      <right style="thin">
        <color indexed="64"/>
      </right>
      <top style="thin">
        <color indexed="9"/>
      </top>
      <bottom style="thin">
        <color indexed="9"/>
      </bottom>
      <diagonal/>
    </border>
    <border>
      <left style="double">
        <color indexed="64"/>
      </left>
      <right style="thin">
        <color indexed="64"/>
      </right>
      <top/>
      <bottom style="double">
        <color indexed="64"/>
      </bottom>
      <diagonal/>
    </border>
    <border>
      <left style="medium">
        <color indexed="64"/>
      </left>
      <right style="thin">
        <color indexed="64"/>
      </right>
      <top style="thin">
        <color indexed="9"/>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double">
        <color indexed="64"/>
      </bottom>
      <diagonal/>
    </border>
    <border>
      <left style="double">
        <color indexed="64"/>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style="medium">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double">
        <color indexed="64"/>
      </right>
      <top style="thin">
        <color auto="1"/>
      </top>
      <bottom style="medium">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top/>
      <bottom style="hair">
        <color indexed="64"/>
      </bottom>
      <diagonal/>
    </border>
    <border>
      <left style="double">
        <color indexed="64"/>
      </left>
      <right/>
      <top style="hair">
        <color indexed="64"/>
      </top>
      <bottom/>
      <diagonal/>
    </border>
    <border>
      <left style="hair">
        <color indexed="64"/>
      </left>
      <right/>
      <top style="hair">
        <color indexed="64"/>
      </top>
      <bottom style="double">
        <color indexed="64"/>
      </bottom>
      <diagonal/>
    </border>
  </borders>
  <cellStyleXfs count="11">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37" fillId="0" borderId="0" applyFill="0" applyBorder="0"/>
    <xf numFmtId="0" fontId="5" fillId="0" borderId="0"/>
    <xf numFmtId="0" fontId="65" fillId="0" borderId="0"/>
    <xf numFmtId="0" fontId="37" fillId="0" borderId="0"/>
    <xf numFmtId="0" fontId="5" fillId="0" borderId="0"/>
    <xf numFmtId="0" fontId="1" fillId="0" borderId="0"/>
    <xf numFmtId="9" fontId="5" fillId="0" borderId="0" applyFont="0" applyFill="0" applyBorder="0" applyAlignment="0" applyProtection="0"/>
  </cellStyleXfs>
  <cellXfs count="606">
    <xf numFmtId="0" fontId="0" fillId="0" borderId="0" xfId="0"/>
    <xf numFmtId="0" fontId="2" fillId="2" borderId="1" xfId="0" applyFont="1" applyFill="1" applyBorder="1" applyAlignment="1">
      <alignment horizontal="right" vertical="center"/>
    </xf>
    <xf numFmtId="0" fontId="2" fillId="2" borderId="2" xfId="0" applyFont="1" applyFill="1" applyBorder="1" applyAlignment="1">
      <alignment horizontal="left" vertical="center"/>
    </xf>
    <xf numFmtId="0" fontId="3" fillId="2" borderId="2" xfId="0" applyFont="1" applyFill="1" applyBorder="1" applyAlignment="1">
      <alignment horizontal="left" vertical="center"/>
    </xf>
    <xf numFmtId="0" fontId="4" fillId="2" borderId="2"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7" fillId="2" borderId="3" xfId="2" applyFont="1" applyFill="1" applyBorder="1" applyAlignment="1" applyProtection="1">
      <alignment horizontal="right" vertical="center"/>
    </xf>
    <xf numFmtId="0" fontId="8" fillId="0" borderId="4" xfId="0" applyFont="1" applyBorder="1" applyAlignment="1">
      <alignment horizontal="right" vertical="center"/>
    </xf>
    <xf numFmtId="0" fontId="9" fillId="0" borderId="0" xfId="0" applyFont="1" applyAlignment="1">
      <alignment horizontal="centerContinuous" vertical="center"/>
    </xf>
    <xf numFmtId="0" fontId="8" fillId="0" borderId="0" xfId="0" applyFont="1" applyAlignment="1">
      <alignment horizontal="right" vertical="center"/>
    </xf>
    <xf numFmtId="0" fontId="9" fillId="0" borderId="0" xfId="0" applyFont="1" applyAlignment="1">
      <alignment horizontal="center" vertical="center"/>
    </xf>
    <xf numFmtId="0" fontId="0" fillId="0" borderId="0" xfId="0" applyAlignment="1">
      <alignment vertical="center"/>
    </xf>
    <xf numFmtId="0" fontId="9" fillId="0" borderId="5" xfId="0" applyFont="1" applyBorder="1" applyAlignment="1">
      <alignment horizontal="left" vertical="center"/>
    </xf>
    <xf numFmtId="0" fontId="8" fillId="3" borderId="6" xfId="0" applyFont="1" applyFill="1" applyBorder="1" applyAlignment="1">
      <alignment horizontal="right" vertical="center"/>
    </xf>
    <xf numFmtId="0" fontId="8" fillId="3" borderId="9" xfId="0" applyFont="1" applyFill="1" applyBorder="1" applyAlignment="1">
      <alignment horizontal="right" vertical="center"/>
    </xf>
    <xf numFmtId="49" fontId="9" fillId="0" borderId="10" xfId="0" applyNumberFormat="1" applyFont="1" applyBorder="1" applyAlignment="1">
      <alignment horizontal="center" vertical="center"/>
    </xf>
    <xf numFmtId="0" fontId="10" fillId="2" borderId="11" xfId="0" applyFont="1" applyFill="1" applyBorder="1" applyAlignment="1">
      <alignment horizontal="right" vertical="center"/>
    </xf>
    <xf numFmtId="0" fontId="11" fillId="0" borderId="16" xfId="0" applyFont="1" applyBorder="1" applyAlignment="1">
      <alignment horizontal="center" vertical="center"/>
    </xf>
    <xf numFmtId="0" fontId="10" fillId="3" borderId="17" xfId="0" applyFont="1" applyFill="1" applyBorder="1" applyAlignment="1">
      <alignment horizontal="right" vertical="center"/>
    </xf>
    <xf numFmtId="49" fontId="12" fillId="0" borderId="13" xfId="0" applyNumberFormat="1" applyFont="1" applyBorder="1" applyAlignment="1">
      <alignment horizontal="center" shrinkToFit="1"/>
    </xf>
    <xf numFmtId="0" fontId="16" fillId="2" borderId="18" xfId="0" applyFont="1" applyFill="1" applyBorder="1" applyAlignment="1">
      <alignment horizontal="right" vertical="center"/>
    </xf>
    <xf numFmtId="49" fontId="11" fillId="0" borderId="16" xfId="0" applyNumberFormat="1" applyFont="1" applyBorder="1" applyAlignment="1">
      <alignment horizontal="center" vertical="center"/>
    </xf>
    <xf numFmtId="0" fontId="10" fillId="3" borderId="19" xfId="0" applyFont="1" applyFill="1" applyBorder="1" applyAlignment="1">
      <alignment horizontal="right" vertical="center"/>
    </xf>
    <xf numFmtId="0" fontId="17" fillId="2" borderId="18" xfId="0" applyFont="1" applyFill="1" applyBorder="1" applyAlignment="1">
      <alignment horizontal="right" vertical="center"/>
    </xf>
    <xf numFmtId="49" fontId="11" fillId="0" borderId="12" xfId="0" applyNumberFormat="1" applyFont="1" applyBorder="1" applyAlignment="1">
      <alignment horizontal="center" vertical="center"/>
    </xf>
    <xf numFmtId="0" fontId="18" fillId="2" borderId="18" xfId="0" applyFont="1" applyFill="1" applyBorder="1" applyAlignment="1">
      <alignment horizontal="right" vertical="center"/>
    </xf>
    <xf numFmtId="0" fontId="19" fillId="3" borderId="19" xfId="0" applyFont="1" applyFill="1" applyBorder="1" applyAlignment="1">
      <alignment horizontal="right" vertical="center"/>
    </xf>
    <xf numFmtId="0" fontId="20" fillId="2" borderId="18" xfId="0" applyFont="1" applyFill="1" applyBorder="1" applyAlignment="1">
      <alignment horizontal="right" vertical="center"/>
    </xf>
    <xf numFmtId="0" fontId="21" fillId="2" borderId="20" xfId="0" applyFont="1" applyFill="1" applyBorder="1" applyAlignment="1">
      <alignment horizontal="right" vertical="center"/>
    </xf>
    <xf numFmtId="49" fontId="11" fillId="0" borderId="14" xfId="0" applyNumberFormat="1" applyFont="1" applyBorder="1" applyAlignment="1">
      <alignment horizontal="center" vertical="center"/>
    </xf>
    <xf numFmtId="0" fontId="19" fillId="3" borderId="21" xfId="0" applyFont="1" applyFill="1" applyBorder="1" applyAlignment="1">
      <alignment horizontal="right" vertical="center"/>
    </xf>
    <xf numFmtId="0" fontId="9" fillId="0" borderId="0" xfId="0" applyFont="1" applyAlignment="1">
      <alignment horizontal="left" vertical="center"/>
    </xf>
    <xf numFmtId="0" fontId="22" fillId="0" borderId="0" xfId="0" applyFont="1" applyAlignment="1">
      <alignment vertical="center"/>
    </xf>
    <xf numFmtId="0" fontId="22" fillId="0" borderId="5" xfId="0" applyFont="1" applyBorder="1" applyAlignment="1">
      <alignment vertical="center"/>
    </xf>
    <xf numFmtId="49" fontId="9" fillId="0" borderId="22" xfId="0" applyNumberFormat="1" applyFont="1" applyBorder="1" applyAlignment="1">
      <alignment horizontal="center" vertical="center"/>
    </xf>
    <xf numFmtId="164" fontId="8" fillId="4" borderId="23" xfId="0" applyNumberFormat="1" applyFont="1" applyFill="1" applyBorder="1" applyAlignment="1">
      <alignment horizontal="center" vertical="center"/>
    </xf>
    <xf numFmtId="0" fontId="8" fillId="0" borderId="22" xfId="0" applyFont="1" applyBorder="1" applyAlignment="1">
      <alignment horizontal="center" vertical="center"/>
    </xf>
    <xf numFmtId="0" fontId="23" fillId="0" borderId="4" xfId="0" applyFont="1" applyBorder="1" applyAlignment="1">
      <alignment vertical="center"/>
    </xf>
    <xf numFmtId="0" fontId="24" fillId="0" borderId="0" xfId="0" applyFont="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4"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25" fillId="0" borderId="30" xfId="0" applyFont="1" applyBorder="1" applyAlignment="1">
      <alignment horizontal="centerContinuous" vertical="center"/>
    </xf>
    <xf numFmtId="0" fontId="22" fillId="0" borderId="0" xfId="0" applyFont="1" applyAlignment="1">
      <alignment horizontal="centerContinuous" vertical="center"/>
    </xf>
    <xf numFmtId="0" fontId="26" fillId="5" borderId="31" xfId="0" applyFont="1" applyFill="1" applyBorder="1" applyAlignment="1">
      <alignment horizontal="centerContinuous" vertical="center"/>
    </xf>
    <xf numFmtId="0" fontId="26" fillId="5" borderId="32" xfId="0" applyFont="1" applyFill="1" applyBorder="1" applyAlignment="1">
      <alignment horizontal="center" vertical="center"/>
    </xf>
    <xf numFmtId="0" fontId="26" fillId="5" borderId="32" xfId="0" applyFont="1" applyFill="1" applyBorder="1" applyAlignment="1">
      <alignment horizontal="center" vertical="center" wrapText="1"/>
    </xf>
    <xf numFmtId="0" fontId="27" fillId="6" borderId="33" xfId="0" applyFont="1" applyFill="1" applyBorder="1" applyAlignment="1">
      <alignment horizontal="center" vertical="center" wrapText="1"/>
    </xf>
    <xf numFmtId="0" fontId="26" fillId="5" borderId="34" xfId="0" applyFont="1" applyFill="1" applyBorder="1" applyAlignment="1">
      <alignment horizontal="center" vertical="center"/>
    </xf>
    <xf numFmtId="0" fontId="28" fillId="0" borderId="4" xfId="0" applyFont="1" applyBorder="1" applyAlignment="1">
      <alignment vertical="center"/>
    </xf>
    <xf numFmtId="0" fontId="8" fillId="0" borderId="35" xfId="0" applyFont="1" applyBorder="1" applyAlignment="1">
      <alignment horizontal="center" vertical="center"/>
    </xf>
    <xf numFmtId="0" fontId="9" fillId="0" borderId="35" xfId="0" applyFont="1" applyBorder="1" applyAlignment="1">
      <alignment horizontal="center" vertical="center"/>
    </xf>
    <xf numFmtId="0" fontId="29" fillId="0" borderId="35" xfId="0" applyFont="1" applyBorder="1" applyAlignment="1">
      <alignment horizontal="center" vertical="center" wrapText="1"/>
    </xf>
    <xf numFmtId="1" fontId="9" fillId="0" borderId="35" xfId="0" applyNumberFormat="1" applyFont="1" applyBorder="1" applyAlignment="1">
      <alignment horizontal="center" vertical="center" wrapText="1"/>
    </xf>
    <xf numFmtId="0" fontId="30" fillId="6" borderId="36" xfId="0" applyFont="1" applyFill="1" applyBorder="1" applyAlignment="1">
      <alignment horizontal="center" vertical="center"/>
    </xf>
    <xf numFmtId="49" fontId="9" fillId="0" borderId="35" xfId="0" applyNumberFormat="1" applyFont="1" applyBorder="1" applyAlignment="1">
      <alignment horizontal="center" vertical="center" wrapText="1"/>
    </xf>
    <xf numFmtId="0" fontId="9" fillId="0" borderId="5" xfId="0" quotePrefix="1" applyFont="1" applyBorder="1" applyAlignment="1">
      <alignment horizontal="center" vertical="center"/>
    </xf>
    <xf numFmtId="0" fontId="31" fillId="0" borderId="4" xfId="0" applyFont="1" applyBorder="1" applyAlignment="1">
      <alignment vertical="center"/>
    </xf>
    <xf numFmtId="0" fontId="16" fillId="0" borderId="36" xfId="0" applyFont="1" applyBorder="1" applyAlignment="1">
      <alignment horizontal="center" vertical="center"/>
    </xf>
    <xf numFmtId="0" fontId="29" fillId="0" borderId="37" xfId="0" applyFont="1" applyBorder="1" applyAlignment="1">
      <alignment vertical="center"/>
    </xf>
    <xf numFmtId="0" fontId="8" fillId="0" borderId="38" xfId="0" applyFont="1" applyBorder="1" applyAlignment="1">
      <alignment horizontal="center" vertical="center"/>
    </xf>
    <xf numFmtId="0" fontId="9" fillId="0" borderId="38" xfId="0" applyFont="1" applyBorder="1" applyAlignment="1">
      <alignment horizontal="center" vertical="center"/>
    </xf>
    <xf numFmtId="0" fontId="27" fillId="0" borderId="38" xfId="0" applyFont="1" applyBorder="1" applyAlignment="1">
      <alignment horizontal="center" vertical="center" wrapText="1"/>
    </xf>
    <xf numFmtId="1" fontId="9" fillId="0" borderId="38" xfId="0" applyNumberFormat="1" applyFont="1" applyBorder="1" applyAlignment="1">
      <alignment horizontal="center" vertical="center" wrapText="1"/>
    </xf>
    <xf numFmtId="0" fontId="30" fillId="6" borderId="38" xfId="0" applyFont="1" applyFill="1" applyBorder="1" applyAlignment="1">
      <alignment horizontal="center" vertical="center"/>
    </xf>
    <xf numFmtId="49" fontId="9" fillId="0" borderId="38" xfId="0" applyNumberFormat="1" applyFont="1" applyBorder="1" applyAlignment="1">
      <alignment horizontal="center" vertical="center" wrapText="1"/>
    </xf>
    <xf numFmtId="0" fontId="9" fillId="0" borderId="39" xfId="0" quotePrefix="1" applyFont="1" applyBorder="1" applyAlignment="1">
      <alignment horizontal="center" vertical="center"/>
    </xf>
    <xf numFmtId="0" fontId="19" fillId="0" borderId="4" xfId="0" applyFont="1" applyBorder="1" applyAlignment="1">
      <alignment vertical="center"/>
    </xf>
    <xf numFmtId="49" fontId="12" fillId="0" borderId="35" xfId="0" applyNumberFormat="1" applyFont="1" applyBorder="1" applyAlignment="1">
      <alignment horizontal="center" vertical="center"/>
    </xf>
    <xf numFmtId="0" fontId="12" fillId="0" borderId="36" xfId="0" applyFont="1" applyBorder="1" applyAlignment="1">
      <alignment horizontal="center" vertical="center"/>
    </xf>
    <xf numFmtId="0" fontId="19" fillId="0" borderId="36" xfId="0" applyFont="1" applyBorder="1" applyAlignment="1">
      <alignment horizontal="center" vertical="center"/>
    </xf>
    <xf numFmtId="49" fontId="9" fillId="0" borderId="36" xfId="0" applyNumberFormat="1" applyFont="1" applyBorder="1" applyAlignment="1">
      <alignment horizontal="center" vertical="center"/>
    </xf>
    <xf numFmtId="0" fontId="9" fillId="0" borderId="40" xfId="0" applyFont="1" applyBorder="1" applyAlignment="1">
      <alignment horizontal="center" vertical="center"/>
    </xf>
    <xf numFmtId="0" fontId="16" fillId="0" borderId="4" xfId="0" applyFont="1" applyBorder="1" applyAlignment="1">
      <alignment vertical="center"/>
    </xf>
    <xf numFmtId="49" fontId="32" fillId="0" borderId="35" xfId="0" applyNumberFormat="1" applyFont="1" applyBorder="1" applyAlignment="1">
      <alignment horizontal="center" vertical="center"/>
    </xf>
    <xf numFmtId="0" fontId="32" fillId="0" borderId="36" xfId="0" applyFont="1" applyBorder="1" applyAlignment="1">
      <alignment horizontal="center" vertical="center"/>
    </xf>
    <xf numFmtId="0" fontId="21" fillId="0" borderId="4" xfId="0" applyFont="1" applyBorder="1" applyAlignment="1">
      <alignment vertical="center"/>
    </xf>
    <xf numFmtId="49" fontId="33" fillId="0" borderId="35" xfId="0" applyNumberFormat="1" applyFont="1" applyBorder="1" applyAlignment="1">
      <alignment horizontal="center" vertical="center"/>
    </xf>
    <xf numFmtId="0" fontId="33"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4" xfId="0" applyFont="1" applyBorder="1" applyAlignment="1">
      <alignment vertical="center"/>
    </xf>
    <xf numFmtId="49" fontId="14" fillId="0" borderId="35" xfId="0" applyNumberFormat="1" applyFont="1" applyBorder="1" applyAlignment="1">
      <alignment horizontal="center" vertical="center"/>
    </xf>
    <xf numFmtId="0" fontId="14" fillId="0" borderId="36" xfId="0" applyFont="1" applyBorder="1" applyAlignment="1">
      <alignment horizontal="center" vertical="center"/>
    </xf>
    <xf numFmtId="0" fontId="10" fillId="0" borderId="36" xfId="0" applyFont="1" applyBorder="1" applyAlignment="1">
      <alignment horizontal="center" vertical="center"/>
    </xf>
    <xf numFmtId="0" fontId="17" fillId="7" borderId="4" xfId="0" applyFont="1" applyFill="1" applyBorder="1" applyAlignment="1">
      <alignment vertical="center"/>
    </xf>
    <xf numFmtId="0" fontId="9" fillId="7" borderId="35" xfId="0" applyFont="1" applyFill="1" applyBorder="1" applyAlignment="1">
      <alignment horizontal="center" vertical="center"/>
    </xf>
    <xf numFmtId="49" fontId="34" fillId="7" borderId="35" xfId="0" applyNumberFormat="1" applyFont="1" applyFill="1" applyBorder="1" applyAlignment="1">
      <alignment horizontal="center" vertical="center"/>
    </xf>
    <xf numFmtId="0" fontId="34" fillId="7" borderId="36" xfId="0" applyFont="1" applyFill="1" applyBorder="1" applyAlignment="1">
      <alignment horizontal="center" vertical="center"/>
    </xf>
    <xf numFmtId="0" fontId="17" fillId="7" borderId="36" xfId="0" applyFont="1" applyFill="1" applyBorder="1" applyAlignment="1">
      <alignment horizontal="center" vertical="center"/>
    </xf>
    <xf numFmtId="49" fontId="9" fillId="7" borderId="36" xfId="0" applyNumberFormat="1" applyFont="1" applyFill="1" applyBorder="1" applyAlignment="1">
      <alignment horizontal="center" vertical="center"/>
    </xf>
    <xf numFmtId="0" fontId="9" fillId="7" borderId="40" xfId="0" applyFont="1" applyFill="1" applyBorder="1" applyAlignment="1">
      <alignment horizontal="center" vertical="center"/>
    </xf>
    <xf numFmtId="49" fontId="9" fillId="0" borderId="35" xfId="0" applyNumberFormat="1" applyFont="1" applyBorder="1" applyAlignment="1">
      <alignment horizontal="center" vertical="center"/>
    </xf>
    <xf numFmtId="0" fontId="9" fillId="0" borderId="40" xfId="0" quotePrefix="1" applyFont="1" applyBorder="1" applyAlignment="1">
      <alignment horizontal="center" vertical="center"/>
    </xf>
    <xf numFmtId="0" fontId="19" fillId="7" borderId="4" xfId="0" applyFont="1" applyFill="1" applyBorder="1" applyAlignment="1">
      <alignment vertical="center"/>
    </xf>
    <xf numFmtId="49" fontId="12" fillId="7" borderId="35" xfId="0" applyNumberFormat="1" applyFont="1" applyFill="1" applyBorder="1" applyAlignment="1">
      <alignment horizontal="center" vertical="center"/>
    </xf>
    <xf numFmtId="0" fontId="12" fillId="7" borderId="36" xfId="0" applyFont="1" applyFill="1" applyBorder="1" applyAlignment="1">
      <alignment horizontal="center" vertical="center"/>
    </xf>
    <xf numFmtId="0" fontId="19" fillId="7" borderId="36" xfId="0" applyFont="1" applyFill="1" applyBorder="1" applyAlignment="1">
      <alignment horizontal="center" vertical="center"/>
    </xf>
    <xf numFmtId="0" fontId="19" fillId="8" borderId="4" xfId="0" applyFont="1" applyFill="1" applyBorder="1" applyAlignment="1">
      <alignment vertical="center"/>
    </xf>
    <xf numFmtId="0" fontId="9" fillId="8" borderId="35" xfId="0" applyFont="1" applyFill="1" applyBorder="1" applyAlignment="1">
      <alignment horizontal="center" vertical="center"/>
    </xf>
    <xf numFmtId="49" fontId="12" fillId="8" borderId="35" xfId="0" applyNumberFormat="1" applyFont="1" applyFill="1" applyBorder="1" applyAlignment="1">
      <alignment horizontal="center" vertical="center"/>
    </xf>
    <xf numFmtId="0" fontId="12" fillId="8" borderId="36" xfId="0" applyFont="1" applyFill="1" applyBorder="1" applyAlignment="1">
      <alignment horizontal="center" vertical="center"/>
    </xf>
    <xf numFmtId="0" fontId="19" fillId="8" borderId="36" xfId="0" applyFont="1" applyFill="1" applyBorder="1" applyAlignment="1">
      <alignment horizontal="center" vertical="center"/>
    </xf>
    <xf numFmtId="49" fontId="9" fillId="8" borderId="36" xfId="0" applyNumberFormat="1" applyFont="1" applyFill="1" applyBorder="1" applyAlignment="1">
      <alignment horizontal="center" vertical="center"/>
    </xf>
    <xf numFmtId="0" fontId="9" fillId="8" borderId="40" xfId="0" applyFont="1" applyFill="1" applyBorder="1" applyAlignment="1">
      <alignment horizontal="center" vertical="center"/>
    </xf>
    <xf numFmtId="0" fontId="21" fillId="8" borderId="4" xfId="0" applyFont="1" applyFill="1" applyBorder="1" applyAlignment="1">
      <alignment vertical="center"/>
    </xf>
    <xf numFmtId="49" fontId="33" fillId="8" borderId="35" xfId="0" applyNumberFormat="1" applyFont="1" applyFill="1" applyBorder="1" applyAlignment="1">
      <alignment horizontal="center" vertical="center"/>
    </xf>
    <xf numFmtId="0" fontId="33" fillId="8" borderId="36" xfId="0" applyFont="1" applyFill="1" applyBorder="1" applyAlignment="1">
      <alignment horizontal="center" vertical="center"/>
    </xf>
    <xf numFmtId="0" fontId="21" fillId="8" borderId="36" xfId="0" applyFont="1" applyFill="1" applyBorder="1" applyAlignment="1">
      <alignment horizontal="center" vertical="center"/>
    </xf>
    <xf numFmtId="0" fontId="20" fillId="0" borderId="4" xfId="0" applyFont="1" applyBorder="1" applyAlignment="1">
      <alignment vertical="center"/>
    </xf>
    <xf numFmtId="49" fontId="13" fillId="0" borderId="35" xfId="0" applyNumberFormat="1" applyFont="1" applyBorder="1" applyAlignment="1">
      <alignment horizontal="center" vertical="center"/>
    </xf>
    <xf numFmtId="0" fontId="13" fillId="0" borderId="36" xfId="0" applyFont="1" applyBorder="1" applyAlignment="1">
      <alignment horizontal="center" vertical="center"/>
    </xf>
    <xf numFmtId="0" fontId="20" fillId="0" borderId="36" xfId="0" applyFont="1" applyBorder="1" applyAlignment="1">
      <alignment horizontal="center" vertical="center"/>
    </xf>
    <xf numFmtId="0" fontId="21" fillId="9" borderId="4" xfId="0" applyFont="1" applyFill="1" applyBorder="1" applyAlignment="1">
      <alignment vertical="center"/>
    </xf>
    <xf numFmtId="0" fontId="9" fillId="9" borderId="35" xfId="0" applyFont="1" applyFill="1" applyBorder="1" applyAlignment="1">
      <alignment horizontal="center" vertical="center"/>
    </xf>
    <xf numFmtId="49" fontId="13" fillId="9" borderId="35" xfId="0" applyNumberFormat="1" applyFont="1" applyFill="1" applyBorder="1" applyAlignment="1">
      <alignment horizontal="center" vertical="center"/>
    </xf>
    <xf numFmtId="0" fontId="13" fillId="9" borderId="36" xfId="0" applyFont="1" applyFill="1" applyBorder="1" applyAlignment="1">
      <alignment horizontal="center" vertical="center"/>
    </xf>
    <xf numFmtId="0" fontId="20" fillId="9" borderId="36" xfId="0" applyFont="1" applyFill="1" applyBorder="1" applyAlignment="1">
      <alignment horizontal="center" vertical="center"/>
    </xf>
    <xf numFmtId="49" fontId="9" fillId="9" borderId="36" xfId="0" applyNumberFormat="1" applyFont="1" applyFill="1" applyBorder="1" applyAlignment="1">
      <alignment horizontal="center" vertical="center"/>
    </xf>
    <xf numFmtId="0" fontId="9" fillId="9" borderId="40" xfId="0" applyFont="1" applyFill="1" applyBorder="1" applyAlignment="1">
      <alignment horizontal="center" vertical="center"/>
    </xf>
    <xf numFmtId="0" fontId="16" fillId="8" borderId="4" xfId="0" applyFont="1" applyFill="1" applyBorder="1" applyAlignment="1">
      <alignment vertical="center"/>
    </xf>
    <xf numFmtId="49" fontId="32" fillId="8" borderId="35" xfId="0" applyNumberFormat="1" applyFont="1" applyFill="1" applyBorder="1" applyAlignment="1">
      <alignment horizontal="center" vertical="center"/>
    </xf>
    <xf numFmtId="0" fontId="32" fillId="8" borderId="36" xfId="0" applyFont="1" applyFill="1" applyBorder="1" applyAlignment="1">
      <alignment horizontal="center" vertical="center"/>
    </xf>
    <xf numFmtId="0" fontId="16" fillId="8" borderId="36" xfId="0" applyFont="1" applyFill="1" applyBorder="1" applyAlignment="1">
      <alignment horizontal="center" vertical="center"/>
    </xf>
    <xf numFmtId="0" fontId="9" fillId="8" borderId="40" xfId="0" quotePrefix="1" applyFont="1" applyFill="1" applyBorder="1" applyAlignment="1">
      <alignment horizontal="center" vertical="center"/>
    </xf>
    <xf numFmtId="0" fontId="9" fillId="7" borderId="40" xfId="0" quotePrefix="1" applyFont="1" applyFill="1" applyBorder="1" applyAlignment="1">
      <alignment horizontal="center" vertical="center"/>
    </xf>
    <xf numFmtId="0" fontId="16" fillId="7" borderId="4" xfId="0" applyFont="1" applyFill="1" applyBorder="1" applyAlignment="1">
      <alignment vertical="center"/>
    </xf>
    <xf numFmtId="49" fontId="32" fillId="7" borderId="35" xfId="0" applyNumberFormat="1" applyFont="1" applyFill="1" applyBorder="1" applyAlignment="1">
      <alignment horizontal="center" vertical="center"/>
    </xf>
    <xf numFmtId="0" fontId="32" fillId="7" borderId="36" xfId="0" applyFont="1" applyFill="1" applyBorder="1" applyAlignment="1">
      <alignment horizontal="center" vertical="center"/>
    </xf>
    <xf numFmtId="0" fontId="16" fillId="7" borderId="36" xfId="0" applyFont="1" applyFill="1" applyBorder="1" applyAlignment="1">
      <alignment horizontal="center" vertical="center"/>
    </xf>
    <xf numFmtId="0" fontId="16" fillId="0" borderId="27" xfId="0" applyFont="1" applyBorder="1" applyAlignment="1">
      <alignment vertical="center"/>
    </xf>
    <xf numFmtId="0" fontId="9" fillId="0" borderId="41" xfId="0" applyFont="1" applyBorder="1" applyAlignment="1">
      <alignment horizontal="center" vertical="center"/>
    </xf>
    <xf numFmtId="49" fontId="32" fillId="0" borderId="41" xfId="0" applyNumberFormat="1" applyFont="1" applyBorder="1" applyAlignment="1">
      <alignment horizontal="center" vertical="center"/>
    </xf>
    <xf numFmtId="0" fontId="32" fillId="0" borderId="42" xfId="0" applyFont="1" applyBorder="1" applyAlignment="1">
      <alignment horizontal="center" vertical="center"/>
    </xf>
    <xf numFmtId="0" fontId="16" fillId="0" borderId="42" xfId="0" applyFont="1" applyBorder="1" applyAlignment="1">
      <alignment horizontal="center" vertical="center"/>
    </xf>
    <xf numFmtId="49" fontId="9" fillId="0" borderId="42" xfId="0" applyNumberFormat="1" applyFont="1" applyBorder="1" applyAlignment="1">
      <alignment horizontal="center" vertical="center"/>
    </xf>
    <xf numFmtId="0" fontId="30" fillId="6" borderId="41" xfId="0" applyFont="1" applyFill="1" applyBorder="1" applyAlignment="1">
      <alignment horizontal="center" vertical="center"/>
    </xf>
    <xf numFmtId="0" fontId="9" fillId="0" borderId="43" xfId="0" applyFont="1" applyBorder="1" applyAlignment="1">
      <alignment horizontal="center" vertical="center"/>
    </xf>
    <xf numFmtId="0" fontId="4" fillId="0" borderId="0" xfId="0" applyFont="1" applyAlignment="1">
      <alignment horizontal="right" vertical="center"/>
    </xf>
    <xf numFmtId="1" fontId="4" fillId="0" borderId="0" xfId="0" applyNumberFormat="1" applyFont="1" applyAlignment="1">
      <alignment horizontal="center" vertical="center"/>
    </xf>
    <xf numFmtId="1" fontId="5" fillId="0" borderId="0" xfId="0" applyNumberFormat="1" applyFont="1" applyAlignment="1">
      <alignment horizontal="left" vertical="center"/>
    </xf>
    <xf numFmtId="0" fontId="5" fillId="0" borderId="0" xfId="0" applyFont="1" applyAlignment="1">
      <alignment horizontal="left" vertical="center"/>
    </xf>
    <xf numFmtId="1" fontId="5" fillId="0" borderId="0" xfId="0" applyNumberFormat="1" applyFont="1" applyAlignment="1">
      <alignment horizontal="center" vertical="center"/>
    </xf>
    <xf numFmtId="0" fontId="4" fillId="0" borderId="0" xfId="0" applyFont="1" applyAlignment="1">
      <alignment horizontal="left" vertical="center"/>
    </xf>
    <xf numFmtId="1" fontId="4" fillId="0" borderId="0" xfId="0" applyNumberFormat="1" applyFont="1" applyAlignment="1">
      <alignment horizontal="right" vertical="center"/>
    </xf>
    <xf numFmtId="0" fontId="36" fillId="0" borderId="30" xfId="0" applyFont="1" applyBorder="1" applyAlignment="1">
      <alignment horizontal="centerContinuous" vertical="center" wrapText="1"/>
    </xf>
    <xf numFmtId="0" fontId="22" fillId="0" borderId="0" xfId="0" applyFont="1" applyAlignment="1">
      <alignment horizontal="centerContinuous" vertical="center" wrapText="1"/>
    </xf>
    <xf numFmtId="0" fontId="5" fillId="0" borderId="0" xfId="0" applyFont="1" applyAlignment="1">
      <alignment vertical="center" wrapText="1"/>
    </xf>
    <xf numFmtId="0" fontId="26" fillId="10" borderId="44" xfId="0" applyFont="1" applyFill="1" applyBorder="1" applyAlignment="1">
      <alignment horizontal="centerContinuous" vertical="center" wrapText="1"/>
    </xf>
    <xf numFmtId="0" fontId="26" fillId="10" borderId="45" xfId="0" applyFont="1" applyFill="1" applyBorder="1" applyAlignment="1">
      <alignment horizontal="center" vertical="center" wrapText="1"/>
    </xf>
    <xf numFmtId="0" fontId="26" fillId="11" borderId="45" xfId="0" applyFont="1" applyFill="1" applyBorder="1" applyAlignment="1">
      <alignment horizontal="center" vertical="center" wrapText="1"/>
    </xf>
    <xf numFmtId="0" fontId="26" fillId="11" borderId="46" xfId="0" applyFont="1" applyFill="1" applyBorder="1" applyAlignment="1">
      <alignment horizontal="centerContinuous" vertical="center" wrapText="1"/>
    </xf>
    <xf numFmtId="0" fontId="34" fillId="0" borderId="4" xfId="0" applyFont="1" applyBorder="1" applyAlignment="1">
      <alignment horizontal="center" vertical="center" shrinkToFit="1"/>
    </xf>
    <xf numFmtId="0" fontId="9" fillId="0" borderId="35" xfId="0" applyFont="1" applyBorder="1" applyAlignment="1">
      <alignment horizontal="center" vertical="center" wrapText="1"/>
    </xf>
    <xf numFmtId="9" fontId="9" fillId="0" borderId="35" xfId="1" applyFont="1" applyFill="1" applyBorder="1" applyAlignment="1">
      <alignment horizontal="center" vertical="center" shrinkToFit="1"/>
    </xf>
    <xf numFmtId="9" fontId="9" fillId="0" borderId="36" xfId="1" applyFont="1" applyFill="1" applyBorder="1" applyAlignment="1">
      <alignment horizontal="center" vertical="center" shrinkToFit="1"/>
    </xf>
    <xf numFmtId="0" fontId="9" fillId="0" borderId="36" xfId="0" applyFont="1" applyBorder="1" applyAlignment="1">
      <alignment horizontal="center" vertical="center" shrinkToFit="1"/>
    </xf>
    <xf numFmtId="0" fontId="9" fillId="0" borderId="36" xfId="1" applyNumberFormat="1" applyFont="1" applyFill="1" applyBorder="1" applyAlignment="1">
      <alignment horizontal="center" vertical="center" shrinkToFit="1"/>
    </xf>
    <xf numFmtId="0" fontId="9" fillId="0" borderId="40" xfId="0" applyFont="1" applyBorder="1" applyAlignment="1">
      <alignment horizontal="center" vertical="center" wrapText="1"/>
    </xf>
    <xf numFmtId="0" fontId="9" fillId="0" borderId="35" xfId="0" applyFont="1" applyBorder="1" applyAlignment="1">
      <alignment horizontal="center" vertical="center" shrinkToFit="1"/>
    </xf>
    <xf numFmtId="0" fontId="9" fillId="0" borderId="40" xfId="0" quotePrefix="1" applyFont="1" applyBorder="1" applyAlignment="1">
      <alignment horizontal="center" vertical="center" wrapText="1"/>
    </xf>
    <xf numFmtId="0" fontId="34" fillId="0" borderId="37" xfId="0" applyFont="1" applyBorder="1" applyAlignment="1">
      <alignment horizontal="center" vertical="center" shrinkToFit="1"/>
    </xf>
    <xf numFmtId="0" fontId="9" fillId="0" borderId="38" xfId="0" applyFont="1" applyBorder="1" applyAlignment="1">
      <alignment horizontal="center" vertical="center" wrapText="1"/>
    </xf>
    <xf numFmtId="9" fontId="9" fillId="0" borderId="38" xfId="1" applyFont="1" applyBorder="1" applyAlignment="1">
      <alignment horizontal="center" vertical="center" shrinkToFit="1"/>
    </xf>
    <xf numFmtId="9" fontId="9" fillId="0" borderId="16" xfId="1" applyFont="1" applyBorder="1" applyAlignment="1">
      <alignment horizontal="center" vertical="center" shrinkToFit="1"/>
    </xf>
    <xf numFmtId="0" fontId="9" fillId="0" borderId="16" xfId="1" applyNumberFormat="1" applyFont="1" applyBorder="1" applyAlignment="1">
      <alignment horizontal="center" vertical="center" shrinkToFit="1"/>
    </xf>
    <xf numFmtId="49" fontId="9" fillId="0" borderId="13" xfId="0" applyNumberFormat="1" applyFont="1" applyBorder="1" applyAlignment="1">
      <alignment horizontal="center" vertical="center" wrapText="1"/>
    </xf>
    <xf numFmtId="9" fontId="9" fillId="0" borderId="35" xfId="3" applyFont="1" applyFill="1" applyBorder="1" applyAlignment="1">
      <alignment horizontal="center" vertical="center" shrinkToFit="1"/>
    </xf>
    <xf numFmtId="9" fontId="9" fillId="0" borderId="36" xfId="3" applyFont="1" applyFill="1" applyBorder="1" applyAlignment="1">
      <alignment horizontal="center" vertical="center" shrinkToFit="1"/>
    </xf>
    <xf numFmtId="0" fontId="5" fillId="0" borderId="36" xfId="0" applyFont="1" applyBorder="1" applyAlignment="1">
      <alignment horizontal="center" vertical="center" shrinkToFit="1"/>
    </xf>
    <xf numFmtId="0" fontId="9" fillId="0" borderId="36" xfId="3" applyNumberFormat="1" applyFont="1" applyFill="1" applyBorder="1" applyAlignment="1">
      <alignment horizontal="center" vertical="center" shrinkToFit="1"/>
    </xf>
    <xf numFmtId="9" fontId="9" fillId="0" borderId="35" xfId="1" applyFont="1" applyBorder="1" applyAlignment="1">
      <alignment horizontal="center" vertical="center" shrinkToFit="1"/>
    </xf>
    <xf numFmtId="9" fontId="9" fillId="0" borderId="36" xfId="1" applyFont="1" applyBorder="1" applyAlignment="1">
      <alignment horizontal="center" vertical="center" shrinkToFit="1"/>
    </xf>
    <xf numFmtId="0" fontId="9" fillId="0" borderId="36" xfId="1" applyNumberFormat="1"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0" xfId="4" applyFont="1" applyFill="1" applyBorder="1" applyAlignment="1">
      <alignment horizontal="center" vertical="center" wrapText="1"/>
    </xf>
    <xf numFmtId="49" fontId="9" fillId="0" borderId="40" xfId="0" applyNumberFormat="1" applyFont="1" applyBorder="1" applyAlignment="1">
      <alignment horizontal="center" vertical="center" shrinkToFit="1"/>
    </xf>
    <xf numFmtId="9" fontId="9" fillId="0" borderId="38" xfId="1" applyFont="1" applyFill="1" applyBorder="1" applyAlignment="1">
      <alignment horizontal="center" vertical="center" shrinkToFit="1"/>
    </xf>
    <xf numFmtId="9" fontId="9" fillId="0" borderId="16" xfId="1" applyFont="1" applyFill="1" applyBorder="1" applyAlignment="1">
      <alignment horizontal="center" vertical="center" shrinkToFit="1"/>
    </xf>
    <xf numFmtId="0" fontId="9" fillId="0" borderId="16" xfId="1" applyNumberFormat="1" applyFont="1" applyFill="1" applyBorder="1" applyAlignment="1">
      <alignment horizontal="center" vertical="center" shrinkToFit="1"/>
    </xf>
    <xf numFmtId="0" fontId="9" fillId="0" borderId="13" xfId="0" applyFont="1" applyBorder="1" applyAlignment="1">
      <alignment horizontal="center" vertical="center" wrapText="1"/>
    </xf>
    <xf numFmtId="49" fontId="9" fillId="0" borderId="13" xfId="0" applyNumberFormat="1" applyFont="1" applyBorder="1" applyAlignment="1">
      <alignment horizontal="center" vertical="center" shrinkToFit="1"/>
    </xf>
    <xf numFmtId="0" fontId="9" fillId="0" borderId="16" xfId="0" applyFont="1" applyBorder="1" applyAlignment="1">
      <alignment horizontal="center" vertical="center" shrinkToFit="1"/>
    </xf>
    <xf numFmtId="0" fontId="5" fillId="0" borderId="16" xfId="0" applyFont="1" applyBorder="1" applyAlignment="1">
      <alignment horizontal="center" vertical="center" shrinkToFit="1"/>
    </xf>
    <xf numFmtId="0" fontId="34" fillId="0" borderId="27" xfId="0" applyFont="1" applyBorder="1" applyAlignment="1">
      <alignment horizontal="center" vertical="center" shrinkToFit="1"/>
    </xf>
    <xf numFmtId="0" fontId="9" fillId="0" borderId="41" xfId="0" applyFont="1" applyBorder="1" applyAlignment="1">
      <alignment horizontal="center" vertical="center" wrapText="1"/>
    </xf>
    <xf numFmtId="9" fontId="9" fillId="0" borderId="41" xfId="1" applyFont="1" applyFill="1" applyBorder="1" applyAlignment="1">
      <alignment horizontal="center" vertical="center" shrinkToFit="1"/>
    </xf>
    <xf numFmtId="9" fontId="9" fillId="0" borderId="42" xfId="1" applyFont="1" applyFill="1" applyBorder="1" applyAlignment="1">
      <alignment horizontal="center" vertical="center" shrinkToFit="1"/>
    </xf>
    <xf numFmtId="0" fontId="9" fillId="0" borderId="42" xfId="1" applyNumberFormat="1" applyFont="1" applyFill="1" applyBorder="1" applyAlignment="1">
      <alignment horizontal="center" vertical="center" shrinkToFit="1"/>
    </xf>
    <xf numFmtId="0" fontId="9" fillId="0" borderId="42" xfId="1" applyNumberFormat="1" applyFont="1" applyBorder="1" applyAlignment="1">
      <alignment horizontal="center" vertical="center" shrinkToFit="1"/>
    </xf>
    <xf numFmtId="0" fontId="9" fillId="0" borderId="43" xfId="0" applyFont="1" applyBorder="1" applyAlignment="1">
      <alignment horizontal="center" vertical="center" wrapText="1"/>
    </xf>
    <xf numFmtId="0" fontId="26" fillId="10" borderId="45" xfId="0" applyFont="1" applyFill="1" applyBorder="1" applyAlignment="1">
      <alignment horizontal="center" vertical="center"/>
    </xf>
    <xf numFmtId="0" fontId="26" fillId="10" borderId="37" xfId="0" applyFont="1" applyFill="1" applyBorder="1" applyAlignment="1">
      <alignment horizontal="centerContinuous" vertical="center" wrapText="1"/>
    </xf>
    <xf numFmtId="0" fontId="26" fillId="10" borderId="47" xfId="0" applyFont="1" applyFill="1" applyBorder="1" applyAlignment="1">
      <alignment horizontal="center" vertical="center" wrapText="1"/>
    </xf>
    <xf numFmtId="0" fontId="26" fillId="10" borderId="39" xfId="0" applyFont="1" applyFill="1" applyBorder="1" applyAlignment="1">
      <alignment horizontal="center" vertical="center" wrapText="1"/>
    </xf>
    <xf numFmtId="0" fontId="9" fillId="0" borderId="4" xfId="0" applyFont="1" applyBorder="1" applyAlignment="1">
      <alignment horizontal="center" vertical="center" shrinkToFit="1"/>
    </xf>
    <xf numFmtId="0" fontId="9" fillId="0" borderId="37" xfId="0" applyFont="1" applyBorder="1" applyAlignment="1">
      <alignment horizontal="center" vertical="center" shrinkToFit="1"/>
    </xf>
    <xf numFmtId="49" fontId="9" fillId="0" borderId="38" xfId="0" applyNumberFormat="1" applyFont="1" applyBorder="1" applyAlignment="1">
      <alignment horizontal="center" vertical="center"/>
    </xf>
    <xf numFmtId="0" fontId="9" fillId="0" borderId="27" xfId="0" applyFont="1" applyBorder="1" applyAlignment="1">
      <alignment horizontal="center" vertical="center" shrinkToFit="1"/>
    </xf>
    <xf numFmtId="49" fontId="9" fillId="0" borderId="41" xfId="0" applyNumberFormat="1" applyFont="1" applyBorder="1" applyAlignment="1">
      <alignment horizontal="center" vertical="center"/>
    </xf>
    <xf numFmtId="0" fontId="26" fillId="10" borderId="48" xfId="0" applyFont="1" applyFill="1" applyBorder="1" applyAlignment="1">
      <alignment horizontal="center" vertical="center" wrapText="1"/>
    </xf>
    <xf numFmtId="0" fontId="9" fillId="0" borderId="49" xfId="0" applyFont="1" applyBorder="1" applyAlignment="1">
      <alignment horizontal="center" vertical="center"/>
    </xf>
    <xf numFmtId="0" fontId="9" fillId="0" borderId="50" xfId="0" applyFont="1" applyBorder="1" applyAlignment="1">
      <alignment horizontal="center" vertical="center"/>
    </xf>
    <xf numFmtId="49" fontId="9" fillId="0" borderId="50" xfId="0" applyNumberFormat="1" applyFont="1" applyBorder="1" applyAlignment="1">
      <alignment horizontal="center" vertical="center"/>
    </xf>
    <xf numFmtId="0" fontId="9" fillId="0" borderId="4" xfId="0" applyFont="1" applyBorder="1" applyAlignment="1">
      <alignment horizontal="center" vertical="center"/>
    </xf>
    <xf numFmtId="0" fontId="9" fillId="0" borderId="27" xfId="0" applyFont="1" applyBorder="1" applyAlignment="1">
      <alignment horizontal="center" vertical="center"/>
    </xf>
    <xf numFmtId="0" fontId="38" fillId="0" borderId="0" xfId="0" applyFont="1" applyAlignment="1">
      <alignment horizontal="center"/>
    </xf>
    <xf numFmtId="0" fontId="26" fillId="10" borderId="51" xfId="0" applyFont="1" applyFill="1" applyBorder="1" applyAlignment="1">
      <alignment horizontal="centerContinuous" vertical="center" wrapText="1"/>
    </xf>
    <xf numFmtId="0" fontId="26" fillId="10" borderId="52" xfId="0" applyFont="1" applyFill="1" applyBorder="1" applyAlignment="1">
      <alignment horizontal="center" vertical="center" wrapText="1"/>
    </xf>
    <xf numFmtId="0" fontId="38" fillId="13" borderId="5" xfId="0" applyFont="1" applyFill="1" applyBorder="1" applyAlignment="1">
      <alignment horizontal="center"/>
    </xf>
    <xf numFmtId="0" fontId="38" fillId="13" borderId="13" xfId="0" applyFont="1" applyFill="1" applyBorder="1" applyAlignment="1">
      <alignment horizontal="center"/>
    </xf>
    <xf numFmtId="0" fontId="38" fillId="13" borderId="29" xfId="0" applyFont="1" applyFill="1" applyBorder="1" applyAlignment="1">
      <alignment horizontal="center"/>
    </xf>
    <xf numFmtId="0" fontId="40" fillId="0" borderId="0" xfId="0" applyFont="1" applyAlignment="1">
      <alignment horizontal="centerContinuous" vertical="center" wrapText="1"/>
    </xf>
    <xf numFmtId="0" fontId="41" fillId="0" borderId="0" xfId="0" applyFont="1" applyAlignment="1">
      <alignment horizontal="centerContinuous" vertical="center" wrapText="1"/>
    </xf>
    <xf numFmtId="0" fontId="36" fillId="0" borderId="0" xfId="0" applyFont="1" applyAlignment="1">
      <alignment horizontal="centerContinuous" vertical="center" wrapText="1"/>
    </xf>
    <xf numFmtId="0" fontId="4" fillId="0" borderId="24" xfId="0" applyFont="1" applyBorder="1" applyAlignment="1">
      <alignment horizontal="centerContinuous" vertical="center"/>
    </xf>
    <xf numFmtId="0" fontId="4" fillId="0" borderId="25" xfId="0" applyFont="1" applyBorder="1" applyAlignment="1">
      <alignment horizontal="centerContinuous" vertical="center"/>
    </xf>
    <xf numFmtId="0" fontId="5" fillId="0" borderId="25" xfId="0" applyFont="1" applyBorder="1" applyAlignment="1">
      <alignment horizontal="centerContinuous" vertical="center" wrapText="1"/>
    </xf>
    <xf numFmtId="0" fontId="5" fillId="0" borderId="26" xfId="0" applyFont="1" applyBorder="1" applyAlignment="1">
      <alignment horizontal="centerContinuous"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53" xfId="0" applyFont="1" applyBorder="1" applyAlignment="1">
      <alignment horizontal="right"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8" borderId="55" xfId="0" applyFont="1" applyFill="1" applyBorder="1" applyAlignment="1">
      <alignment horizontal="center" vertical="center" wrapText="1"/>
    </xf>
    <xf numFmtId="0" fontId="5" fillId="8" borderId="56" xfId="0" applyFont="1" applyFill="1" applyBorder="1" applyAlignment="1">
      <alignment horizontal="center" vertical="center" wrapText="1"/>
    </xf>
    <xf numFmtId="0" fontId="4" fillId="0" borderId="57" xfId="0" applyFont="1" applyBorder="1" applyAlignment="1">
      <alignment horizontal="right" vertical="center"/>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8" borderId="59" xfId="0" applyFont="1" applyFill="1" applyBorder="1" applyAlignment="1">
      <alignment horizontal="center" vertical="center" wrapText="1"/>
    </xf>
    <xf numFmtId="0" fontId="5" fillId="8" borderId="60" xfId="0" applyFont="1" applyFill="1" applyBorder="1" applyAlignment="1">
      <alignment horizontal="center" vertical="center" wrapText="1"/>
    </xf>
    <xf numFmtId="0" fontId="4" fillId="0" borderId="61" xfId="0" applyFont="1" applyBorder="1" applyAlignment="1">
      <alignment horizontal="right" vertical="center"/>
    </xf>
    <xf numFmtId="0" fontId="42" fillId="11" borderId="62" xfId="0" applyFont="1" applyFill="1" applyBorder="1" applyAlignment="1">
      <alignment horizontal="center" vertical="center" wrapText="1"/>
    </xf>
    <xf numFmtId="0" fontId="42" fillId="11" borderId="63" xfId="0" applyFont="1" applyFill="1" applyBorder="1" applyAlignment="1">
      <alignment horizontal="center" vertical="center" wrapText="1"/>
    </xf>
    <xf numFmtId="0" fontId="4" fillId="8" borderId="63" xfId="0" applyFont="1" applyFill="1" applyBorder="1" applyAlignment="1">
      <alignment horizontal="center" vertical="center" wrapText="1"/>
    </xf>
    <xf numFmtId="0" fontId="4" fillId="8" borderId="64" xfId="0" applyFont="1" applyFill="1" applyBorder="1" applyAlignment="1">
      <alignment horizontal="center" vertical="center" wrapText="1"/>
    </xf>
    <xf numFmtId="0" fontId="9" fillId="0" borderId="0" xfId="0" applyFont="1" applyAlignment="1">
      <alignment vertical="center" wrapText="1"/>
    </xf>
    <xf numFmtId="0" fontId="43" fillId="0" borderId="0" xfId="0" applyFont="1" applyAlignment="1">
      <alignment horizontal="centerContinuous" vertical="center" wrapText="1"/>
    </xf>
    <xf numFmtId="0" fontId="44" fillId="0" borderId="65" xfId="0" applyFont="1" applyBorder="1" applyAlignment="1">
      <alignment horizontal="center"/>
    </xf>
    <xf numFmtId="0" fontId="44" fillId="0" borderId="66" xfId="0" applyFont="1" applyBorder="1" applyAlignment="1">
      <alignment horizontal="center"/>
    </xf>
    <xf numFmtId="0" fontId="44" fillId="0" borderId="67" xfId="0" applyFont="1" applyBorder="1" applyAlignment="1">
      <alignment horizontal="center"/>
    </xf>
    <xf numFmtId="0" fontId="44" fillId="0" borderId="68" xfId="0" applyFont="1" applyBorder="1" applyAlignment="1">
      <alignment horizontal="center"/>
    </xf>
    <xf numFmtId="0" fontId="0" fillId="0" borderId="69" xfId="0" applyBorder="1" applyAlignment="1">
      <alignment horizontal="center"/>
    </xf>
    <xf numFmtId="49" fontId="0" fillId="0" borderId="70" xfId="0" applyNumberFormat="1" applyBorder="1" applyAlignment="1">
      <alignment horizontal="center"/>
    </xf>
    <xf numFmtId="0" fontId="0" fillId="8" borderId="71" xfId="0" applyFill="1" applyBorder="1" applyAlignment="1">
      <alignment horizontal="center"/>
    </xf>
    <xf numFmtId="0" fontId="0" fillId="8" borderId="72" xfId="0" applyFill="1" applyBorder="1" applyAlignment="1">
      <alignment horizontal="center"/>
    </xf>
    <xf numFmtId="0" fontId="0" fillId="0" borderId="73" xfId="0" applyBorder="1" applyAlignment="1">
      <alignment horizontal="center"/>
    </xf>
    <xf numFmtId="0" fontId="0" fillId="0" borderId="58" xfId="0" applyBorder="1" applyAlignment="1">
      <alignment horizontal="center"/>
    </xf>
    <xf numFmtId="0" fontId="0" fillId="8" borderId="59" xfId="0" applyFill="1" applyBorder="1" applyAlignment="1">
      <alignment horizontal="center"/>
    </xf>
    <xf numFmtId="0" fontId="0" fillId="8" borderId="60" xfId="0" applyFill="1" applyBorder="1" applyAlignment="1">
      <alignment horizontal="center"/>
    </xf>
    <xf numFmtId="0" fontId="0" fillId="0" borderId="59" xfId="0" applyBorder="1" applyAlignment="1">
      <alignment horizontal="center"/>
    </xf>
    <xf numFmtId="0" fontId="45" fillId="0" borderId="73" xfId="0" applyFont="1" applyBorder="1" applyAlignment="1">
      <alignment horizontal="center"/>
    </xf>
    <xf numFmtId="0" fontId="45" fillId="0" borderId="58" xfId="0" applyFont="1" applyBorder="1" applyAlignment="1">
      <alignment horizontal="center"/>
    </xf>
    <xf numFmtId="0" fontId="45" fillId="0" borderId="59" xfId="0" applyFont="1" applyBorder="1" applyAlignment="1">
      <alignment horizontal="center"/>
    </xf>
    <xf numFmtId="0" fontId="0" fillId="0" borderId="60" xfId="0" applyBorder="1" applyAlignment="1">
      <alignment horizontal="center"/>
    </xf>
    <xf numFmtId="0" fontId="0" fillId="0" borderId="74"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46" fillId="0" borderId="75" xfId="0" applyFont="1" applyBorder="1" applyAlignment="1">
      <alignment horizontal="centerContinuous" vertical="center"/>
    </xf>
    <xf numFmtId="0" fontId="47" fillId="0" borderId="75" xfId="0" applyFont="1" applyBorder="1" applyAlignment="1">
      <alignment horizontal="centerContinuous" vertical="center"/>
    </xf>
    <xf numFmtId="0" fontId="48" fillId="0" borderId="57" xfId="0" applyFont="1" applyBorder="1" applyAlignment="1">
      <alignment horizontal="center" vertical="center"/>
    </xf>
    <xf numFmtId="0" fontId="9" fillId="0" borderId="76" xfId="0" applyFont="1" applyBorder="1" applyAlignment="1">
      <alignment horizontal="centerContinuous" vertical="center"/>
    </xf>
    <xf numFmtId="0" fontId="9" fillId="0" borderId="57" xfId="0" applyFont="1" applyBorder="1" applyAlignment="1">
      <alignment horizontal="centerContinuous" vertical="center"/>
    </xf>
    <xf numFmtId="0" fontId="9" fillId="0" borderId="77" xfId="0" applyFont="1" applyBorder="1" applyAlignment="1">
      <alignment horizontal="centerContinuous" vertical="center"/>
    </xf>
    <xf numFmtId="0" fontId="34" fillId="0" borderId="61" xfId="0" applyFont="1" applyBorder="1" applyAlignment="1">
      <alignment horizontal="centerContinuous" vertical="center"/>
    </xf>
    <xf numFmtId="0" fontId="49" fillId="0" borderId="75" xfId="0" applyFont="1" applyBorder="1" applyAlignment="1">
      <alignment horizontal="centerContinuous" vertical="center"/>
    </xf>
    <xf numFmtId="0" fontId="9" fillId="0" borderId="78" xfId="0" applyFont="1" applyBorder="1" applyAlignment="1">
      <alignment horizontal="centerContinuous" vertical="center"/>
    </xf>
    <xf numFmtId="0" fontId="34" fillId="0" borderId="57" xfId="0" applyFont="1" applyBorder="1" applyAlignment="1">
      <alignment horizontal="centerContinuous" vertical="center"/>
    </xf>
    <xf numFmtId="0" fontId="9" fillId="0" borderId="78" xfId="0" quotePrefix="1" applyFont="1" applyBorder="1" applyAlignment="1">
      <alignment horizontal="centerContinuous" vertical="center"/>
    </xf>
    <xf numFmtId="0" fontId="9" fillId="0" borderId="77" xfId="0" quotePrefix="1" applyFont="1" applyBorder="1" applyAlignment="1">
      <alignment horizontal="centerContinuous" vertical="center"/>
    </xf>
    <xf numFmtId="0" fontId="50" fillId="0" borderId="75" xfId="0" applyFont="1" applyBorder="1" applyAlignment="1">
      <alignment horizontal="centerContinuous" vertical="center"/>
    </xf>
    <xf numFmtId="0" fontId="34" fillId="0" borderId="79" xfId="0" applyFont="1" applyBorder="1" applyAlignment="1">
      <alignment horizontal="center" vertical="center"/>
    </xf>
    <xf numFmtId="0" fontId="9" fillId="0" borderId="61" xfId="0" applyFont="1" applyBorder="1" applyAlignment="1">
      <alignment horizontal="centerContinuous" vertical="center"/>
    </xf>
    <xf numFmtId="0" fontId="34" fillId="0" borderId="78" xfId="0" applyFont="1" applyBorder="1" applyAlignment="1">
      <alignment horizontal="center" vertical="center"/>
    </xf>
    <xf numFmtId="0" fontId="34" fillId="0" borderId="57" xfId="0" applyFont="1" applyBorder="1" applyAlignment="1">
      <alignment horizontal="center" vertical="center"/>
    </xf>
    <xf numFmtId="0" fontId="34" fillId="0" borderId="79" xfId="0" applyFont="1" applyBorder="1" applyAlignment="1">
      <alignment horizontal="centerContinuous" vertical="center"/>
    </xf>
    <xf numFmtId="0" fontId="23" fillId="0" borderId="0" xfId="0" applyFont="1" applyAlignment="1">
      <alignment horizontal="centerContinuous" vertical="center"/>
    </xf>
    <xf numFmtId="0" fontId="5" fillId="0" borderId="0" xfId="0" applyFont="1" applyAlignment="1">
      <alignment vertical="center"/>
    </xf>
    <xf numFmtId="0" fontId="52" fillId="12" borderId="65" xfId="0" applyFont="1" applyFill="1" applyBorder="1" applyAlignment="1">
      <alignment horizontal="center" vertical="center"/>
    </xf>
    <xf numFmtId="0" fontId="52" fillId="12" borderId="80" xfId="0" applyFont="1" applyFill="1" applyBorder="1" applyAlignment="1">
      <alignment horizontal="center" vertical="center"/>
    </xf>
    <xf numFmtId="49" fontId="52" fillId="12" borderId="80" xfId="0" applyNumberFormat="1" applyFont="1" applyFill="1" applyBorder="1" applyAlignment="1">
      <alignment horizontal="center" vertical="center"/>
    </xf>
    <xf numFmtId="0" fontId="52" fillId="12" borderId="81" xfId="0" applyFont="1" applyFill="1" applyBorder="1" applyAlignment="1">
      <alignment horizontal="center" vertical="center"/>
    </xf>
    <xf numFmtId="0" fontId="53" fillId="6" borderId="81" xfId="0" applyFont="1" applyFill="1" applyBorder="1" applyAlignment="1">
      <alignment horizontal="center" vertical="center"/>
    </xf>
    <xf numFmtId="0" fontId="52" fillId="12" borderId="82" xfId="0" applyFont="1" applyFill="1" applyBorder="1" applyAlignment="1">
      <alignment horizontal="center" vertical="center"/>
    </xf>
    <xf numFmtId="0" fontId="52" fillId="12" borderId="75" xfId="0" applyFont="1" applyFill="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4" xfId="0" quotePrefix="1" applyFont="1" applyBorder="1" applyAlignment="1">
      <alignment horizontal="center" vertical="center" wrapText="1"/>
    </xf>
    <xf numFmtId="49" fontId="5" fillId="0" borderId="84" xfId="3" applyNumberFormat="1" applyFont="1" applyFill="1" applyBorder="1" applyAlignment="1">
      <alignment horizontal="center" vertical="center"/>
    </xf>
    <xf numFmtId="0" fontId="5" fillId="0" borderId="84" xfId="0" applyFont="1" applyBorder="1" applyAlignment="1">
      <alignment horizontal="center" vertical="center" shrinkToFit="1"/>
    </xf>
    <xf numFmtId="164" fontId="5" fillId="0" borderId="84" xfId="0" applyNumberFormat="1" applyFont="1" applyBorder="1" applyAlignment="1">
      <alignment horizontal="center" vertical="center"/>
    </xf>
    <xf numFmtId="164" fontId="5" fillId="0" borderId="85" xfId="0" applyNumberFormat="1" applyFont="1" applyBorder="1" applyAlignment="1">
      <alignment horizontal="center" vertical="center"/>
    </xf>
    <xf numFmtId="1" fontId="54" fillId="6" borderId="85" xfId="0" applyNumberFormat="1" applyFont="1" applyFill="1" applyBorder="1" applyAlignment="1">
      <alignment horizontal="center" vertical="center"/>
    </xf>
    <xf numFmtId="1" fontId="5" fillId="0" borderId="85" xfId="0" applyNumberFormat="1" applyFont="1" applyBorder="1" applyAlignment="1">
      <alignment horizontal="center" vertical="center"/>
    </xf>
    <xf numFmtId="0" fontId="5" fillId="0" borderId="86" xfId="0" applyFont="1" applyBorder="1" applyAlignment="1">
      <alignment horizontal="center" vertical="center"/>
    </xf>
    <xf numFmtId="1" fontId="5" fillId="0" borderId="57" xfId="0" applyNumberFormat="1" applyFont="1" applyBorder="1" applyAlignment="1">
      <alignment horizontal="center" vertical="center"/>
    </xf>
    <xf numFmtId="0" fontId="5" fillId="0" borderId="88" xfId="0" applyFont="1" applyBorder="1" applyAlignment="1">
      <alignment horizontal="center" vertical="center"/>
    </xf>
    <xf numFmtId="164" fontId="5" fillId="0" borderId="88" xfId="0" applyNumberFormat="1" applyFont="1" applyBorder="1" applyAlignment="1">
      <alignment horizontal="center" vertical="center"/>
    </xf>
    <xf numFmtId="1" fontId="54" fillId="6" borderId="89" xfId="0" applyNumberFormat="1" applyFont="1" applyFill="1" applyBorder="1" applyAlignment="1">
      <alignment horizontal="center" vertical="center"/>
    </xf>
    <xf numFmtId="1" fontId="5" fillId="0" borderId="91" xfId="0" applyNumberFormat="1" applyFont="1" applyBorder="1" applyAlignment="1">
      <alignment horizontal="center" vertical="center"/>
    </xf>
    <xf numFmtId="1" fontId="54" fillId="6" borderId="42" xfId="0" applyNumberFormat="1" applyFont="1" applyFill="1" applyBorder="1" applyAlignment="1">
      <alignment horizontal="center" vertic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41" xfId="0" applyFont="1" applyBorder="1" applyAlignment="1">
      <alignment horizontal="center" vertical="center"/>
    </xf>
    <xf numFmtId="49" fontId="5" fillId="0" borderId="41" xfId="0" applyNumberFormat="1" applyFont="1" applyBorder="1" applyAlignment="1">
      <alignment horizontal="center" vertical="center"/>
    </xf>
    <xf numFmtId="164" fontId="5" fillId="0" borderId="42" xfId="0" applyNumberFormat="1" applyFont="1" applyBorder="1" applyAlignment="1">
      <alignment horizontal="center" vertical="center"/>
    </xf>
    <xf numFmtId="1" fontId="5" fillId="0" borderId="42" xfId="0" applyNumberFormat="1" applyFont="1" applyBorder="1" applyAlignment="1">
      <alignment horizontal="center" vertical="center"/>
    </xf>
    <xf numFmtId="1" fontId="5" fillId="0" borderId="61" xfId="0" applyNumberFormat="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52" fillId="12" borderId="81" xfId="0" applyFont="1" applyFill="1" applyBorder="1" applyAlignment="1">
      <alignment horizontal="centerContinuous" vertical="center"/>
    </xf>
    <xf numFmtId="0" fontId="52" fillId="12" borderId="95" xfId="0" applyFont="1" applyFill="1" applyBorder="1" applyAlignment="1">
      <alignment horizontal="centerContinuous" vertical="center"/>
    </xf>
    <xf numFmtId="0" fontId="52" fillId="12" borderId="96" xfId="0" applyFont="1" applyFill="1" applyBorder="1" applyAlignment="1">
      <alignment horizontal="centerContinuous" vertical="center"/>
    </xf>
    <xf numFmtId="0" fontId="5" fillId="0" borderId="92" xfId="0" applyFont="1" applyBorder="1" applyAlignment="1">
      <alignment horizontal="center" vertical="center" shrinkToFit="1"/>
    </xf>
    <xf numFmtId="0" fontId="5" fillId="0" borderId="93" xfId="0" applyFont="1" applyBorder="1" applyAlignment="1">
      <alignment horizontal="center" vertical="center"/>
    </xf>
    <xf numFmtId="0" fontId="5" fillId="0" borderId="93" xfId="0" quotePrefix="1" applyFont="1" applyBorder="1" applyAlignment="1">
      <alignment horizontal="center" vertical="center"/>
    </xf>
    <xf numFmtId="9" fontId="5" fillId="0" borderId="93" xfId="0" applyNumberFormat="1" applyFont="1" applyBorder="1" applyAlignment="1">
      <alignment horizontal="center" vertical="center"/>
    </xf>
    <xf numFmtId="49" fontId="5" fillId="0" borderId="93" xfId="0" quotePrefix="1" applyNumberFormat="1" applyFont="1" applyBorder="1" applyAlignment="1">
      <alignment horizontal="center" vertical="center"/>
    </xf>
    <xf numFmtId="164" fontId="5" fillId="0" borderId="93" xfId="0" applyNumberFormat="1" applyFont="1" applyBorder="1" applyAlignment="1">
      <alignment horizontal="center" vertical="center"/>
    </xf>
    <xf numFmtId="164" fontId="5" fillId="0" borderId="94" xfId="0" applyNumberFormat="1" applyFont="1" applyBorder="1" applyAlignment="1">
      <alignment horizontal="centerContinuous" vertical="center"/>
    </xf>
    <xf numFmtId="164" fontId="5" fillId="0" borderId="97" xfId="0" applyNumberFormat="1" applyFont="1" applyBorder="1" applyAlignment="1">
      <alignment horizontal="centerContinuous" vertical="center"/>
    </xf>
    <xf numFmtId="0" fontId="5" fillId="0" borderId="98" xfId="0" quotePrefix="1" applyFont="1" applyBorder="1" applyAlignment="1">
      <alignment horizontal="centerContinuous" vertical="center"/>
    </xf>
    <xf numFmtId="1" fontId="5" fillId="0" borderId="99" xfId="0" applyNumberFormat="1" applyFont="1" applyBorder="1" applyAlignment="1">
      <alignment horizontal="center" vertical="center"/>
    </xf>
    <xf numFmtId="0" fontId="5" fillId="0" borderId="87" xfId="0" applyFont="1" applyBorder="1" applyAlignment="1">
      <alignment horizontal="center" vertical="center" shrinkToFit="1"/>
    </xf>
    <xf numFmtId="0" fontId="5" fillId="0" borderId="88" xfId="0" quotePrefix="1" applyFont="1" applyBorder="1" applyAlignment="1">
      <alignment horizontal="center" vertical="center"/>
    </xf>
    <xf numFmtId="9" fontId="5" fillId="0" borderId="88" xfId="0" applyNumberFormat="1" applyFont="1" applyBorder="1" applyAlignment="1">
      <alignment horizontal="center" vertical="center"/>
    </xf>
    <xf numFmtId="49" fontId="5" fillId="0" borderId="88" xfId="0" quotePrefix="1" applyNumberFormat="1" applyFont="1" applyBorder="1" applyAlignment="1">
      <alignment horizontal="center" vertical="center"/>
    </xf>
    <xf numFmtId="164" fontId="5" fillId="0" borderId="89" xfId="0" applyNumberFormat="1" applyFont="1" applyBorder="1" applyAlignment="1">
      <alignment horizontal="centerContinuous" vertical="center"/>
    </xf>
    <xf numFmtId="164" fontId="5" fillId="0" borderId="100" xfId="0" applyNumberFormat="1" applyFont="1" applyBorder="1" applyAlignment="1">
      <alignment horizontal="centerContinuous" vertical="center"/>
    </xf>
    <xf numFmtId="0" fontId="5" fillId="0" borderId="101" xfId="0" quotePrefix="1" applyFont="1" applyBorder="1" applyAlignment="1">
      <alignment horizontal="centerContinuous" vertical="center"/>
    </xf>
    <xf numFmtId="0" fontId="56" fillId="14" borderId="102" xfId="0" applyFont="1" applyFill="1" applyBorder="1" applyAlignment="1">
      <alignment horizontal="center" vertical="center"/>
    </xf>
    <xf numFmtId="0" fontId="56" fillId="14" borderId="103" xfId="0" applyFont="1" applyFill="1" applyBorder="1" applyAlignment="1">
      <alignment horizontal="center" vertical="center"/>
    </xf>
    <xf numFmtId="0" fontId="56" fillId="14" borderId="103" xfId="0" quotePrefix="1" applyFont="1" applyFill="1" applyBorder="1" applyAlignment="1">
      <alignment horizontal="center" vertical="center"/>
    </xf>
    <xf numFmtId="9" fontId="56" fillId="14" borderId="103" xfId="0" applyNumberFormat="1" applyFont="1" applyFill="1" applyBorder="1" applyAlignment="1">
      <alignment horizontal="center" vertical="center"/>
    </xf>
    <xf numFmtId="164" fontId="56" fillId="14" borderId="103" xfId="0" applyNumberFormat="1" applyFont="1" applyFill="1" applyBorder="1" applyAlignment="1">
      <alignment horizontal="center" vertical="center"/>
    </xf>
    <xf numFmtId="164" fontId="56" fillId="14" borderId="104" xfId="0" applyNumberFormat="1" applyFont="1" applyFill="1" applyBorder="1" applyAlignment="1">
      <alignment horizontal="centerContinuous" vertical="center"/>
    </xf>
    <xf numFmtId="164" fontId="56" fillId="14" borderId="105" xfId="0" applyNumberFormat="1" applyFont="1" applyFill="1" applyBorder="1" applyAlignment="1">
      <alignment horizontal="centerContinuous" vertical="center"/>
    </xf>
    <xf numFmtId="0" fontId="56" fillId="14" borderId="106" xfId="0" applyFont="1" applyFill="1" applyBorder="1" applyAlignment="1">
      <alignment horizontal="centerContinuous" vertical="center"/>
    </xf>
    <xf numFmtId="1" fontId="56" fillId="14" borderId="61" xfId="0" applyNumberFormat="1" applyFont="1" applyFill="1" applyBorder="1" applyAlignment="1">
      <alignment horizontal="center" vertical="center"/>
    </xf>
    <xf numFmtId="0" fontId="52" fillId="12" borderId="107" xfId="0" applyFont="1" applyFill="1" applyBorder="1" applyAlignment="1">
      <alignment horizontal="centerContinuous" vertical="center"/>
    </xf>
    <xf numFmtId="0" fontId="52" fillId="12" borderId="108" xfId="0" applyFont="1" applyFill="1" applyBorder="1" applyAlignment="1">
      <alignment horizontal="centerContinuous" vertical="center"/>
    </xf>
    <xf numFmtId="0" fontId="57" fillId="0" borderId="109" xfId="0" applyFont="1" applyBorder="1" applyAlignment="1">
      <alignment horizontal="centerContinuous" vertical="center"/>
    </xf>
    <xf numFmtId="0" fontId="5" fillId="0" borderId="110" xfId="0" applyFont="1" applyBorder="1" applyAlignment="1">
      <alignment horizontal="centerContinuous" vertical="center"/>
    </xf>
    <xf numFmtId="0" fontId="5" fillId="0" borderId="94" xfId="0" applyFont="1" applyBorder="1" applyAlignment="1">
      <alignment horizontal="centerContinuous" vertical="center"/>
    </xf>
    <xf numFmtId="49" fontId="5" fillId="0" borderId="94" xfId="0" applyNumberFormat="1" applyFont="1" applyBorder="1" applyAlignment="1">
      <alignment horizontal="centerContinuous" vertical="center"/>
    </xf>
    <xf numFmtId="49" fontId="5" fillId="0" borderId="97" xfId="0" applyNumberFormat="1" applyFont="1" applyBorder="1" applyAlignment="1">
      <alignment horizontal="centerContinuous" vertical="center"/>
    </xf>
    <xf numFmtId="0" fontId="5" fillId="0" borderId="98" xfId="0" applyFont="1" applyBorder="1" applyAlignment="1">
      <alignment horizontal="centerContinuous" vertical="center"/>
    </xf>
    <xf numFmtId="0" fontId="58" fillId="0" borderId="111" xfId="0" applyFont="1" applyBorder="1" applyAlignment="1">
      <alignment horizontal="centerContinuous" vertical="center"/>
    </xf>
    <xf numFmtId="0" fontId="5" fillId="0" borderId="112" xfId="0" applyFont="1" applyBorder="1" applyAlignment="1">
      <alignment horizontal="centerContinuous" vertical="center"/>
    </xf>
    <xf numFmtId="0" fontId="5" fillId="0" borderId="89" xfId="0" applyFont="1" applyBorder="1" applyAlignment="1">
      <alignment horizontal="centerContinuous" vertical="center"/>
    </xf>
    <xf numFmtId="49" fontId="5" fillId="0" borderId="89" xfId="0" applyNumberFormat="1" applyFont="1" applyBorder="1" applyAlignment="1">
      <alignment horizontal="center" vertical="center"/>
    </xf>
    <xf numFmtId="49" fontId="5" fillId="0" borderId="89" xfId="0" applyNumberFormat="1" applyFont="1" applyBorder="1" applyAlignment="1">
      <alignment horizontal="centerContinuous" vertical="center"/>
    </xf>
    <xf numFmtId="49" fontId="5" fillId="0" borderId="100" xfId="0" applyNumberFormat="1" applyFont="1" applyBorder="1" applyAlignment="1">
      <alignment horizontal="centerContinuous" vertical="center"/>
    </xf>
    <xf numFmtId="0" fontId="5" fillId="0" borderId="101" xfId="0" applyFont="1" applyBorder="1" applyAlignment="1">
      <alignment horizontal="centerContinuous" vertical="center"/>
    </xf>
    <xf numFmtId="0" fontId="59" fillId="0" borderId="111" xfId="0" applyFont="1" applyBorder="1" applyAlignment="1">
      <alignment horizontal="centerContinuous" vertical="center"/>
    </xf>
    <xf numFmtId="0" fontId="5" fillId="0" borderId="111" xfId="0" applyFont="1" applyBorder="1" applyAlignment="1">
      <alignment horizontal="centerContinuous" vertical="center"/>
    </xf>
    <xf numFmtId="0" fontId="5" fillId="0" borderId="113" xfId="0" applyFont="1" applyBorder="1" applyAlignment="1">
      <alignment horizontal="centerContinuous" vertical="center"/>
    </xf>
    <xf numFmtId="0" fontId="5" fillId="0" borderId="114" xfId="0" applyFont="1" applyBorder="1" applyAlignment="1">
      <alignment horizontal="centerContinuous" vertical="center"/>
    </xf>
    <xf numFmtId="0" fontId="5" fillId="0" borderId="104" xfId="0" applyFont="1" applyBorder="1" applyAlignment="1">
      <alignment horizontal="centerContinuous" vertical="center"/>
    </xf>
    <xf numFmtId="164" fontId="5" fillId="0" borderId="103" xfId="0" applyNumberFormat="1" applyFont="1" applyBorder="1" applyAlignment="1">
      <alignment horizontal="center" vertical="center"/>
    </xf>
    <xf numFmtId="49" fontId="5" fillId="0" borderId="103" xfId="0" applyNumberFormat="1" applyFont="1" applyBorder="1" applyAlignment="1">
      <alignment horizontal="center" vertical="center"/>
    </xf>
    <xf numFmtId="49" fontId="5" fillId="0" borderId="104" xfId="0" applyNumberFormat="1" applyFont="1" applyBorder="1" applyAlignment="1">
      <alignment horizontal="centerContinuous" vertical="center"/>
    </xf>
    <xf numFmtId="49" fontId="5" fillId="0" borderId="105" xfId="0" applyNumberFormat="1" applyFont="1" applyBorder="1" applyAlignment="1">
      <alignment horizontal="centerContinuous" vertical="center"/>
    </xf>
    <xf numFmtId="0" fontId="5" fillId="0" borderId="106" xfId="0" applyFont="1" applyBorder="1" applyAlignment="1">
      <alignment horizontal="centerContinuous" vertical="center"/>
    </xf>
    <xf numFmtId="0" fontId="52" fillId="12" borderId="115" xfId="0" applyFont="1" applyFill="1" applyBorder="1" applyAlignment="1">
      <alignment horizontal="center" vertical="center"/>
    </xf>
    <xf numFmtId="0" fontId="52" fillId="12" borderId="116" xfId="0" applyFont="1" applyFill="1" applyBorder="1" applyAlignment="1">
      <alignment horizontal="centerContinuous" vertical="center"/>
    </xf>
    <xf numFmtId="0" fontId="5" fillId="0" borderId="111" xfId="0" applyFont="1" applyBorder="1" applyAlignment="1">
      <alignment horizontal="centerContinuous" vertical="center" shrinkToFit="1"/>
    </xf>
    <xf numFmtId="0" fontId="52" fillId="0" borderId="100" xfId="0" applyFont="1" applyBorder="1" applyAlignment="1">
      <alignment horizontal="centerContinuous" vertical="center"/>
    </xf>
    <xf numFmtId="0" fontId="5" fillId="0" borderId="113" xfId="0" applyFont="1" applyBorder="1" applyAlignment="1">
      <alignment horizontal="centerContinuous" vertical="center" shrinkToFit="1"/>
    </xf>
    <xf numFmtId="0" fontId="52" fillId="0" borderId="105" xfId="0" applyFont="1" applyBorder="1" applyAlignment="1">
      <alignment horizontal="centerContinuous" vertical="center"/>
    </xf>
    <xf numFmtId="0" fontId="5" fillId="0" borderId="103" xfId="0" applyFont="1" applyBorder="1" applyAlignment="1">
      <alignment horizontal="center" vertical="center"/>
    </xf>
    <xf numFmtId="165" fontId="5" fillId="0" borderId="0" xfId="0" applyNumberFormat="1" applyFont="1" applyAlignment="1">
      <alignment horizontal="center" vertical="center"/>
    </xf>
    <xf numFmtId="164" fontId="23" fillId="0" borderId="0" xfId="0" applyNumberFormat="1" applyFont="1" applyAlignment="1">
      <alignment horizontal="centerContinuous" vertical="center"/>
    </xf>
    <xf numFmtId="0" fontId="52" fillId="5" borderId="33" xfId="0" applyFont="1" applyFill="1" applyBorder="1" applyAlignment="1">
      <alignment horizontal="center" vertical="center"/>
    </xf>
    <xf numFmtId="164" fontId="52" fillId="5" borderId="32" xfId="0" applyNumberFormat="1" applyFont="1" applyFill="1" applyBorder="1" applyAlignment="1">
      <alignment horizontal="center" vertical="center"/>
    </xf>
    <xf numFmtId="0" fontId="52" fillId="5" borderId="33" xfId="0" applyFont="1" applyFill="1" applyBorder="1" applyAlignment="1">
      <alignment horizontal="right" vertical="center"/>
    </xf>
    <xf numFmtId="0" fontId="52" fillId="5" borderId="117" xfId="0" applyFont="1" applyFill="1" applyBorder="1" applyAlignment="1">
      <alignment vertical="center"/>
    </xf>
    <xf numFmtId="164" fontId="52" fillId="5" borderId="75" xfId="0" applyNumberFormat="1" applyFont="1" applyFill="1" applyBorder="1" applyAlignment="1">
      <alignment horizontal="center" vertical="center"/>
    </xf>
    <xf numFmtId="0" fontId="5" fillId="0" borderId="118" xfId="0" applyFont="1" applyBorder="1" applyAlignment="1">
      <alignment horizontal="center" vertical="center" shrinkToFit="1"/>
    </xf>
    <xf numFmtId="0" fontId="5" fillId="0" borderId="119" xfId="0" applyFont="1" applyBorder="1" applyAlignment="1">
      <alignment horizontal="center" vertical="center" shrinkToFit="1"/>
    </xf>
    <xf numFmtId="164" fontId="5" fillId="0" borderId="120" xfId="0" applyNumberFormat="1" applyFont="1" applyBorder="1" applyAlignment="1">
      <alignment horizontal="center" vertical="center" shrinkToFit="1"/>
    </xf>
    <xf numFmtId="0" fontId="5" fillId="0" borderId="120" xfId="0" applyFont="1" applyBorder="1" applyAlignment="1">
      <alignment horizontal="left" vertical="center"/>
    </xf>
    <xf numFmtId="0" fontId="5" fillId="0" borderId="121" xfId="0" applyFont="1" applyBorder="1" applyAlignment="1">
      <alignment horizontal="left" vertical="center" shrinkToFit="1"/>
    </xf>
    <xf numFmtId="1" fontId="5" fillId="15" borderId="76" xfId="0" applyNumberFormat="1" applyFont="1" applyFill="1" applyBorder="1" applyAlignment="1">
      <alignment horizontal="center" vertical="center" shrinkToFit="1"/>
    </xf>
    <xf numFmtId="0" fontId="5" fillId="0" borderId="122" xfId="0" applyFont="1" applyBorder="1" applyAlignment="1">
      <alignment horizontal="center" vertical="center" shrinkToFit="1"/>
    </xf>
    <xf numFmtId="0" fontId="5" fillId="0" borderId="58" xfId="0" applyFont="1" applyBorder="1" applyAlignment="1">
      <alignment horizontal="center" vertical="center" shrinkToFit="1"/>
    </xf>
    <xf numFmtId="164" fontId="5" fillId="0" borderId="59" xfId="0" applyNumberFormat="1" applyFont="1" applyBorder="1" applyAlignment="1">
      <alignment horizontal="center" vertical="center" shrinkToFit="1"/>
    </xf>
    <xf numFmtId="0" fontId="5" fillId="0" borderId="59" xfId="0" applyFont="1" applyBorder="1" applyAlignment="1">
      <alignment horizontal="left" vertical="center"/>
    </xf>
    <xf numFmtId="0" fontId="5" fillId="0" borderId="60" xfId="0" applyFont="1" applyBorder="1" applyAlignment="1">
      <alignment horizontal="left" vertical="center" shrinkToFit="1"/>
    </xf>
    <xf numFmtId="1" fontId="5" fillId="0" borderId="78" xfId="0" applyNumberFormat="1" applyFont="1" applyBorder="1" applyAlignment="1">
      <alignment horizontal="center" vertical="center" shrinkToFit="1"/>
    </xf>
    <xf numFmtId="1" fontId="5" fillId="15" borderId="57" xfId="0" applyNumberFormat="1" applyFont="1" applyFill="1" applyBorder="1" applyAlignment="1">
      <alignment horizontal="center" vertical="center" shrinkToFit="1"/>
    </xf>
    <xf numFmtId="0" fontId="5" fillId="0" borderId="123" xfId="0" applyFont="1" applyBorder="1" applyAlignment="1">
      <alignment horizontal="center" vertical="center" shrinkToFit="1"/>
    </xf>
    <xf numFmtId="0" fontId="5" fillId="0" borderId="62" xfId="0" applyFont="1" applyBorder="1" applyAlignment="1">
      <alignment horizontal="center" vertical="center" shrinkToFit="1"/>
    </xf>
    <xf numFmtId="164" fontId="5" fillId="0" borderId="63" xfId="0" applyNumberFormat="1" applyFont="1" applyBorder="1" applyAlignment="1">
      <alignment horizontal="center" vertical="center" shrinkToFit="1"/>
    </xf>
    <xf numFmtId="0" fontId="5" fillId="0" borderId="63" xfId="0" applyFont="1" applyBorder="1" applyAlignment="1">
      <alignment horizontal="left" vertical="center"/>
    </xf>
    <xf numFmtId="0" fontId="5" fillId="0" borderId="64" xfId="0" applyFont="1" applyBorder="1" applyAlignment="1">
      <alignment horizontal="left" vertical="center" shrinkToFit="1"/>
    </xf>
    <xf numFmtId="164" fontId="23" fillId="0" borderId="0" xfId="0" applyNumberFormat="1" applyFont="1" applyAlignment="1">
      <alignment horizontal="centerContinuous" vertical="center" shrinkToFit="1"/>
    </xf>
    <xf numFmtId="0" fontId="23" fillId="0" borderId="0" xfId="0" applyFont="1" applyAlignment="1">
      <alignment horizontal="centerContinuous" vertical="center" shrinkToFit="1"/>
    </xf>
    <xf numFmtId="0" fontId="5" fillId="0" borderId="120" xfId="0" applyFont="1" applyBorder="1" applyAlignment="1">
      <alignment horizontal="center" vertical="center" shrinkToFit="1"/>
    </xf>
    <xf numFmtId="0" fontId="5" fillId="0" borderId="59" xfId="0" applyFont="1" applyBorder="1" applyAlignment="1">
      <alignment horizontal="center" vertical="center" shrinkToFit="1"/>
    </xf>
    <xf numFmtId="164" fontId="5" fillId="0" borderId="124" xfId="0" applyNumberFormat="1" applyFont="1" applyBorder="1" applyAlignment="1">
      <alignment horizontal="center" vertical="center" shrinkToFit="1"/>
    </xf>
    <xf numFmtId="1" fontId="5" fillId="15" borderId="78" xfId="0" applyNumberFormat="1" applyFont="1" applyFill="1" applyBorder="1" applyAlignment="1">
      <alignment horizontal="center" vertical="center" shrinkToFit="1"/>
    </xf>
    <xf numFmtId="0" fontId="5" fillId="0" borderId="59" xfId="0" quotePrefix="1" applyFont="1" applyBorder="1" applyAlignment="1">
      <alignment horizontal="left" vertical="center"/>
    </xf>
    <xf numFmtId="0" fontId="5" fillId="0" borderId="63" xfId="0" applyFont="1" applyBorder="1" applyAlignment="1">
      <alignment horizontal="center" vertical="center" shrinkToFit="1"/>
    </xf>
    <xf numFmtId="1" fontId="5" fillId="15" borderId="61" xfId="0" applyNumberFormat="1" applyFont="1" applyFill="1" applyBorder="1" applyAlignment="1">
      <alignment horizontal="center" vertical="center" shrinkToFit="1"/>
    </xf>
    <xf numFmtId="0" fontId="23" fillId="0" borderId="0" xfId="0" applyFont="1" applyAlignment="1">
      <alignment vertical="center"/>
    </xf>
    <xf numFmtId="1" fontId="5" fillId="0" borderId="0" xfId="0" applyNumberFormat="1" applyFont="1" applyAlignment="1">
      <alignment vertical="center"/>
    </xf>
    <xf numFmtId="164" fontId="5" fillId="0" borderId="76" xfId="0" applyNumberFormat="1" applyFont="1" applyBorder="1" applyAlignment="1">
      <alignment horizontal="center" vertical="center" shrinkToFit="1"/>
    </xf>
    <xf numFmtId="164" fontId="5" fillId="0" borderId="78" xfId="0" applyNumberFormat="1" applyFont="1" applyBorder="1" applyAlignment="1">
      <alignment horizontal="center" vertical="center" shrinkToFit="1"/>
    </xf>
    <xf numFmtId="164" fontId="5" fillId="0" borderId="57" xfId="0" applyNumberFormat="1" applyFont="1" applyBorder="1" applyAlignment="1">
      <alignment horizontal="center" vertical="center" shrinkToFit="1"/>
    </xf>
    <xf numFmtId="164" fontId="5" fillId="0" borderId="61" xfId="0" applyNumberFormat="1" applyFont="1" applyBorder="1" applyAlignment="1">
      <alignment horizontal="center" vertical="center" shrinkToFit="1"/>
    </xf>
    <xf numFmtId="0" fontId="39" fillId="0" borderId="28" xfId="0" applyFont="1" applyBorder="1" applyAlignment="1">
      <alignment horizontal="centerContinuous" vertical="center" wrapText="1"/>
    </xf>
    <xf numFmtId="0" fontId="22" fillId="0" borderId="28" xfId="0" applyFont="1" applyBorder="1" applyAlignment="1">
      <alignment horizontal="centerContinuous" vertical="center" wrapText="1"/>
    </xf>
    <xf numFmtId="0" fontId="21" fillId="7" borderId="4" xfId="0" applyFont="1" applyFill="1" applyBorder="1" applyAlignment="1">
      <alignment vertical="center"/>
    </xf>
    <xf numFmtId="49" fontId="33" fillId="7" borderId="35" xfId="0" applyNumberFormat="1" applyFont="1" applyFill="1" applyBorder="1" applyAlignment="1">
      <alignment horizontal="center" vertical="center"/>
    </xf>
    <xf numFmtId="0" fontId="33" fillId="7" borderId="36" xfId="0" applyFont="1" applyFill="1" applyBorder="1" applyAlignment="1">
      <alignment horizontal="center" vertical="center"/>
    </xf>
    <xf numFmtId="0" fontId="21" fillId="7" borderId="36" xfId="0" applyFont="1" applyFill="1" applyBorder="1" applyAlignment="1">
      <alignment horizontal="center" vertical="center"/>
    </xf>
    <xf numFmtId="0" fontId="38" fillId="13" borderId="39" xfId="0" applyFont="1" applyFill="1" applyBorder="1" applyAlignment="1">
      <alignment horizontal="center"/>
    </xf>
    <xf numFmtId="0" fontId="61" fillId="2" borderId="125" xfId="5" applyFont="1" applyFill="1" applyBorder="1" applyAlignment="1">
      <alignment horizontal="right" vertical="center"/>
    </xf>
    <xf numFmtId="0" fontId="3" fillId="2" borderId="126" xfId="5" applyFont="1" applyFill="1" applyBorder="1" applyAlignment="1">
      <alignment horizontal="left" vertical="center"/>
    </xf>
    <xf numFmtId="0" fontId="5" fillId="2" borderId="126" xfId="5" applyFill="1" applyBorder="1" applyAlignment="1">
      <alignment horizontal="left" vertical="center"/>
    </xf>
    <xf numFmtId="0" fontId="4" fillId="2" borderId="126" xfId="5" applyFont="1" applyFill="1" applyBorder="1" applyAlignment="1">
      <alignment horizontal="centerContinuous" vertical="center"/>
    </xf>
    <xf numFmtId="0" fontId="62" fillId="2" borderId="127" xfId="5" applyFont="1" applyFill="1" applyBorder="1" applyAlignment="1">
      <alignment horizontal="right" vertical="center"/>
    </xf>
    <xf numFmtId="0" fontId="5" fillId="0" borderId="0" xfId="5" applyAlignment="1">
      <alignment vertical="center"/>
    </xf>
    <xf numFmtId="0" fontId="8" fillId="0" borderId="4" xfId="5" applyFont="1" applyBorder="1" applyAlignment="1">
      <alignment horizontal="right" vertical="center"/>
    </xf>
    <xf numFmtId="0" fontId="9" fillId="0" borderId="0" xfId="5" applyFont="1" applyAlignment="1">
      <alignment horizontal="centerContinuous" vertical="center"/>
    </xf>
    <xf numFmtId="0" fontId="8" fillId="0" borderId="0" xfId="5" applyFont="1" applyAlignment="1">
      <alignment horizontal="right" vertical="center"/>
    </xf>
    <xf numFmtId="0" fontId="9" fillId="0" borderId="0" xfId="5" applyFont="1" applyAlignment="1">
      <alignment horizontal="center" vertical="center"/>
    </xf>
    <xf numFmtId="49" fontId="9" fillId="0" borderId="5" xfId="5" quotePrefix="1" applyNumberFormat="1" applyFont="1" applyBorder="1" applyAlignment="1">
      <alignment horizontal="center" vertical="center"/>
    </xf>
    <xf numFmtId="0" fontId="8" fillId="0" borderId="27" xfId="5" applyFont="1" applyBorder="1" applyAlignment="1">
      <alignment horizontal="right" vertical="center"/>
    </xf>
    <xf numFmtId="0" fontId="63" fillId="0" borderId="28" xfId="5" applyFont="1" applyBorder="1" applyAlignment="1">
      <alignment horizontal="centerContinuous" vertical="center"/>
    </xf>
    <xf numFmtId="0" fontId="9" fillId="0" borderId="28" xfId="5" applyFont="1" applyBorder="1" applyAlignment="1">
      <alignment horizontal="centerContinuous" vertical="center"/>
    </xf>
    <xf numFmtId="0" fontId="8" fillId="0" borderId="28" xfId="5" applyFont="1" applyBorder="1" applyAlignment="1">
      <alignment horizontal="right" vertical="center"/>
    </xf>
    <xf numFmtId="0" fontId="9" fillId="0" borderId="28" xfId="5" applyFont="1" applyBorder="1" applyAlignment="1">
      <alignment horizontal="center" vertical="center"/>
    </xf>
    <xf numFmtId="0" fontId="9" fillId="0" borderId="29" xfId="5" applyFont="1" applyBorder="1" applyAlignment="1">
      <alignment horizontal="center" vertical="center"/>
    </xf>
    <xf numFmtId="0" fontId="10" fillId="2" borderId="11" xfId="5" applyFont="1" applyFill="1" applyBorder="1" applyAlignment="1">
      <alignment horizontal="right" vertical="center"/>
    </xf>
    <xf numFmtId="0" fontId="9" fillId="0" borderId="16" xfId="5" applyFont="1" applyBorder="1" applyAlignment="1">
      <alignment horizontal="center" vertical="center"/>
    </xf>
    <xf numFmtId="0" fontId="11" fillId="0" borderId="7" xfId="5" applyFont="1" applyBorder="1" applyAlignment="1">
      <alignment horizontal="center" vertical="center"/>
    </xf>
    <xf numFmtId="0" fontId="10" fillId="3" borderId="128" xfId="5" applyFont="1" applyFill="1" applyBorder="1" applyAlignment="1">
      <alignment horizontal="right" vertical="center"/>
    </xf>
    <xf numFmtId="1" fontId="9" fillId="0" borderId="22" xfId="5" applyNumberFormat="1" applyFont="1" applyBorder="1" applyAlignment="1">
      <alignment horizontal="center" vertical="center"/>
    </xf>
    <xf numFmtId="0" fontId="8" fillId="16" borderId="22" xfId="5" applyFont="1" applyFill="1" applyBorder="1" applyAlignment="1">
      <alignment horizontal="center" vertical="center"/>
    </xf>
    <xf numFmtId="0" fontId="9" fillId="0" borderId="26" xfId="5" applyFont="1" applyBorder="1" applyAlignment="1">
      <alignment horizontal="center" vertical="center"/>
    </xf>
    <xf numFmtId="0" fontId="16" fillId="2" borderId="129" xfId="5" applyFont="1" applyFill="1" applyBorder="1" applyAlignment="1">
      <alignment horizontal="right" vertical="center"/>
    </xf>
    <xf numFmtId="0" fontId="9" fillId="0" borderId="12" xfId="5" applyFont="1" applyBorder="1" applyAlignment="1">
      <alignment horizontal="center" vertical="center"/>
    </xf>
    <xf numFmtId="0" fontId="11" fillId="0" borderId="130" xfId="5" applyFont="1" applyBorder="1" applyAlignment="1">
      <alignment horizontal="center" vertical="center"/>
    </xf>
    <xf numFmtId="0" fontId="19" fillId="3" borderId="128" xfId="5" applyFont="1" applyFill="1" applyBorder="1" applyAlignment="1">
      <alignment horizontal="right" vertical="center"/>
    </xf>
    <xf numFmtId="49" fontId="9" fillId="0" borderId="22" xfId="5" applyNumberFormat="1" applyFont="1" applyBorder="1" applyAlignment="1">
      <alignment horizontal="center" vertical="center"/>
    </xf>
    <xf numFmtId="0" fontId="9" fillId="0" borderId="5" xfId="5" applyFont="1" applyBorder="1" applyAlignment="1">
      <alignment horizontal="center" vertical="center"/>
    </xf>
    <xf numFmtId="0" fontId="17" fillId="2" borderId="129" xfId="5" applyFont="1" applyFill="1" applyBorder="1" applyAlignment="1">
      <alignment horizontal="right" vertical="center"/>
    </xf>
    <xf numFmtId="0" fontId="9" fillId="0" borderId="22" xfId="5" applyFont="1" applyBorder="1" applyAlignment="1">
      <alignment horizontal="center" vertical="center"/>
    </xf>
    <xf numFmtId="0" fontId="10" fillId="0" borderId="4" xfId="5" applyFont="1" applyBorder="1" applyAlignment="1">
      <alignment horizontal="right" vertical="center"/>
    </xf>
    <xf numFmtId="0" fontId="19" fillId="2" borderId="129" xfId="5" applyFont="1" applyFill="1" applyBorder="1" applyAlignment="1">
      <alignment horizontal="right" vertical="center"/>
    </xf>
    <xf numFmtId="0" fontId="19" fillId="0" borderId="4" xfId="5" applyFont="1" applyBorder="1" applyAlignment="1">
      <alignment horizontal="right" vertical="center"/>
    </xf>
    <xf numFmtId="0" fontId="20" fillId="2" borderId="129" xfId="5" applyFont="1" applyFill="1" applyBorder="1" applyAlignment="1">
      <alignment horizontal="right" vertical="center"/>
    </xf>
    <xf numFmtId="0" fontId="11" fillId="0" borderId="12" xfId="5" applyFont="1" applyBorder="1" applyAlignment="1">
      <alignment horizontal="center" vertical="center"/>
    </xf>
    <xf numFmtId="0" fontId="64" fillId="3" borderId="131" xfId="5" applyFont="1" applyFill="1" applyBorder="1" applyAlignment="1">
      <alignment horizontal="right" vertical="center"/>
    </xf>
    <xf numFmtId="0" fontId="21" fillId="2" borderId="20" xfId="5" applyFont="1" applyFill="1" applyBorder="1" applyAlignment="1">
      <alignment horizontal="right" vertical="center"/>
    </xf>
    <xf numFmtId="0" fontId="9" fillId="0" borderId="14" xfId="5" applyFont="1" applyBorder="1" applyAlignment="1">
      <alignment horizontal="center" vertical="center"/>
    </xf>
    <xf numFmtId="0" fontId="11" fillId="0" borderId="14" xfId="5" applyFont="1" applyBorder="1" applyAlignment="1">
      <alignment horizontal="center" vertical="center"/>
    </xf>
    <xf numFmtId="0" fontId="17" fillId="3" borderId="132" xfId="5" applyFont="1" applyFill="1" applyBorder="1" applyAlignment="1">
      <alignment horizontal="right" vertical="center"/>
    </xf>
    <xf numFmtId="0" fontId="9" fillId="0" borderId="15" xfId="5" applyFont="1" applyBorder="1" applyAlignment="1">
      <alignment horizontal="center" vertical="center"/>
    </xf>
    <xf numFmtId="0" fontId="9" fillId="0" borderId="0" xfId="5" applyFont="1" applyAlignment="1">
      <alignment horizontal="left" vertical="center"/>
    </xf>
    <xf numFmtId="0" fontId="9" fillId="0" borderId="5" xfId="5" applyFont="1" applyBorder="1" applyAlignment="1">
      <alignment horizontal="left" vertical="center"/>
    </xf>
    <xf numFmtId="0" fontId="19" fillId="0" borderId="0" xfId="5" applyFont="1" applyAlignment="1">
      <alignment horizontal="right" vertical="center"/>
    </xf>
    <xf numFmtId="0" fontId="9" fillId="0" borderId="4" xfId="5" applyFont="1" applyBorder="1" applyAlignment="1">
      <alignment vertical="center"/>
    </xf>
    <xf numFmtId="0" fontId="9" fillId="0" borderId="27" xfId="5" applyFont="1" applyBorder="1" applyAlignment="1">
      <alignment vertical="center"/>
    </xf>
    <xf numFmtId="0" fontId="9" fillId="0" borderId="28" xfId="5" applyFont="1" applyBorder="1" applyAlignment="1">
      <alignment vertical="center"/>
    </xf>
    <xf numFmtId="0" fontId="9" fillId="0" borderId="29" xfId="5" applyFont="1" applyBorder="1" applyAlignment="1">
      <alignment vertical="center"/>
    </xf>
    <xf numFmtId="0" fontId="4" fillId="0" borderId="0" xfId="5" applyFont="1" applyAlignment="1">
      <alignment horizontal="right" vertical="center"/>
    </xf>
    <xf numFmtId="0" fontId="5" fillId="0" borderId="0" xfId="5" applyAlignment="1">
      <alignment horizontal="left" vertical="center"/>
    </xf>
    <xf numFmtId="9" fontId="9" fillId="0" borderId="35" xfId="10" applyFont="1" applyFill="1" applyBorder="1" applyAlignment="1">
      <alignment horizontal="center" vertical="center" shrinkToFit="1"/>
    </xf>
    <xf numFmtId="9" fontId="9" fillId="0" borderId="36" xfId="10" applyFont="1" applyFill="1" applyBorder="1" applyAlignment="1">
      <alignment horizontal="center" vertical="center" shrinkToFit="1"/>
    </xf>
    <xf numFmtId="0" fontId="9" fillId="0" borderId="36" xfId="10" applyNumberFormat="1" applyFont="1" applyFill="1" applyBorder="1" applyAlignment="1">
      <alignment horizontal="center" vertical="center" shrinkToFit="1"/>
    </xf>
    <xf numFmtId="0" fontId="8" fillId="3" borderId="133" xfId="0" applyFont="1" applyFill="1" applyBorder="1" applyAlignment="1">
      <alignment horizontal="right" vertical="center"/>
    </xf>
    <xf numFmtId="49" fontId="9" fillId="0" borderId="134" xfId="0" applyNumberFormat="1" applyFont="1" applyBorder="1" applyAlignment="1">
      <alignment horizontal="centerContinuous" vertical="center"/>
    </xf>
    <xf numFmtId="0" fontId="5" fillId="0" borderId="135" xfId="0" applyFont="1" applyBorder="1" applyAlignment="1">
      <alignment horizontal="centerContinuous" vertical="center"/>
    </xf>
    <xf numFmtId="0" fontId="8" fillId="3" borderId="136" xfId="0" applyFont="1" applyFill="1" applyBorder="1" applyAlignment="1">
      <alignment horizontal="right" vertical="center"/>
    </xf>
    <xf numFmtId="49" fontId="9" fillId="0" borderId="137" xfId="0" applyNumberFormat="1" applyFont="1" applyBorder="1" applyAlignment="1">
      <alignment horizontal="center" vertical="center"/>
    </xf>
    <xf numFmtId="0" fontId="5" fillId="0" borderId="143" xfId="0" applyFont="1" applyBorder="1" applyAlignment="1">
      <alignment horizontal="left" vertical="center"/>
    </xf>
    <xf numFmtId="0" fontId="5" fillId="0" borderId="144" xfId="0" applyFont="1" applyBorder="1" applyAlignment="1">
      <alignment horizontal="left" vertical="center" shrinkToFit="1"/>
    </xf>
    <xf numFmtId="1" fontId="5" fillId="0" borderId="79" xfId="0" applyNumberFormat="1" applyFont="1" applyBorder="1" applyAlignment="1">
      <alignment horizontal="center" vertical="center" shrinkToFit="1"/>
    </xf>
    <xf numFmtId="0" fontId="5" fillId="0" borderId="143" xfId="0" quotePrefix="1" applyFont="1" applyBorder="1" applyAlignment="1">
      <alignment horizontal="left" vertical="center"/>
    </xf>
    <xf numFmtId="0" fontId="66" fillId="0" borderId="61" xfId="0" quotePrefix="1" applyFont="1" applyBorder="1" applyAlignment="1">
      <alignment horizontal="centerContinuous" vertical="center"/>
    </xf>
    <xf numFmtId="0" fontId="5" fillId="0" borderId="111" xfId="0" applyFont="1" applyBorder="1" applyAlignment="1">
      <alignment horizontal="center" vertical="center" shrinkToFit="1"/>
    </xf>
    <xf numFmtId="1" fontId="5" fillId="0" borderId="59" xfId="0" applyNumberFormat="1" applyFont="1" applyBorder="1" applyAlignment="1">
      <alignment horizontal="center" vertical="center" shrinkToFit="1"/>
    </xf>
    <xf numFmtId="0" fontId="5" fillId="0" borderId="145" xfId="0" applyFont="1" applyBorder="1" applyAlignment="1">
      <alignment horizontal="left" vertical="center"/>
    </xf>
    <xf numFmtId="0" fontId="5" fillId="17" borderId="87" xfId="0" applyFont="1" applyFill="1" applyBorder="1" applyAlignment="1">
      <alignment horizontal="center" vertical="center"/>
    </xf>
    <xf numFmtId="0" fontId="5" fillId="17" borderId="88" xfId="0" applyFont="1" applyFill="1" applyBorder="1" applyAlignment="1">
      <alignment horizontal="center" vertical="center"/>
    </xf>
    <xf numFmtId="0" fontId="5" fillId="17" borderId="88" xfId="0" quotePrefix="1" applyFont="1" applyFill="1" applyBorder="1" applyAlignment="1">
      <alignment horizontal="center" vertical="center" wrapText="1"/>
    </xf>
    <xf numFmtId="49" fontId="5" fillId="17" borderId="88" xfId="3" applyNumberFormat="1" applyFont="1" applyFill="1" applyBorder="1" applyAlignment="1">
      <alignment horizontal="center" vertical="center"/>
    </xf>
    <xf numFmtId="0" fontId="5" fillId="17" borderId="88" xfId="0" applyFont="1" applyFill="1" applyBorder="1" applyAlignment="1">
      <alignment horizontal="center" vertical="center" shrinkToFit="1"/>
    </xf>
    <xf numFmtId="164" fontId="5" fillId="17" borderId="88" xfId="0" applyNumberFormat="1" applyFont="1" applyFill="1" applyBorder="1" applyAlignment="1">
      <alignment horizontal="center" vertical="center"/>
    </xf>
    <xf numFmtId="164" fontId="5" fillId="17" borderId="89" xfId="0" applyNumberFormat="1" applyFont="1" applyFill="1" applyBorder="1" applyAlignment="1">
      <alignment horizontal="center" vertical="center"/>
    </xf>
    <xf numFmtId="0" fontId="5" fillId="17" borderId="20"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1" xfId="0" quotePrefix="1" applyFont="1" applyFill="1" applyBorder="1" applyAlignment="1">
      <alignment horizontal="center" vertical="center" wrapText="1"/>
    </xf>
    <xf numFmtId="49" fontId="5" fillId="17" borderId="41" xfId="3" applyNumberFormat="1" applyFont="1" applyFill="1" applyBorder="1" applyAlignment="1">
      <alignment horizontal="center" vertical="center"/>
    </xf>
    <xf numFmtId="0" fontId="5" fillId="17" borderId="41" xfId="0" applyFont="1" applyFill="1" applyBorder="1" applyAlignment="1">
      <alignment horizontal="center" vertical="center" shrinkToFit="1"/>
    </xf>
    <xf numFmtId="164" fontId="5" fillId="17" borderId="41" xfId="0" applyNumberFormat="1" applyFont="1" applyFill="1" applyBorder="1" applyAlignment="1">
      <alignment horizontal="center" vertical="center"/>
    </xf>
    <xf numFmtId="164" fontId="5" fillId="17" borderId="42" xfId="0" applyNumberFormat="1" applyFont="1" applyFill="1" applyBorder="1" applyAlignment="1">
      <alignment horizontal="center" vertical="center"/>
    </xf>
    <xf numFmtId="1" fontId="5" fillId="17" borderId="88" xfId="0" applyNumberFormat="1" applyFont="1" applyFill="1" applyBorder="1" applyAlignment="1">
      <alignment horizontal="center" vertical="center"/>
    </xf>
    <xf numFmtId="0" fontId="5" fillId="17" borderId="90" xfId="0" applyFont="1" applyFill="1" applyBorder="1" applyAlignment="1">
      <alignment horizontal="center" vertical="center"/>
    </xf>
    <xf numFmtId="1" fontId="5" fillId="17" borderId="42" xfId="0" applyNumberFormat="1" applyFont="1" applyFill="1" applyBorder="1" applyAlignment="1">
      <alignment horizontal="center" vertical="center"/>
    </xf>
    <xf numFmtId="0" fontId="5" fillId="17" borderId="43" xfId="0" applyFont="1" applyFill="1" applyBorder="1" applyAlignment="1">
      <alignment horizontal="center" vertical="center"/>
    </xf>
    <xf numFmtId="1" fontId="5" fillId="17" borderId="57" xfId="0" applyNumberFormat="1" applyFont="1" applyFill="1" applyBorder="1" applyAlignment="1">
      <alignment horizontal="center" vertical="center"/>
    </xf>
    <xf numFmtId="1" fontId="5" fillId="17" borderId="61" xfId="0" applyNumberFormat="1" applyFont="1" applyFill="1" applyBorder="1" applyAlignment="1">
      <alignment horizontal="center" vertical="center"/>
    </xf>
    <xf numFmtId="1" fontId="5" fillId="17" borderId="76" xfId="0" applyNumberFormat="1" applyFont="1" applyFill="1" applyBorder="1" applyAlignment="1">
      <alignment horizontal="center" vertical="center"/>
    </xf>
    <xf numFmtId="0" fontId="5" fillId="17" borderId="138" xfId="0" applyFont="1" applyFill="1" applyBorder="1" applyAlignment="1">
      <alignment horizontal="center" vertical="center" shrinkToFit="1"/>
    </xf>
    <xf numFmtId="0" fontId="5" fillId="17" borderId="139" xfId="0" applyFont="1" applyFill="1" applyBorder="1" applyAlignment="1">
      <alignment horizontal="center" vertical="center"/>
    </xf>
    <xf numFmtId="0" fontId="5" fillId="17" borderId="139" xfId="0" quotePrefix="1" applyFont="1" applyFill="1" applyBorder="1" applyAlignment="1">
      <alignment horizontal="center" vertical="center"/>
    </xf>
    <xf numFmtId="9" fontId="5" fillId="17" borderId="139" xfId="0" applyNumberFormat="1" applyFont="1" applyFill="1" applyBorder="1" applyAlignment="1">
      <alignment horizontal="center" vertical="center"/>
    </xf>
    <xf numFmtId="49" fontId="5" fillId="17" borderId="139" xfId="0" quotePrefix="1" applyNumberFormat="1" applyFont="1" applyFill="1" applyBorder="1" applyAlignment="1">
      <alignment horizontal="center" vertical="center"/>
    </xf>
    <xf numFmtId="164" fontId="5" fillId="17" borderId="139" xfId="0" applyNumberFormat="1" applyFont="1" applyFill="1" applyBorder="1" applyAlignment="1">
      <alignment horizontal="center" vertical="center"/>
    </xf>
    <xf numFmtId="164" fontId="5" fillId="17" borderId="140" xfId="0" applyNumberFormat="1" applyFont="1" applyFill="1" applyBorder="1" applyAlignment="1">
      <alignment horizontal="centerContinuous" vertical="center"/>
    </xf>
    <xf numFmtId="164" fontId="5" fillId="17" borderId="141" xfId="0" applyNumberFormat="1" applyFont="1" applyFill="1" applyBorder="1" applyAlignment="1">
      <alignment horizontal="centerContinuous" vertical="center"/>
    </xf>
    <xf numFmtId="0" fontId="5" fillId="17" borderId="142" xfId="0" quotePrefix="1" applyFont="1" applyFill="1" applyBorder="1" applyAlignment="1">
      <alignment horizontal="centerContinuous" vertical="center"/>
    </xf>
    <xf numFmtId="1" fontId="5" fillId="17" borderId="79" xfId="0" applyNumberFormat="1" applyFont="1" applyFill="1" applyBorder="1" applyAlignment="1">
      <alignment horizontal="center" vertical="center"/>
    </xf>
    <xf numFmtId="0" fontId="9" fillId="0" borderId="36" xfId="0" applyFont="1" applyBorder="1" applyAlignment="1">
      <alignment horizontal="center" vertical="center"/>
    </xf>
    <xf numFmtId="0" fontId="5" fillId="17" borderId="118" xfId="0" applyFont="1" applyFill="1" applyBorder="1" applyAlignment="1">
      <alignment horizontal="center" vertical="center"/>
    </xf>
    <xf numFmtId="0" fontId="5" fillId="17" borderId="120" xfId="0" applyFont="1" applyFill="1" applyBorder="1" applyAlignment="1">
      <alignment horizontal="center" vertical="center"/>
    </xf>
    <xf numFmtId="0" fontId="5" fillId="17" borderId="120" xfId="0" quotePrefix="1" applyFont="1" applyFill="1" applyBorder="1" applyAlignment="1">
      <alignment horizontal="center" vertical="center" wrapText="1"/>
    </xf>
    <xf numFmtId="49" fontId="5" fillId="17" borderId="120" xfId="3" applyNumberFormat="1" applyFont="1" applyFill="1" applyBorder="1" applyAlignment="1">
      <alignment horizontal="center" vertical="center"/>
    </xf>
    <xf numFmtId="0" fontId="5" fillId="17" borderId="120" xfId="0" applyFont="1" applyFill="1" applyBorder="1" applyAlignment="1">
      <alignment horizontal="center" vertical="center" shrinkToFit="1"/>
    </xf>
    <xf numFmtId="164" fontId="5" fillId="17" borderId="120" xfId="0" applyNumberFormat="1" applyFont="1" applyFill="1" applyBorder="1" applyAlignment="1">
      <alignment horizontal="center" vertical="center"/>
    </xf>
    <xf numFmtId="1" fontId="5" fillId="17" borderId="120" xfId="0" applyNumberFormat="1" applyFont="1" applyFill="1" applyBorder="1" applyAlignment="1">
      <alignment horizontal="center" vertical="center"/>
    </xf>
    <xf numFmtId="1" fontId="54" fillId="6" borderId="120" xfId="0" applyNumberFormat="1" applyFont="1" applyFill="1" applyBorder="1" applyAlignment="1">
      <alignment horizontal="center" vertical="center"/>
    </xf>
    <xf numFmtId="0" fontId="5" fillId="17" borderId="121" xfId="0" quotePrefix="1" applyFont="1" applyFill="1" applyBorder="1" applyAlignment="1">
      <alignment horizontal="center" vertical="center"/>
    </xf>
    <xf numFmtId="0" fontId="5" fillId="17" borderId="122" xfId="0" applyFont="1" applyFill="1" applyBorder="1" applyAlignment="1">
      <alignment horizontal="center" vertical="center"/>
    </xf>
    <xf numFmtId="0" fontId="5" fillId="17" borderId="59" xfId="0" applyFont="1" applyFill="1" applyBorder="1" applyAlignment="1">
      <alignment horizontal="center" vertical="center"/>
    </xf>
    <xf numFmtId="0" fontId="5" fillId="17" borderId="59" xfId="0" quotePrefix="1" applyFont="1" applyFill="1" applyBorder="1" applyAlignment="1">
      <alignment horizontal="center" vertical="center" wrapText="1"/>
    </xf>
    <xf numFmtId="49" fontId="5" fillId="17" borderId="59" xfId="3" applyNumberFormat="1" applyFont="1" applyFill="1" applyBorder="1" applyAlignment="1">
      <alignment horizontal="center" vertical="center"/>
    </xf>
    <xf numFmtId="0" fontId="5" fillId="17" borderId="59" xfId="0" applyFont="1" applyFill="1" applyBorder="1" applyAlignment="1">
      <alignment horizontal="center" vertical="center" shrinkToFit="1"/>
    </xf>
    <xf numFmtId="164" fontId="5" fillId="17" borderId="59" xfId="0" applyNumberFormat="1" applyFont="1" applyFill="1" applyBorder="1" applyAlignment="1">
      <alignment horizontal="center" vertical="center"/>
    </xf>
    <xf numFmtId="1" fontId="5" fillId="17" borderId="59" xfId="0" applyNumberFormat="1" applyFont="1" applyFill="1" applyBorder="1" applyAlignment="1">
      <alignment horizontal="center" vertical="center"/>
    </xf>
    <xf numFmtId="1" fontId="54" fillId="6" borderId="59" xfId="0" applyNumberFormat="1" applyFont="1" applyFill="1" applyBorder="1" applyAlignment="1">
      <alignment horizontal="center" vertical="center"/>
    </xf>
    <xf numFmtId="0" fontId="5" fillId="17" borderId="60" xfId="0" quotePrefix="1" applyFont="1" applyFill="1" applyBorder="1" applyAlignment="1">
      <alignment horizontal="center" vertical="center"/>
    </xf>
    <xf numFmtId="0" fontId="5" fillId="18" borderId="89" xfId="0" applyFont="1" applyFill="1" applyBorder="1" applyAlignment="1">
      <alignment horizontal="centerContinuous" vertical="center"/>
    </xf>
    <xf numFmtId="0" fontId="5" fillId="18" borderId="101" xfId="0" applyFont="1" applyFill="1" applyBorder="1" applyAlignment="1">
      <alignment horizontal="centerContinuous"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5" xfId="0" quotePrefix="1" applyFont="1" applyBorder="1" applyAlignment="1">
      <alignment horizontal="center" vertical="center" wrapText="1"/>
    </xf>
    <xf numFmtId="49" fontId="5" fillId="0" borderId="35" xfId="3" applyNumberFormat="1" applyFont="1" applyFill="1" applyBorder="1" applyAlignment="1">
      <alignment horizontal="center" vertical="center"/>
    </xf>
    <xf numFmtId="0" fontId="5" fillId="0" borderId="35" xfId="0" applyFont="1" applyBorder="1" applyAlignment="1">
      <alignment horizontal="center" vertical="center" shrinkToFit="1"/>
    </xf>
    <xf numFmtId="164" fontId="5" fillId="0" borderId="36" xfId="0" applyNumberFormat="1" applyFont="1" applyBorder="1" applyAlignment="1">
      <alignment horizontal="center" vertical="center"/>
    </xf>
    <xf numFmtId="1" fontId="54" fillId="6" borderId="36" xfId="0" applyNumberFormat="1" applyFont="1" applyFill="1" applyBorder="1" applyAlignment="1">
      <alignment horizontal="center" vertical="center"/>
    </xf>
    <xf numFmtId="1" fontId="5" fillId="0" borderId="36" xfId="0" applyNumberFormat="1" applyFont="1" applyBorder="1" applyAlignment="1">
      <alignment horizontal="center" vertical="center"/>
    </xf>
    <xf numFmtId="0" fontId="5" fillId="0" borderId="40" xfId="0" applyFont="1" applyBorder="1" applyAlignment="1">
      <alignment horizontal="center" vertical="center"/>
    </xf>
    <xf numFmtId="164" fontId="5" fillId="8" borderId="35" xfId="0" applyNumberFormat="1" applyFont="1" applyFill="1" applyBorder="1" applyAlignment="1">
      <alignment horizontal="center" vertical="center"/>
    </xf>
    <xf numFmtId="164" fontId="5" fillId="8" borderId="41" xfId="0" applyNumberFormat="1" applyFont="1" applyFill="1" applyBorder="1" applyAlignment="1">
      <alignment horizontal="center" vertical="center"/>
    </xf>
    <xf numFmtId="1" fontId="5" fillId="8" borderId="61" xfId="0" applyNumberFormat="1" applyFont="1" applyFill="1" applyBorder="1" applyAlignment="1">
      <alignment horizontal="center" vertical="center"/>
    </xf>
    <xf numFmtId="1" fontId="5" fillId="8" borderId="91" xfId="0" applyNumberFormat="1" applyFont="1" applyFill="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139" xfId="0" quotePrefix="1" applyFont="1" applyBorder="1" applyAlignment="1">
      <alignment horizontal="center" vertical="center" wrapText="1"/>
    </xf>
    <xf numFmtId="49" fontId="5" fillId="0" borderId="139" xfId="3" applyNumberFormat="1" applyFont="1" applyFill="1" applyBorder="1" applyAlignment="1">
      <alignment horizontal="center" vertical="center"/>
    </xf>
    <xf numFmtId="0" fontId="5" fillId="0" borderId="139" xfId="0" applyFont="1" applyBorder="1" applyAlignment="1">
      <alignment horizontal="center" vertical="center" shrinkToFit="1"/>
    </xf>
    <xf numFmtId="164" fontId="5" fillId="0" borderId="139" xfId="0" applyNumberFormat="1" applyFont="1" applyBorder="1" applyAlignment="1">
      <alignment horizontal="center" vertical="center"/>
    </xf>
    <xf numFmtId="164" fontId="5" fillId="0" borderId="140" xfId="0" applyNumberFormat="1" applyFont="1" applyBorder="1" applyAlignment="1">
      <alignment horizontal="center" vertical="center"/>
    </xf>
    <xf numFmtId="1" fontId="54" fillId="6" borderId="140" xfId="0" applyNumberFormat="1" applyFont="1" applyFill="1" applyBorder="1" applyAlignment="1">
      <alignment horizontal="center" vertical="center"/>
    </xf>
    <xf numFmtId="1" fontId="5" fillId="0" borderId="140" xfId="0" applyNumberFormat="1" applyFont="1" applyBorder="1" applyAlignment="1">
      <alignment horizontal="center" vertical="center"/>
    </xf>
    <xf numFmtId="0" fontId="5" fillId="0" borderId="146" xfId="0" quotePrefix="1" applyFont="1" applyBorder="1" applyAlignment="1">
      <alignment horizontal="center" vertical="center"/>
    </xf>
    <xf numFmtId="0" fontId="5" fillId="0" borderId="147" xfId="0" applyFont="1" applyBorder="1" applyAlignment="1">
      <alignment horizontal="center" vertical="center"/>
    </xf>
    <xf numFmtId="0" fontId="5" fillId="0" borderId="148" xfId="0" applyFont="1" applyBorder="1" applyAlignment="1">
      <alignment horizontal="center" vertical="center"/>
    </xf>
    <xf numFmtId="0" fontId="5" fillId="0" borderId="148" xfId="0" quotePrefix="1" applyFont="1" applyBorder="1" applyAlignment="1">
      <alignment horizontal="center" vertical="center" wrapText="1"/>
    </xf>
    <xf numFmtId="49" fontId="5" fillId="0" borderId="148" xfId="3" applyNumberFormat="1" applyFont="1" applyFill="1" applyBorder="1" applyAlignment="1">
      <alignment horizontal="center" vertical="center"/>
    </xf>
    <xf numFmtId="0" fontId="5" fillId="0" borderId="148" xfId="0" applyFont="1" applyBorder="1" applyAlignment="1">
      <alignment horizontal="center" vertical="center" shrinkToFit="1"/>
    </xf>
    <xf numFmtId="164" fontId="5" fillId="8" borderId="148" xfId="0" applyNumberFormat="1" applyFont="1" applyFill="1" applyBorder="1" applyAlignment="1">
      <alignment horizontal="center" vertical="center"/>
    </xf>
    <xf numFmtId="164" fontId="5" fillId="0" borderId="149" xfId="0" applyNumberFormat="1" applyFont="1" applyBorder="1" applyAlignment="1">
      <alignment horizontal="center" vertical="center"/>
    </xf>
    <xf numFmtId="1" fontId="54" fillId="6" borderId="149" xfId="0" applyNumberFormat="1" applyFont="1" applyFill="1" applyBorder="1" applyAlignment="1">
      <alignment horizontal="center" vertical="center"/>
    </xf>
    <xf numFmtId="1" fontId="5" fillId="0" borderId="149" xfId="0" applyNumberFormat="1" applyFont="1" applyBorder="1" applyAlignment="1">
      <alignment horizontal="center" vertical="center"/>
    </xf>
    <xf numFmtId="0" fontId="5" fillId="0" borderId="150" xfId="0" quotePrefix="1" applyFont="1" applyBorder="1" applyAlignment="1">
      <alignment horizontal="center" vertical="center"/>
    </xf>
    <xf numFmtId="0" fontId="5" fillId="0" borderId="43" xfId="0" quotePrefix="1" applyFont="1" applyBorder="1" applyAlignment="1">
      <alignment horizontal="center" vertical="center"/>
    </xf>
    <xf numFmtId="0" fontId="5" fillId="0" borderId="72" xfId="0" applyFont="1" applyBorder="1" applyAlignment="1">
      <alignment horizontal="left" vertical="center" shrinkToFit="1"/>
    </xf>
    <xf numFmtId="0" fontId="5" fillId="0" borderId="60" xfId="0" quotePrefix="1" applyFont="1" applyBorder="1" applyAlignment="1">
      <alignment horizontal="left" vertical="center" shrinkToFit="1"/>
    </xf>
    <xf numFmtId="1" fontId="5" fillId="15" borderId="79" xfId="0" applyNumberFormat="1" applyFont="1" applyFill="1" applyBorder="1" applyAlignment="1">
      <alignment horizontal="center" vertical="center" shrinkToFit="1"/>
    </xf>
    <xf numFmtId="1" fontId="5" fillId="0" borderId="58" xfId="0" applyNumberFormat="1" applyFont="1" applyBorder="1" applyAlignment="1">
      <alignment horizontal="center" vertical="center" shrinkToFit="1"/>
    </xf>
    <xf numFmtId="1" fontId="5" fillId="0" borderId="57" xfId="0" applyNumberFormat="1" applyFont="1" applyBorder="1" applyAlignment="1">
      <alignment horizontal="center" vertical="center" shrinkToFit="1"/>
    </xf>
    <xf numFmtId="0" fontId="9" fillId="0" borderId="15" xfId="0" applyFont="1" applyBorder="1" applyAlignment="1">
      <alignment horizontal="center" vertical="center"/>
    </xf>
    <xf numFmtId="0" fontId="9" fillId="19" borderId="35" xfId="0" applyFont="1" applyFill="1" applyBorder="1" applyAlignment="1">
      <alignment horizontal="center" vertical="center" wrapText="1"/>
    </xf>
    <xf numFmtId="0" fontId="9" fillId="19" borderId="38" xfId="0" applyFont="1" applyFill="1" applyBorder="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69" fillId="0" borderId="0" xfId="0" applyFont="1" applyAlignment="1">
      <alignment vertical="center"/>
    </xf>
    <xf numFmtId="0" fontId="5" fillId="0" borderId="151" xfId="0" applyFont="1" applyBorder="1" applyAlignment="1">
      <alignment horizontal="center" vertical="center" shrinkToFit="1"/>
    </xf>
    <xf numFmtId="1" fontId="5" fillId="0" borderId="71" xfId="0" applyNumberFormat="1" applyFont="1" applyBorder="1" applyAlignment="1">
      <alignment horizontal="center" vertical="center" shrinkToFit="1"/>
    </xf>
    <xf numFmtId="164" fontId="5" fillId="0" borderId="71" xfId="0" applyNumberFormat="1" applyFont="1" applyBorder="1" applyAlignment="1">
      <alignment horizontal="center" vertical="center" shrinkToFit="1"/>
    </xf>
    <xf numFmtId="0" fontId="5" fillId="0" borderId="152" xfId="0" applyFont="1" applyBorder="1" applyAlignment="1">
      <alignment horizontal="left" vertical="center"/>
    </xf>
    <xf numFmtId="0" fontId="5" fillId="0" borderId="153" xfId="0" applyFont="1" applyBorder="1" applyAlignment="1">
      <alignment horizontal="center" vertical="center" shrinkToFit="1"/>
    </xf>
    <xf numFmtId="0" fontId="5" fillId="0" borderId="113" xfId="0" applyFont="1" applyBorder="1" applyAlignment="1">
      <alignment horizontal="center" vertical="center" shrinkToFit="1"/>
    </xf>
    <xf numFmtId="1" fontId="5" fillId="0" borderId="63" xfId="0" applyNumberFormat="1" applyFont="1" applyBorder="1" applyAlignment="1">
      <alignment horizontal="center" vertical="center" shrinkToFit="1"/>
    </xf>
    <xf numFmtId="0" fontId="5" fillId="0" borderId="154" xfId="0" applyFont="1" applyBorder="1" applyAlignment="1">
      <alignment horizontal="left" vertical="center"/>
    </xf>
    <xf numFmtId="1" fontId="5" fillId="0" borderId="61" xfId="0" applyNumberFormat="1" applyFont="1" applyBorder="1" applyAlignment="1">
      <alignment horizontal="center" vertical="center" shrinkToFit="1"/>
    </xf>
    <xf numFmtId="1" fontId="9" fillId="0" borderId="7" xfId="0" applyNumberFormat="1" applyFont="1" applyBorder="1" applyAlignment="1">
      <alignment horizontal="centerContinuous" vertical="center"/>
    </xf>
    <xf numFmtId="0" fontId="5" fillId="0" borderId="8" xfId="0" applyFont="1" applyBorder="1" applyAlignment="1">
      <alignment horizontal="centerContinuous" vertical="center"/>
    </xf>
    <xf numFmtId="0" fontId="9" fillId="17" borderId="12" xfId="0" quotePrefix="1" applyFont="1" applyFill="1" applyBorder="1" applyAlignment="1">
      <alignment horizontal="center" vertical="center"/>
    </xf>
    <xf numFmtId="0" fontId="9" fillId="0" borderId="12" xfId="0" applyFont="1" applyFill="1" applyBorder="1" applyAlignment="1">
      <alignment horizontal="center" vertical="center"/>
    </xf>
    <xf numFmtId="0" fontId="9" fillId="0" borderId="14" xfId="0" quotePrefix="1" applyFont="1" applyFill="1" applyBorder="1" applyAlignment="1">
      <alignment horizontal="center" vertical="center"/>
    </xf>
    <xf numFmtId="0" fontId="9" fillId="0" borderId="16" xfId="0" applyFont="1" applyFill="1" applyBorder="1" applyAlignment="1">
      <alignment horizontal="center" vertical="center"/>
    </xf>
    <xf numFmtId="0" fontId="9" fillId="0" borderId="12" xfId="0" quotePrefix="1" applyFont="1" applyFill="1" applyBorder="1" applyAlignment="1">
      <alignment horizontal="center" vertical="center"/>
    </xf>
  </cellXfs>
  <cellStyles count="11">
    <cellStyle name="Excel Built-in Normal" xfId="6" xr:uid="{00000000-0005-0000-0000-000000000000}"/>
    <cellStyle name="Hyperlink" xfId="2" builtinId="8"/>
    <cellStyle name="Normal" xfId="0" builtinId="0"/>
    <cellStyle name="Normal 2" xfId="7" xr:uid="{00000000-0005-0000-0000-000003000000}"/>
    <cellStyle name="Normal 2 2" xfId="8" xr:uid="{00000000-0005-0000-0000-000004000000}"/>
    <cellStyle name="Normal 3" xfId="4" xr:uid="{00000000-0005-0000-0000-000005000000}"/>
    <cellStyle name="Normal 4" xfId="5" xr:uid="{00000000-0005-0000-0000-000006000000}"/>
    <cellStyle name="Normal 5" xfId="9" xr:uid="{00000000-0005-0000-0000-000007000000}"/>
    <cellStyle name="Percent" xfId="1" builtinId="5"/>
    <cellStyle name="Percent 2" xfId="10" xr:uid="{00000000-0005-0000-0000-000009000000}"/>
    <cellStyle name="Percent 2 2" xfId="3" xr:uid="{00000000-0005-0000-0000-00000A000000}"/>
  </cellStyles>
  <dxfs count="14">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font>
      <fill>
        <patternFill>
          <bgColor rgb="FF99FF99"/>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66FF"/>
      <color rgb="FF99FF99"/>
      <color rgb="FFCC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53340</xdr:colOff>
      <xdr:row>15</xdr:row>
      <xdr:rowOff>45720</xdr:rowOff>
    </xdr:from>
    <xdr:to>
      <xdr:col>6</xdr:col>
      <xdr:colOff>1143000</xdr:colOff>
      <xdr:row>45</xdr:row>
      <xdr:rowOff>152400</xdr:rowOff>
    </xdr:to>
    <xdr:sp macro="" textlink="">
      <xdr:nvSpPr>
        <xdr:cNvPr id="2" name="Text 6">
          <a:extLst>
            <a:ext uri="{FF2B5EF4-FFF2-40B4-BE49-F238E27FC236}">
              <a16:creationId xmlns:a16="http://schemas.microsoft.com/office/drawing/2014/main" id="{00000000-0008-0000-0000-000002000000}"/>
            </a:ext>
          </a:extLst>
        </xdr:cNvPr>
        <xdr:cNvSpPr txBox="1">
          <a:spLocks noChangeArrowheads="1"/>
        </xdr:cNvSpPr>
      </xdr:nvSpPr>
      <xdr:spPr bwMode="auto">
        <a:xfrm>
          <a:off x="53340" y="3756660"/>
          <a:ext cx="6141720" cy="672846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i="0" u="none" strike="noStrike" baseline="0">
              <a:solidFill>
                <a:srgbClr val="000000"/>
              </a:solidFill>
              <a:latin typeface="Times New Roman" pitchFamily="18" charset="0"/>
              <a:cs typeface="Times New Roman" pitchFamily="18" charset="0"/>
            </a:rPr>
            <a:t>Appearance:  </a:t>
          </a:r>
          <a:r>
            <a:rPr lang="en-US" sz="1200" b="0" i="0" u="none" strike="noStrike" baseline="0">
              <a:solidFill>
                <a:srgbClr val="000000"/>
              </a:solidFill>
              <a:latin typeface="Times New Roman" pitchFamily="18" charset="0"/>
              <a:cs typeface="Times New Roman" pitchFamily="18" charset="0"/>
            </a:rPr>
            <a:t>Kedrik is bit tall and thin for a gnome.  He has deep blue eyes and a brown skin.  His hair is the color of dull brass.  Since he spends so much among the big people, he wears a beard to avoid being mistaken for a human child—a beard but no mustaches.</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1" i="0" u="none" strike="noStrike" baseline="0">
              <a:solidFill>
                <a:srgbClr val="000000"/>
              </a:solidFill>
              <a:latin typeface="Times New Roman" pitchFamily="18" charset="0"/>
              <a:cs typeface="Times New Roman" pitchFamily="18" charset="0"/>
            </a:rPr>
            <a:t>History:  </a:t>
          </a:r>
          <a:r>
            <a:rPr lang="en-US" sz="1200" b="0" i="0" u="none" strike="noStrike" baseline="0">
              <a:solidFill>
                <a:srgbClr val="000000"/>
              </a:solidFill>
              <a:latin typeface="Times New Roman" pitchFamily="18" charset="0"/>
              <a:cs typeface="Times New Roman" pitchFamily="18" charset="0"/>
            </a:rPr>
            <a:t>Gnomes comprise only a small part of the population of Waterdeep, but those that reside in the City tend to cluster in their own small boroughs.  Kedrik was raised in one of these.  As a result, he is much more accustomed to dealing with other races than are many of his country cousins. Always studious by nature, one of the greatest days of his life was when he discovered the Oghmaite library in Waterdeep.  The scrolls, tombs and volumes seemed to go on forever, promising to contain all the secrets of the Realms.  They did not, of course; but they were sufficient to embark him on a career as one of the Archivists of Oghma... In fact, The Brotherhood of the Secret Quill (see blurb below) within the order have been grooming him for admission (which requires 5th level)--he does not yet know exactly what he is being recruited for, except that the Binder’s clergy believe he may have a special calling.  He suspects it may be some secret society of lore masters.  For the moment he is content to continue his association with the order.  In addition to his work in the library and archives, it has taken him abroad several times in pursuit of missing manuscripts and lost knowledge.</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1" i="0" u="none" strike="noStrike" baseline="0">
              <a:solidFill>
                <a:srgbClr val="000000"/>
              </a:solidFill>
              <a:latin typeface="Times New Roman" pitchFamily="18" charset="0"/>
              <a:cs typeface="Times New Roman" pitchFamily="18" charset="0"/>
            </a:rPr>
            <a:t>Personality:  </a:t>
          </a:r>
          <a:r>
            <a:rPr lang="en-US" sz="1200" b="0" i="0" u="none" strike="noStrike" baseline="0">
              <a:solidFill>
                <a:srgbClr val="000000"/>
              </a:solidFill>
              <a:latin typeface="Times New Roman" pitchFamily="18" charset="0"/>
              <a:cs typeface="Times New Roman" pitchFamily="18" charset="0"/>
            </a:rPr>
            <a:t>Kedrik is bit more serious than most of his folk, which makes him only slightly more prone to jests than the average human.  As would be expected of one of his profession, he is studious and bookish, inclined to get lost in his own thoughts or begin lecturing good-naturedly on any topic which arises.</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The Brotherhood of the Secret Quill is an order of Oghman archivists with members in many temples of significant size in Faerûn.  Most members work by day as record keepers, managing bureaucratic affairs such as temple finances, library loans, and similar jobs.  While performing these duties, the brothers make extra copies of texts and secrets away the most important lore of the Binder in a hidden safehold.  This mammoth, extradimensional library is known as “the Vault of the Bound.”  It can be opened only by members who have memorized key passages from sacred texts in a certain order.  To gain entrance, one must have a keyed item—usually a quill or token—and recite the text properly in a specified location in each temple.  Members are usually invited after demonstrating proper devotion and respect for knowledge (minimum of 5th level).  They are inducted inside the Vault of the Bound, in a ceremony that involves the sharing and receiving of previously unknown knowledge.  Inductees must present a thesis on a unique subject, impressing the order with their thoroughness and creativity.  Accepted recruits become members.  Rejected recruits have their memories altered to erase all knowledge of the order, the vault, and the rest of their ordeal.  It is common for members of the Brotherhood to take levels in the loremaster prestige class.</a:t>
          </a:r>
        </a:p>
      </xdr:txBody>
    </xdr:sp>
    <xdr:clientData/>
  </xdr:twoCellAnchor>
  <xdr:twoCellAnchor editAs="oneCell">
    <xdr:from>
      <xdr:col>5</xdr:col>
      <xdr:colOff>89536</xdr:colOff>
      <xdr:row>1</xdr:row>
      <xdr:rowOff>38100</xdr:rowOff>
    </xdr:from>
    <xdr:to>
      <xdr:col>6</xdr:col>
      <xdr:colOff>1049656</xdr:colOff>
      <xdr:row>14</xdr:row>
      <xdr:rowOff>134730</xdr:rowOff>
    </xdr:to>
    <xdr:pic>
      <xdr:nvPicPr>
        <xdr:cNvPr id="3" name="Picture 2" descr="C:\A\Jue\SoF\Images\NPC\Primes\Wee Folk\kayenga defiant.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0056" y="411480"/>
          <a:ext cx="2148840" cy="2908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38100</xdr:colOff>
      <xdr:row>13</xdr:row>
      <xdr:rowOff>152400</xdr:rowOff>
    </xdr:from>
    <xdr:to>
      <xdr:col>6</xdr:col>
      <xdr:colOff>1148715</xdr:colOff>
      <xdr:row>14</xdr:row>
      <xdr:rowOff>247650</xdr:rowOff>
    </xdr:to>
    <xdr:sp macro="" textlink="">
      <xdr:nvSpPr>
        <xdr:cNvPr id="4" name="Text Box 60">
          <a:extLst>
            <a:ext uri="{FF2B5EF4-FFF2-40B4-BE49-F238E27FC236}">
              <a16:creationId xmlns:a16="http://schemas.microsoft.com/office/drawing/2014/main" id="{00000000-0008-0000-0000-000004000000}"/>
            </a:ext>
          </a:extLst>
        </xdr:cNvPr>
        <xdr:cNvSpPr txBox="1">
          <a:spLocks noChangeArrowheads="1"/>
        </xdr:cNvSpPr>
      </xdr:nvSpPr>
      <xdr:spPr bwMode="auto">
        <a:xfrm>
          <a:off x="4114800" y="3116580"/>
          <a:ext cx="2299335" cy="316230"/>
        </a:xfrm>
        <a:prstGeom prst="rect">
          <a:avLst/>
        </a:prstGeom>
        <a:solidFill>
          <a:srgbClr xmlns:mc="http://schemas.openxmlformats.org/markup-compatibility/2006" xmlns:a14="http://schemas.microsoft.com/office/drawing/2010/main" val="CCFFFF" mc:Ignorable="a14" a14:legacySpreadsheetColorIndex="41">
            <a:alpha val="66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0" i="0" u="none" strike="noStrike" baseline="0">
              <a:solidFill>
                <a:srgbClr val="000000"/>
              </a:solidFill>
              <a:latin typeface="Times New Roman"/>
              <a:cs typeface="Times New Roman"/>
            </a:rPr>
            <a:t>DR 5/piercing and slashing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9525" y="2120265"/>
          <a:ext cx="4669155" cy="85915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Jump 12, Listen 5, Spot 5, Survival 1, Swim 3</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Bite +3 melee (1d6+3)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Track</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7</xdr:col>
      <xdr:colOff>0</xdr:colOff>
      <xdr:row>12</xdr:row>
      <xdr:rowOff>209551</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032885" y="1249681"/>
          <a:ext cx="1285875" cy="171831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Light Load:  </a:t>
          </a:r>
          <a:r>
            <a:rPr lang="en-US" sz="1200" b="0" i="0" u="none" strike="noStrike" baseline="0">
              <a:solidFill>
                <a:srgbClr val="000000"/>
              </a:solidFill>
              <a:latin typeface="Times New Roman" pitchFamily="18" charset="0"/>
              <a:cs typeface="Times New Roman" pitchFamily="18" charset="0"/>
            </a:rPr>
            <a:t>Up to 100 lbs.</a:t>
          </a:r>
        </a:p>
        <a:p>
          <a:pPr algn="just" rtl="0">
            <a:defRPr sz="1000"/>
          </a:pPr>
          <a:r>
            <a:rPr lang="en-US" sz="1200" b="1" i="0" u="none" strike="noStrike" baseline="0">
              <a:solidFill>
                <a:srgbClr val="000000"/>
              </a:solidFill>
              <a:latin typeface="Times New Roman" pitchFamily="18" charset="0"/>
              <a:cs typeface="Times New Roman" pitchFamily="18" charset="0"/>
            </a:rPr>
            <a:t>Armor:</a:t>
          </a:r>
          <a:r>
            <a:rPr lang="en-US" sz="1200" b="0" i="0" u="none" strike="noStrike" baseline="0">
              <a:solidFill>
                <a:srgbClr val="000000"/>
              </a:solidFill>
              <a:latin typeface="Times New Roman" pitchFamily="18" charset="0"/>
              <a:cs typeface="Times New Roman" pitchFamily="18" charset="0"/>
            </a:rPr>
            <a:t>  Studded Leather Barding (AC +3 reflected above).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showGridLines="0" tabSelected="1" workbookViewId="0"/>
  </sheetViews>
  <sheetFormatPr defaultRowHeight="15.6" x14ac:dyDescent="0.3"/>
  <cols>
    <col min="1" max="1" width="15" customWidth="1"/>
    <col min="2" max="2" width="11.59765625" customWidth="1"/>
    <col min="3" max="3" width="4.19921875" customWidth="1"/>
    <col min="4" max="4" width="14" bestFit="1" customWidth="1"/>
    <col min="5" max="5" width="8.69921875" bestFit="1" customWidth="1"/>
    <col min="6" max="7" width="15.59765625" customWidth="1"/>
  </cols>
  <sheetData>
    <row r="1" spans="1:7" ht="29.4" thickTop="1" thickBot="1" x14ac:dyDescent="0.35">
      <c r="A1" s="1" t="s">
        <v>0</v>
      </c>
      <c r="B1" s="2" t="s">
        <v>1</v>
      </c>
      <c r="C1" s="3"/>
      <c r="D1" s="4"/>
      <c r="E1" s="5"/>
      <c r="F1" s="4"/>
      <c r="G1" s="6" t="s">
        <v>2</v>
      </c>
    </row>
    <row r="2" spans="1:7" ht="17.399999999999999" thickTop="1" x14ac:dyDescent="0.3">
      <c r="A2" s="7" t="s">
        <v>483</v>
      </c>
      <c r="B2" s="8" t="s">
        <v>4</v>
      </c>
      <c r="C2" s="8"/>
      <c r="D2" s="9" t="s">
        <v>496</v>
      </c>
      <c r="E2" s="10" t="s">
        <v>6</v>
      </c>
      <c r="F2" s="11"/>
      <c r="G2" s="12"/>
    </row>
    <row r="3" spans="1:7" ht="16.8" x14ac:dyDescent="0.3">
      <c r="A3" s="7" t="s">
        <v>484</v>
      </c>
      <c r="B3" s="8" t="s">
        <v>7</v>
      </c>
      <c r="C3" s="8"/>
      <c r="D3" s="9" t="s">
        <v>101</v>
      </c>
      <c r="E3" s="10">
        <v>13</v>
      </c>
      <c r="F3" s="9"/>
      <c r="G3" s="12"/>
    </row>
    <row r="4" spans="1:7" ht="16.8" x14ac:dyDescent="0.3">
      <c r="A4" s="7" t="s">
        <v>485</v>
      </c>
      <c r="B4" s="8" t="s">
        <v>8</v>
      </c>
      <c r="C4" s="8"/>
      <c r="D4" s="9" t="s">
        <v>497</v>
      </c>
      <c r="E4" s="10">
        <v>81</v>
      </c>
      <c r="F4" s="9"/>
      <c r="G4" s="12"/>
    </row>
    <row r="5" spans="1:7" ht="16.8" x14ac:dyDescent="0.3">
      <c r="A5" s="7" t="s">
        <v>486</v>
      </c>
      <c r="B5" s="8" t="s">
        <v>9</v>
      </c>
      <c r="C5" s="8"/>
      <c r="D5" s="9" t="s">
        <v>498</v>
      </c>
      <c r="E5" s="10" t="s">
        <v>10</v>
      </c>
      <c r="F5" s="9"/>
      <c r="G5" s="12"/>
    </row>
    <row r="6" spans="1:7" ht="17.399999999999999" thickBot="1" x14ac:dyDescent="0.35">
      <c r="A6" s="7" t="s">
        <v>487</v>
      </c>
      <c r="B6" s="8" t="s">
        <v>11</v>
      </c>
      <c r="C6" s="8"/>
      <c r="D6" s="9" t="s">
        <v>499</v>
      </c>
      <c r="E6" s="10" t="s">
        <v>12</v>
      </c>
      <c r="F6" s="9"/>
      <c r="G6" s="12"/>
    </row>
    <row r="7" spans="1:7" ht="17.399999999999999" thickTop="1" x14ac:dyDescent="0.3">
      <c r="A7" s="13" t="s">
        <v>488</v>
      </c>
      <c r="B7" s="599">
        <f>1+6</f>
        <v>7</v>
      </c>
      <c r="C7" s="600"/>
      <c r="D7" s="14" t="s">
        <v>500</v>
      </c>
      <c r="E7" s="15">
        <v>6</v>
      </c>
      <c r="F7" s="31"/>
      <c r="G7" s="12"/>
    </row>
    <row r="8" spans="1:7" ht="17.399999999999999" thickBot="1" x14ac:dyDescent="0.35">
      <c r="A8" s="480" t="s">
        <v>489</v>
      </c>
      <c r="B8" s="481" t="str">
        <f>C10</f>
        <v>+2</v>
      </c>
      <c r="C8" s="482"/>
      <c r="D8" s="483" t="s">
        <v>501</v>
      </c>
      <c r="E8" s="484" t="s">
        <v>14</v>
      </c>
      <c r="F8" s="31"/>
      <c r="G8" s="12"/>
    </row>
    <row r="9" spans="1:7" ht="16.8" x14ac:dyDescent="0.3">
      <c r="A9" s="16" t="s">
        <v>490</v>
      </c>
      <c r="B9" s="604">
        <f>11</f>
        <v>11</v>
      </c>
      <c r="C9" s="17" t="str">
        <f>IF(B9&gt;9.9,CONCATENATE("+",ROUNDDOWN((B9-10)/2,0)),ROUNDUP((B9-10)/2,0))</f>
        <v>+0</v>
      </c>
      <c r="D9" s="18" t="s">
        <v>502</v>
      </c>
      <c r="E9" s="19" t="s">
        <v>25</v>
      </c>
      <c r="F9" s="31"/>
      <c r="G9" s="12"/>
    </row>
    <row r="10" spans="1:7" ht="16.8" x14ac:dyDescent="0.3">
      <c r="A10" s="20" t="s">
        <v>491</v>
      </c>
      <c r="B10" s="605">
        <f>14</f>
        <v>14</v>
      </c>
      <c r="C10" s="21" t="str">
        <f t="shared" ref="C10:C14" si="0">IF(B10&gt;9.9,CONCATENATE("+",ROUNDDOWN((B10-10)/2,0)),ROUNDUP((B10-10)/2,0))</f>
        <v>+2</v>
      </c>
      <c r="D10" s="22" t="s">
        <v>503</v>
      </c>
      <c r="E10" s="35">
        <v>37.299999999999997</v>
      </c>
      <c r="F10" s="31"/>
      <c r="G10" s="12"/>
    </row>
    <row r="11" spans="1:7" ht="16.8" x14ac:dyDescent="0.3">
      <c r="A11" s="23" t="s">
        <v>492</v>
      </c>
      <c r="B11" s="605">
        <f>13+4</f>
        <v>17</v>
      </c>
      <c r="C11" s="24" t="str">
        <f t="shared" si="0"/>
        <v>+3</v>
      </c>
      <c r="D11" s="22" t="s">
        <v>504</v>
      </c>
      <c r="E11" s="36">
        <f>ROUNDUP(((E3*6)*0.75)+(E3*C11),0)</f>
        <v>98</v>
      </c>
      <c r="F11" s="31"/>
      <c r="G11" s="12"/>
    </row>
    <row r="12" spans="1:7" ht="16.8" x14ac:dyDescent="0.3">
      <c r="A12" s="25" t="s">
        <v>493</v>
      </c>
      <c r="B12" s="601">
        <f>21+2+2</f>
        <v>25</v>
      </c>
      <c r="C12" s="21" t="str">
        <f t="shared" si="0"/>
        <v>+7</v>
      </c>
      <c r="D12" s="26" t="s">
        <v>505</v>
      </c>
      <c r="E12" s="34">
        <f>10+C10</f>
        <v>12</v>
      </c>
      <c r="F12" s="7"/>
      <c r="G12" s="12"/>
    </row>
    <row r="13" spans="1:7" ht="16.8" x14ac:dyDescent="0.3">
      <c r="A13" s="27" t="s">
        <v>494</v>
      </c>
      <c r="B13" s="602">
        <f>15</f>
        <v>15</v>
      </c>
      <c r="C13" s="21" t="str">
        <f t="shared" si="0"/>
        <v>+2</v>
      </c>
      <c r="D13" s="26" t="s">
        <v>506</v>
      </c>
      <c r="E13" s="34">
        <f>E14-C10</f>
        <v>21</v>
      </c>
      <c r="F13" s="31"/>
      <c r="G13" s="12"/>
    </row>
    <row r="14" spans="1:7" ht="17.399999999999999" thickBot="1" x14ac:dyDescent="0.35">
      <c r="A14" s="28" t="s">
        <v>495</v>
      </c>
      <c r="B14" s="603">
        <f>11</f>
        <v>11</v>
      </c>
      <c r="C14" s="29" t="str">
        <f t="shared" si="0"/>
        <v>+0</v>
      </c>
      <c r="D14" s="30" t="s">
        <v>507</v>
      </c>
      <c r="E14" s="584">
        <f>E12+SUM(Martial!$B$19:$B$22)</f>
        <v>23</v>
      </c>
      <c r="F14" s="31"/>
      <c r="G14" s="12"/>
    </row>
    <row r="15" spans="1:7" ht="24" thickTop="1" thickBot="1" x14ac:dyDescent="0.35">
      <c r="A15" s="37" t="s">
        <v>24</v>
      </c>
      <c r="B15" s="38"/>
      <c r="C15" s="38"/>
      <c r="D15" s="32"/>
      <c r="E15" s="32"/>
      <c r="F15" s="32"/>
      <c r="G15" s="33"/>
    </row>
    <row r="16" spans="1:7" ht="17.399999999999999" thickTop="1" x14ac:dyDescent="0.3">
      <c r="A16" s="39"/>
      <c r="B16" s="40"/>
      <c r="C16" s="40"/>
      <c r="D16" s="40"/>
      <c r="E16" s="40"/>
      <c r="F16" s="40"/>
      <c r="G16" s="41"/>
    </row>
    <row r="17" spans="1:7" ht="16.8" x14ac:dyDescent="0.3">
      <c r="A17" s="42"/>
      <c r="B17" s="43"/>
      <c r="C17" s="43"/>
      <c r="D17" s="43"/>
      <c r="E17" s="43"/>
      <c r="F17" s="43"/>
      <c r="G17" s="44"/>
    </row>
    <row r="18" spans="1:7" ht="16.8" x14ac:dyDescent="0.3">
      <c r="A18" s="42"/>
      <c r="B18" s="43"/>
      <c r="C18" s="43"/>
      <c r="D18" s="43"/>
      <c r="E18" s="43"/>
      <c r="F18" s="43"/>
      <c r="G18" s="44"/>
    </row>
    <row r="19" spans="1:7" ht="16.8" x14ac:dyDescent="0.3">
      <c r="A19" s="42"/>
      <c r="B19" s="43"/>
      <c r="C19" s="43"/>
      <c r="D19" s="43"/>
      <c r="E19" s="43"/>
      <c r="F19" s="43"/>
      <c r="G19" s="44"/>
    </row>
    <row r="20" spans="1:7" ht="16.8" x14ac:dyDescent="0.3">
      <c r="A20" s="42"/>
      <c r="B20" s="43"/>
      <c r="C20" s="43"/>
      <c r="D20" s="43"/>
      <c r="E20" s="43"/>
      <c r="F20" s="43"/>
      <c r="G20" s="44"/>
    </row>
    <row r="21" spans="1:7" ht="16.8" x14ac:dyDescent="0.3">
      <c r="A21" s="42"/>
      <c r="B21" s="43"/>
      <c r="C21" s="43"/>
      <c r="D21" s="43"/>
      <c r="E21" s="43"/>
      <c r="F21" s="43"/>
      <c r="G21" s="44"/>
    </row>
    <row r="22" spans="1:7" ht="16.8" x14ac:dyDescent="0.3">
      <c r="A22" s="42"/>
      <c r="B22" s="43"/>
      <c r="C22" s="43"/>
      <c r="D22" s="43"/>
      <c r="E22" s="43"/>
      <c r="F22" s="43"/>
      <c r="G22" s="44"/>
    </row>
    <row r="23" spans="1:7" ht="16.8" x14ac:dyDescent="0.3">
      <c r="A23" s="42"/>
      <c r="B23" s="43"/>
      <c r="C23" s="43"/>
      <c r="D23" s="43"/>
      <c r="E23" s="43"/>
      <c r="F23" s="43"/>
      <c r="G23" s="44"/>
    </row>
    <row r="24" spans="1:7" ht="16.8" x14ac:dyDescent="0.3">
      <c r="A24" s="42"/>
      <c r="B24" s="43"/>
      <c r="C24" s="43"/>
      <c r="D24" s="43"/>
      <c r="E24" s="43"/>
      <c r="F24" s="43"/>
      <c r="G24" s="44"/>
    </row>
    <row r="25" spans="1:7" ht="16.8" x14ac:dyDescent="0.3">
      <c r="A25" s="42"/>
      <c r="B25" s="43"/>
      <c r="C25" s="43"/>
      <c r="D25" s="43"/>
      <c r="E25" s="43"/>
      <c r="F25" s="43"/>
      <c r="G25" s="44"/>
    </row>
    <row r="26" spans="1:7" ht="16.8" x14ac:dyDescent="0.3">
      <c r="A26" s="42"/>
      <c r="B26" s="43"/>
      <c r="C26" s="43"/>
      <c r="D26" s="43"/>
      <c r="E26" s="43"/>
      <c r="F26" s="43"/>
      <c r="G26" s="44"/>
    </row>
    <row r="27" spans="1:7" ht="16.8" x14ac:dyDescent="0.3">
      <c r="A27" s="42"/>
      <c r="B27" s="43"/>
      <c r="C27" s="43"/>
      <c r="D27" s="43"/>
      <c r="E27" s="43"/>
      <c r="F27" s="43"/>
      <c r="G27" s="44"/>
    </row>
    <row r="28" spans="1:7" ht="16.8" x14ac:dyDescent="0.3">
      <c r="A28" s="42"/>
      <c r="B28" s="43"/>
      <c r="C28" s="43"/>
      <c r="D28" s="43"/>
      <c r="E28" s="43"/>
      <c r="F28" s="43"/>
      <c r="G28" s="44"/>
    </row>
    <row r="29" spans="1:7" ht="16.8" x14ac:dyDescent="0.3">
      <c r="A29" s="42"/>
      <c r="B29" s="43"/>
      <c r="C29" s="43"/>
      <c r="D29" s="43"/>
      <c r="E29" s="43"/>
      <c r="F29" s="43"/>
      <c r="G29" s="44"/>
    </row>
    <row r="30" spans="1:7" ht="16.8" x14ac:dyDescent="0.3">
      <c r="A30" s="42"/>
      <c r="B30" s="43"/>
      <c r="C30" s="43"/>
      <c r="D30" s="43"/>
      <c r="E30" s="43"/>
      <c r="F30" s="43"/>
      <c r="G30" s="44"/>
    </row>
    <row r="31" spans="1:7" ht="16.8" x14ac:dyDescent="0.3">
      <c r="A31" s="42"/>
      <c r="B31" s="43"/>
      <c r="C31" s="43"/>
      <c r="D31" s="43"/>
      <c r="E31" s="43"/>
      <c r="F31" s="43"/>
      <c r="G31" s="44"/>
    </row>
    <row r="32" spans="1:7" ht="16.8" x14ac:dyDescent="0.3">
      <c r="A32" s="42"/>
      <c r="B32" s="43"/>
      <c r="C32" s="43"/>
      <c r="D32" s="43"/>
      <c r="E32" s="43"/>
      <c r="F32" s="43"/>
      <c r="G32" s="44"/>
    </row>
    <row r="33" spans="1:7" ht="16.8" x14ac:dyDescent="0.3">
      <c r="A33" s="42"/>
      <c r="B33" s="43"/>
      <c r="C33" s="43"/>
      <c r="D33" s="43"/>
      <c r="E33" s="43"/>
      <c r="F33" s="43"/>
      <c r="G33" s="44"/>
    </row>
    <row r="34" spans="1:7" ht="16.8" x14ac:dyDescent="0.3">
      <c r="A34" s="42"/>
      <c r="B34" s="43"/>
      <c r="C34" s="43"/>
      <c r="D34" s="43"/>
      <c r="E34" s="43"/>
      <c r="F34" s="43"/>
      <c r="G34" s="44"/>
    </row>
    <row r="35" spans="1:7" ht="16.8" x14ac:dyDescent="0.3">
      <c r="A35" s="42"/>
      <c r="B35" s="43"/>
      <c r="C35" s="43"/>
      <c r="D35" s="43"/>
      <c r="E35" s="43"/>
      <c r="F35" s="43"/>
      <c r="G35" s="44"/>
    </row>
    <row r="36" spans="1:7" ht="16.8" x14ac:dyDescent="0.3">
      <c r="A36" s="42"/>
      <c r="B36" s="43"/>
      <c r="C36" s="43"/>
      <c r="D36" s="43"/>
      <c r="E36" s="43"/>
      <c r="F36" s="43"/>
      <c r="G36" s="44"/>
    </row>
    <row r="37" spans="1:7" ht="16.8" x14ac:dyDescent="0.3">
      <c r="A37" s="42"/>
      <c r="B37" s="43"/>
      <c r="C37" s="43"/>
      <c r="D37" s="43"/>
      <c r="E37" s="43"/>
      <c r="F37" s="43"/>
      <c r="G37" s="44"/>
    </row>
    <row r="38" spans="1:7" ht="16.8" x14ac:dyDescent="0.3">
      <c r="A38" s="42"/>
      <c r="B38" s="43"/>
      <c r="C38" s="43"/>
      <c r="D38" s="43"/>
      <c r="E38" s="43"/>
      <c r="F38" s="43"/>
      <c r="G38" s="44"/>
    </row>
    <row r="39" spans="1:7" ht="16.8" x14ac:dyDescent="0.3">
      <c r="A39" s="42"/>
      <c r="B39" s="43"/>
      <c r="C39" s="43"/>
      <c r="D39" s="43"/>
      <c r="E39" s="43"/>
      <c r="F39" s="43"/>
      <c r="G39" s="44"/>
    </row>
    <row r="40" spans="1:7" ht="16.8" x14ac:dyDescent="0.3">
      <c r="A40" s="42"/>
      <c r="B40" s="43"/>
      <c r="C40" s="43"/>
      <c r="D40" s="43"/>
      <c r="E40" s="43"/>
      <c r="F40" s="43"/>
      <c r="G40" s="44"/>
    </row>
    <row r="41" spans="1:7" ht="16.8" x14ac:dyDescent="0.3">
      <c r="A41" s="42"/>
      <c r="B41" s="43"/>
      <c r="C41" s="43"/>
      <c r="D41" s="43"/>
      <c r="E41" s="43"/>
      <c r="F41" s="43"/>
      <c r="G41" s="44"/>
    </row>
    <row r="42" spans="1:7" ht="16.8" x14ac:dyDescent="0.3">
      <c r="A42" s="42"/>
      <c r="B42" s="43"/>
      <c r="C42" s="43"/>
      <c r="D42" s="43"/>
      <c r="E42" s="43"/>
      <c r="F42" s="43"/>
      <c r="G42" s="44"/>
    </row>
    <row r="43" spans="1:7" ht="16.8" x14ac:dyDescent="0.3">
      <c r="A43" s="42"/>
      <c r="B43" s="43"/>
      <c r="C43" s="43"/>
      <c r="D43" s="43"/>
      <c r="E43" s="43"/>
      <c r="F43" s="43"/>
      <c r="G43" s="44"/>
    </row>
    <row r="44" spans="1:7" ht="16.8" x14ac:dyDescent="0.3">
      <c r="A44" s="42"/>
      <c r="B44" s="43"/>
      <c r="C44" s="43"/>
      <c r="D44" s="43"/>
      <c r="E44" s="43"/>
      <c r="F44" s="43"/>
      <c r="G44" s="44"/>
    </row>
    <row r="45" spans="1:7" ht="16.8" x14ac:dyDescent="0.3">
      <c r="A45" s="42"/>
      <c r="B45" s="43"/>
      <c r="C45" s="43"/>
      <c r="D45" s="43"/>
      <c r="E45" s="43"/>
      <c r="F45" s="43"/>
      <c r="G45" s="44"/>
    </row>
    <row r="46" spans="1:7" ht="17.399999999999999" thickBot="1" x14ac:dyDescent="0.35">
      <c r="A46" s="45"/>
      <c r="B46" s="46"/>
      <c r="C46" s="46"/>
      <c r="D46" s="46"/>
      <c r="E46" s="46"/>
      <c r="F46" s="46"/>
      <c r="G46" s="47"/>
    </row>
    <row r="47" spans="1:7" ht="16.2" thickTop="1" x14ac:dyDescent="0.3"/>
  </sheetData>
  <conditionalFormatting sqref="E10">
    <cfRule type="cellIs" dxfId="13" priority="1" stopIfTrue="1" operator="greaterThan">
      <formula>66</formula>
    </cfRule>
    <cfRule type="cellIs" dxfId="12" priority="2" stopIfTrue="1" operator="between">
      <formula>33</formula>
      <formula>66</formula>
    </cfRule>
  </conditionalFormatting>
  <pageMargins left="0.7" right="0.7" top="0.75" bottom="0.75" header="0.3" footer="0.3"/>
  <pageSetup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showGridLines="0" workbookViewId="0"/>
  </sheetViews>
  <sheetFormatPr defaultRowHeight="15.6" x14ac:dyDescent="0.3"/>
  <cols>
    <col min="1" max="1" width="31.296875" bestFit="1" customWidth="1"/>
    <col min="2" max="2" width="5.8984375" bestFit="1" customWidth="1"/>
    <col min="3" max="3" width="11.59765625" hidden="1" customWidth="1"/>
    <col min="4" max="4" width="5.796875" hidden="1" customWidth="1"/>
    <col min="5" max="5" width="9.19921875" bestFit="1" customWidth="1"/>
    <col min="6" max="6" width="8.5" customWidth="1"/>
    <col min="7" max="7" width="5.8984375" bestFit="1" customWidth="1"/>
    <col min="8" max="8" width="4.69921875" bestFit="1" customWidth="1"/>
    <col min="9" max="9" width="6.8984375" bestFit="1" customWidth="1"/>
    <col min="10" max="10" width="31.09765625" bestFit="1" customWidth="1"/>
  </cols>
  <sheetData>
    <row r="1" spans="1:10" ht="23.4" thickBot="1" x14ac:dyDescent="0.35">
      <c r="A1" s="48" t="s">
        <v>26</v>
      </c>
      <c r="B1" s="49"/>
      <c r="C1" s="49"/>
      <c r="D1" s="49"/>
      <c r="E1" s="49"/>
      <c r="F1" s="49"/>
      <c r="G1" s="49"/>
      <c r="H1" s="49"/>
      <c r="I1" s="49"/>
      <c r="J1" s="49"/>
    </row>
    <row r="2" spans="1:10" ht="34.200000000000003" thickBot="1" x14ac:dyDescent="0.35">
      <c r="A2" s="50" t="s">
        <v>27</v>
      </c>
      <c r="B2" s="51" t="s">
        <v>28</v>
      </c>
      <c r="C2" s="51" t="s">
        <v>29</v>
      </c>
      <c r="D2" s="51" t="s">
        <v>30</v>
      </c>
      <c r="E2" s="52" t="s">
        <v>31</v>
      </c>
      <c r="F2" s="52" t="s">
        <v>32</v>
      </c>
      <c r="G2" s="52" t="s">
        <v>33</v>
      </c>
      <c r="H2" s="53" t="s">
        <v>34</v>
      </c>
      <c r="I2" s="52" t="s">
        <v>35</v>
      </c>
      <c r="J2" s="54" t="s">
        <v>36</v>
      </c>
    </row>
    <row r="3" spans="1:10" ht="16.8" x14ac:dyDescent="0.3">
      <c r="A3" s="55" t="s">
        <v>37</v>
      </c>
      <c r="B3" s="56">
        <v>8</v>
      </c>
      <c r="C3" s="57" t="s">
        <v>492</v>
      </c>
      <c r="D3" s="57" t="str">
        <f>VLOOKUP(C3,'Personal File'!$A$9:$C$14,3,FALSE)</f>
        <v>+3</v>
      </c>
      <c r="E3" s="58" t="str">
        <f t="shared" ref="E3:E49" si="0">CONCATENATE(LEFT(C3,3)," (",D3,")")</f>
        <v>Con (+3)</v>
      </c>
      <c r="F3" s="585">
        <f t="shared" ref="F3:F5" si="1">3+3+3+4</f>
        <v>13</v>
      </c>
      <c r="G3" s="59">
        <f t="shared" ref="G3:G49" si="2">B3+D3+F3</f>
        <v>24</v>
      </c>
      <c r="H3" s="60">
        <f t="shared" ref="H3:H49" ca="1" si="3">RANDBETWEEN(1,20)</f>
        <v>2</v>
      </c>
      <c r="I3" s="61">
        <f t="shared" ref="I3:I5" ca="1" si="4">SUM(G3:H3)</f>
        <v>26</v>
      </c>
      <c r="J3" s="62"/>
    </row>
    <row r="4" spans="1:10" ht="16.8" x14ac:dyDescent="0.3">
      <c r="A4" s="63" t="s">
        <v>38</v>
      </c>
      <c r="B4" s="56">
        <v>4</v>
      </c>
      <c r="C4" s="57" t="s">
        <v>491</v>
      </c>
      <c r="D4" s="57" t="str">
        <f>VLOOKUP(C4,'Personal File'!$A$9:$C$14,3,FALSE)</f>
        <v>+2</v>
      </c>
      <c r="E4" s="64" t="str">
        <f t="shared" si="0"/>
        <v>Dex (+2)</v>
      </c>
      <c r="F4" s="585">
        <f t="shared" si="1"/>
        <v>13</v>
      </c>
      <c r="G4" s="59">
        <f t="shared" si="2"/>
        <v>19</v>
      </c>
      <c r="H4" s="60">
        <f t="shared" ca="1" si="3"/>
        <v>12</v>
      </c>
      <c r="I4" s="61">
        <f t="shared" ca="1" si="4"/>
        <v>31</v>
      </c>
      <c r="J4" s="62" t="s">
        <v>472</v>
      </c>
    </row>
    <row r="5" spans="1:10" ht="16.8" x14ac:dyDescent="0.3">
      <c r="A5" s="65" t="s">
        <v>40</v>
      </c>
      <c r="B5" s="66">
        <v>8</v>
      </c>
      <c r="C5" s="67" t="s">
        <v>494</v>
      </c>
      <c r="D5" s="67" t="str">
        <f>VLOOKUP(C5,'Personal File'!$A$9:$C$14,3,FALSE)</f>
        <v>+2</v>
      </c>
      <c r="E5" s="68" t="str">
        <f t="shared" si="0"/>
        <v>Wis (+2)</v>
      </c>
      <c r="F5" s="586">
        <f t="shared" si="1"/>
        <v>13</v>
      </c>
      <c r="G5" s="69">
        <f t="shared" si="2"/>
        <v>23</v>
      </c>
      <c r="H5" s="70">
        <f t="shared" ca="1" si="3"/>
        <v>16</v>
      </c>
      <c r="I5" s="71">
        <f t="shared" ca="1" si="4"/>
        <v>39</v>
      </c>
      <c r="J5" s="72" t="s">
        <v>41</v>
      </c>
    </row>
    <row r="6" spans="1:10" ht="16.8" x14ac:dyDescent="0.3">
      <c r="A6" s="73" t="s">
        <v>42</v>
      </c>
      <c r="B6" s="57">
        <v>0</v>
      </c>
      <c r="C6" s="74" t="s">
        <v>493</v>
      </c>
      <c r="D6" s="75" t="str">
        <f>VLOOKUP(C6,'Personal File'!$A$9:$C$14,3,FALSE)</f>
        <v>+7</v>
      </c>
      <c r="E6" s="76" t="str">
        <f t="shared" si="0"/>
        <v>Int (+7)</v>
      </c>
      <c r="F6" s="77" t="s">
        <v>43</v>
      </c>
      <c r="G6" s="77">
        <f t="shared" si="2"/>
        <v>7</v>
      </c>
      <c r="H6" s="60">
        <f t="shared" ca="1" si="3"/>
        <v>11</v>
      </c>
      <c r="I6" s="77">
        <f ca="1">SUM(G6:H6)</f>
        <v>18</v>
      </c>
      <c r="J6" s="78"/>
    </row>
    <row r="7" spans="1:10" ht="16.8" x14ac:dyDescent="0.3">
      <c r="A7" s="79" t="s">
        <v>44</v>
      </c>
      <c r="B7" s="57">
        <v>0</v>
      </c>
      <c r="C7" s="80" t="s">
        <v>491</v>
      </c>
      <c r="D7" s="81" t="str">
        <f>VLOOKUP(C7,'Personal File'!$A$9:$C$14,3,FALSE)</f>
        <v>+2</v>
      </c>
      <c r="E7" s="64" t="str">
        <f t="shared" si="0"/>
        <v>Dex (+2)</v>
      </c>
      <c r="F7" s="77" t="s">
        <v>43</v>
      </c>
      <c r="G7" s="77">
        <f t="shared" si="2"/>
        <v>2</v>
      </c>
      <c r="H7" s="60">
        <f t="shared" ca="1" si="3"/>
        <v>1</v>
      </c>
      <c r="I7" s="77">
        <f t="shared" ref="I7" ca="1" si="5">SUM(G7:H7)</f>
        <v>3</v>
      </c>
      <c r="J7" s="78"/>
    </row>
    <row r="8" spans="1:10" ht="16.8" x14ac:dyDescent="0.3">
      <c r="A8" s="82" t="s">
        <v>45</v>
      </c>
      <c r="B8" s="57">
        <v>0</v>
      </c>
      <c r="C8" s="83" t="s">
        <v>495</v>
      </c>
      <c r="D8" s="84" t="str">
        <f>VLOOKUP(C8,'Personal File'!$A$9:$C$14,3,FALSE)</f>
        <v>+0</v>
      </c>
      <c r="E8" s="85" t="str">
        <f t="shared" si="0"/>
        <v>Cha (+0)</v>
      </c>
      <c r="F8" s="77" t="s">
        <v>43</v>
      </c>
      <c r="G8" s="77">
        <f t="shared" si="2"/>
        <v>0</v>
      </c>
      <c r="H8" s="60">
        <f t="shared" ca="1" si="3"/>
        <v>2</v>
      </c>
      <c r="I8" s="77">
        <f t="shared" ref="I8:I49" ca="1" si="6">SUM(G8:H8)</f>
        <v>2</v>
      </c>
      <c r="J8" s="78"/>
    </row>
    <row r="9" spans="1:10" ht="16.8" x14ac:dyDescent="0.3">
      <c r="A9" s="86" t="s">
        <v>46</v>
      </c>
      <c r="B9" s="57">
        <v>0</v>
      </c>
      <c r="C9" s="87" t="s">
        <v>490</v>
      </c>
      <c r="D9" s="88" t="str">
        <f>VLOOKUP(C9,'Personal File'!$A$9:$C$14,3,FALSE)</f>
        <v>+0</v>
      </c>
      <c r="E9" s="89" t="str">
        <f t="shared" si="0"/>
        <v>Str (+0)</v>
      </c>
      <c r="F9" s="77" t="s">
        <v>43</v>
      </c>
      <c r="G9" s="77">
        <f t="shared" si="2"/>
        <v>0</v>
      </c>
      <c r="H9" s="60">
        <f t="shared" ca="1" si="3"/>
        <v>16</v>
      </c>
      <c r="I9" s="77">
        <f t="shared" ca="1" si="6"/>
        <v>16</v>
      </c>
      <c r="J9" s="78"/>
    </row>
    <row r="10" spans="1:10" ht="16.8" x14ac:dyDescent="0.3">
      <c r="A10" s="90" t="s">
        <v>47</v>
      </c>
      <c r="B10" s="91">
        <v>15</v>
      </c>
      <c r="C10" s="92" t="s">
        <v>492</v>
      </c>
      <c r="D10" s="93" t="str">
        <f>VLOOKUP(C10,'Personal File'!$A$9:$C$14,3,FALSE)</f>
        <v>+3</v>
      </c>
      <c r="E10" s="94" t="str">
        <f t="shared" si="0"/>
        <v>Con (+3)</v>
      </c>
      <c r="F10" s="95" t="s">
        <v>447</v>
      </c>
      <c r="G10" s="95">
        <f t="shared" si="2"/>
        <v>22</v>
      </c>
      <c r="H10" s="60">
        <f t="shared" ca="1" si="3"/>
        <v>14</v>
      </c>
      <c r="I10" s="95">
        <f t="shared" ca="1" si="6"/>
        <v>36</v>
      </c>
      <c r="J10" s="96"/>
    </row>
    <row r="11" spans="1:10" ht="16.8" x14ac:dyDescent="0.3">
      <c r="A11" s="73" t="s">
        <v>48</v>
      </c>
      <c r="B11" s="57">
        <v>0</v>
      </c>
      <c r="C11" s="74" t="s">
        <v>493</v>
      </c>
      <c r="D11" s="75" t="str">
        <f>VLOOKUP(C11,'Personal File'!$A$9:$C$14,3,FALSE)</f>
        <v>+7</v>
      </c>
      <c r="E11" s="76" t="str">
        <f t="shared" si="0"/>
        <v>Int (+7)</v>
      </c>
      <c r="F11" s="77" t="s">
        <v>43</v>
      </c>
      <c r="G11" s="77">
        <f t="shared" si="2"/>
        <v>7</v>
      </c>
      <c r="H11" s="60">
        <f t="shared" ca="1" si="3"/>
        <v>20</v>
      </c>
      <c r="I11" s="97">
        <f t="shared" ca="1" si="6"/>
        <v>27</v>
      </c>
      <c r="J11" s="98"/>
    </row>
    <row r="12" spans="1:10" ht="16.8" x14ac:dyDescent="0.3">
      <c r="A12" s="99" t="s">
        <v>49</v>
      </c>
      <c r="B12" s="91">
        <v>15</v>
      </c>
      <c r="C12" s="100" t="s">
        <v>493</v>
      </c>
      <c r="D12" s="101" t="str">
        <f>VLOOKUP(C12,'Personal File'!$A$9:$C$14,3,FALSE)</f>
        <v>+7</v>
      </c>
      <c r="E12" s="102" t="str">
        <f t="shared" si="0"/>
        <v>Int (+7)</v>
      </c>
      <c r="F12" s="95" t="s">
        <v>50</v>
      </c>
      <c r="G12" s="95">
        <f t="shared" si="2"/>
        <v>24</v>
      </c>
      <c r="H12" s="60">
        <f t="shared" ca="1" si="3"/>
        <v>10</v>
      </c>
      <c r="I12" s="95">
        <f t="shared" ca="1" si="6"/>
        <v>34</v>
      </c>
      <c r="J12" s="96"/>
    </row>
    <row r="13" spans="1:10" ht="16.8" x14ac:dyDescent="0.3">
      <c r="A13" s="82" t="s">
        <v>51</v>
      </c>
      <c r="B13" s="57">
        <v>0</v>
      </c>
      <c r="C13" s="83" t="s">
        <v>495</v>
      </c>
      <c r="D13" s="84" t="str">
        <f>VLOOKUP(C13,'Personal File'!$A$9:$C$14,3,FALSE)</f>
        <v>+0</v>
      </c>
      <c r="E13" s="85" t="str">
        <f t="shared" si="0"/>
        <v>Cha (+0)</v>
      </c>
      <c r="F13" s="77" t="s">
        <v>43</v>
      </c>
      <c r="G13" s="77">
        <f t="shared" si="2"/>
        <v>0</v>
      </c>
      <c r="H13" s="60">
        <f t="shared" ca="1" si="3"/>
        <v>18</v>
      </c>
      <c r="I13" s="77">
        <f t="shared" ca="1" si="6"/>
        <v>18</v>
      </c>
      <c r="J13" s="78"/>
    </row>
    <row r="14" spans="1:10" ht="16.8" x14ac:dyDescent="0.3">
      <c r="A14" s="103" t="s">
        <v>52</v>
      </c>
      <c r="B14" s="104">
        <v>0</v>
      </c>
      <c r="C14" s="105" t="s">
        <v>493</v>
      </c>
      <c r="D14" s="106" t="str">
        <f>VLOOKUP(C14,'Personal File'!$A$9:$C$14,3,FALSE)</f>
        <v>+7</v>
      </c>
      <c r="E14" s="107" t="str">
        <f t="shared" si="0"/>
        <v>Int (+7)</v>
      </c>
      <c r="F14" s="108" t="s">
        <v>43</v>
      </c>
      <c r="G14" s="108">
        <f t="shared" si="2"/>
        <v>7</v>
      </c>
      <c r="H14" s="60">
        <f t="shared" ca="1" si="3"/>
        <v>2</v>
      </c>
      <c r="I14" s="108">
        <f t="shared" ca="1" si="6"/>
        <v>9</v>
      </c>
      <c r="J14" s="109"/>
    </row>
    <row r="15" spans="1:10" ht="16.8" x14ac:dyDescent="0.3">
      <c r="A15" s="82" t="s">
        <v>53</v>
      </c>
      <c r="B15" s="57">
        <v>0</v>
      </c>
      <c r="C15" s="83" t="s">
        <v>495</v>
      </c>
      <c r="D15" s="84" t="str">
        <f>VLOOKUP(C15,'Personal File'!$A$9:$C$14,3,FALSE)</f>
        <v>+0</v>
      </c>
      <c r="E15" s="85" t="str">
        <f t="shared" si="0"/>
        <v>Cha (+0)</v>
      </c>
      <c r="F15" s="77" t="s">
        <v>43</v>
      </c>
      <c r="G15" s="77">
        <f t="shared" si="2"/>
        <v>0</v>
      </c>
      <c r="H15" s="60">
        <f t="shared" ca="1" si="3"/>
        <v>12</v>
      </c>
      <c r="I15" s="77">
        <f t="shared" ca="1" si="6"/>
        <v>12</v>
      </c>
      <c r="J15" s="78"/>
    </row>
    <row r="16" spans="1:10" ht="16.8" x14ac:dyDescent="0.3">
      <c r="A16" s="79" t="s">
        <v>54</v>
      </c>
      <c r="B16" s="57">
        <v>0</v>
      </c>
      <c r="C16" s="80" t="s">
        <v>491</v>
      </c>
      <c r="D16" s="81" t="str">
        <f>VLOOKUP(C16,'Personal File'!$A$9:$C$14,3,FALSE)</f>
        <v>+2</v>
      </c>
      <c r="E16" s="64" t="str">
        <f t="shared" si="0"/>
        <v>Dex (+2)</v>
      </c>
      <c r="F16" s="77" t="s">
        <v>43</v>
      </c>
      <c r="G16" s="77">
        <f t="shared" si="2"/>
        <v>2</v>
      </c>
      <c r="H16" s="60">
        <f t="shared" ca="1" si="3"/>
        <v>19</v>
      </c>
      <c r="I16" s="77">
        <f t="shared" ca="1" si="6"/>
        <v>21</v>
      </c>
      <c r="J16" s="78"/>
    </row>
    <row r="17" spans="1:10" ht="16.8" x14ac:dyDescent="0.3">
      <c r="A17" s="73" t="s">
        <v>55</v>
      </c>
      <c r="B17" s="57">
        <v>0</v>
      </c>
      <c r="C17" s="74" t="s">
        <v>493</v>
      </c>
      <c r="D17" s="75" t="str">
        <f>VLOOKUP(C17,'Personal File'!$A$9:$C$14,3,FALSE)</f>
        <v>+7</v>
      </c>
      <c r="E17" s="76" t="str">
        <f t="shared" si="0"/>
        <v>Int (+7)</v>
      </c>
      <c r="F17" s="77" t="s">
        <v>43</v>
      </c>
      <c r="G17" s="77">
        <f t="shared" si="2"/>
        <v>7</v>
      </c>
      <c r="H17" s="60">
        <f t="shared" ca="1" si="3"/>
        <v>2</v>
      </c>
      <c r="I17" s="77">
        <f t="shared" ca="1" si="6"/>
        <v>9</v>
      </c>
      <c r="J17" s="78"/>
    </row>
    <row r="18" spans="1:10" ht="16.8" x14ac:dyDescent="0.3">
      <c r="A18" s="420" t="s">
        <v>56</v>
      </c>
      <c r="B18" s="91">
        <v>5</v>
      </c>
      <c r="C18" s="421" t="s">
        <v>495</v>
      </c>
      <c r="D18" s="422" t="str">
        <f>VLOOKUP(C18,'Personal File'!$A$9:$C$14,3,FALSE)</f>
        <v>+0</v>
      </c>
      <c r="E18" s="423" t="str">
        <f t="shared" si="0"/>
        <v>Cha (+0)</v>
      </c>
      <c r="F18" s="95" t="s">
        <v>50</v>
      </c>
      <c r="G18" s="95">
        <f t="shared" si="2"/>
        <v>7</v>
      </c>
      <c r="H18" s="60">
        <f t="shared" ca="1" si="3"/>
        <v>15</v>
      </c>
      <c r="I18" s="95">
        <f t="shared" ca="1" si="6"/>
        <v>22</v>
      </c>
      <c r="J18" s="96"/>
    </row>
    <row r="19" spans="1:10" ht="16.8" x14ac:dyDescent="0.3">
      <c r="A19" s="110" t="s">
        <v>57</v>
      </c>
      <c r="B19" s="104">
        <v>0</v>
      </c>
      <c r="C19" s="111" t="s">
        <v>495</v>
      </c>
      <c r="D19" s="112" t="str">
        <f>VLOOKUP(C19,'Personal File'!$A$9:$C$14,3,FALSE)</f>
        <v>+0</v>
      </c>
      <c r="E19" s="113" t="str">
        <f t="shared" si="0"/>
        <v>Cha (+0)</v>
      </c>
      <c r="F19" s="108" t="s">
        <v>43</v>
      </c>
      <c r="G19" s="108">
        <f t="shared" si="2"/>
        <v>0</v>
      </c>
      <c r="H19" s="60">
        <f t="shared" ca="1" si="3"/>
        <v>19</v>
      </c>
      <c r="I19" s="108">
        <f t="shared" ca="1" si="6"/>
        <v>19</v>
      </c>
      <c r="J19" s="109"/>
    </row>
    <row r="20" spans="1:10" ht="16.8" x14ac:dyDescent="0.3">
      <c r="A20" s="114" t="s">
        <v>58</v>
      </c>
      <c r="B20" s="57">
        <v>0</v>
      </c>
      <c r="C20" s="115" t="s">
        <v>494</v>
      </c>
      <c r="D20" s="116" t="str">
        <f>VLOOKUP(C20,'Personal File'!$A$9:$C$14,3,FALSE)</f>
        <v>+2</v>
      </c>
      <c r="E20" s="117" t="str">
        <f t="shared" si="0"/>
        <v>Wis (+2)</v>
      </c>
      <c r="F20" s="77" t="s">
        <v>43</v>
      </c>
      <c r="G20" s="77">
        <f t="shared" si="2"/>
        <v>2</v>
      </c>
      <c r="H20" s="60">
        <f t="shared" ca="1" si="3"/>
        <v>9</v>
      </c>
      <c r="I20" s="77">
        <f t="shared" ca="1" si="6"/>
        <v>11</v>
      </c>
      <c r="J20" s="78"/>
    </row>
    <row r="21" spans="1:10" ht="16.8" x14ac:dyDescent="0.3">
      <c r="A21" s="79" t="s">
        <v>59</v>
      </c>
      <c r="B21" s="57">
        <v>0</v>
      </c>
      <c r="C21" s="80" t="s">
        <v>491</v>
      </c>
      <c r="D21" s="81" t="str">
        <f>VLOOKUP(C21,'Personal File'!$A$9:$C$14,3,FALSE)</f>
        <v>+2</v>
      </c>
      <c r="E21" s="64" t="str">
        <f t="shared" si="0"/>
        <v>Dex (+2)</v>
      </c>
      <c r="F21" s="524">
        <f>4-4</f>
        <v>0</v>
      </c>
      <c r="G21" s="77">
        <f t="shared" si="2"/>
        <v>2</v>
      </c>
      <c r="H21" s="60">
        <f t="shared" ca="1" si="3"/>
        <v>6</v>
      </c>
      <c r="I21" s="77">
        <f t="shared" ca="1" si="6"/>
        <v>8</v>
      </c>
      <c r="J21" s="78"/>
    </row>
    <row r="22" spans="1:10" ht="16.8" x14ac:dyDescent="0.3">
      <c r="A22" s="82" t="s">
        <v>60</v>
      </c>
      <c r="B22" s="57">
        <v>0</v>
      </c>
      <c r="C22" s="83" t="s">
        <v>495</v>
      </c>
      <c r="D22" s="84" t="str">
        <f>VLOOKUP(C22,'Personal File'!$A$9:$C$14,3,FALSE)</f>
        <v>+0</v>
      </c>
      <c r="E22" s="85" t="str">
        <f t="shared" si="0"/>
        <v>Cha (+0)</v>
      </c>
      <c r="F22" s="77" t="s">
        <v>43</v>
      </c>
      <c r="G22" s="77">
        <f t="shared" si="2"/>
        <v>0</v>
      </c>
      <c r="H22" s="60">
        <f t="shared" ca="1" si="3"/>
        <v>13</v>
      </c>
      <c r="I22" s="77">
        <f t="shared" ca="1" si="6"/>
        <v>13</v>
      </c>
      <c r="J22" s="78"/>
    </row>
    <row r="23" spans="1:10" ht="16.8" x14ac:dyDescent="0.3">
      <c r="A23" s="86" t="s">
        <v>61</v>
      </c>
      <c r="B23" s="57">
        <v>0</v>
      </c>
      <c r="C23" s="87" t="s">
        <v>490</v>
      </c>
      <c r="D23" s="88" t="str">
        <f>VLOOKUP(C23,'Personal File'!$A$9:$C$14,3,FALSE)</f>
        <v>+0</v>
      </c>
      <c r="E23" s="89" t="str">
        <f t="shared" si="0"/>
        <v>Str (+0)</v>
      </c>
      <c r="F23" s="77" t="s">
        <v>43</v>
      </c>
      <c r="G23" s="77">
        <f t="shared" si="2"/>
        <v>0</v>
      </c>
      <c r="H23" s="60">
        <f t="shared" ca="1" si="3"/>
        <v>6</v>
      </c>
      <c r="I23" s="77">
        <f t="shared" ca="1" si="6"/>
        <v>6</v>
      </c>
      <c r="J23" s="78"/>
    </row>
    <row r="24" spans="1:10" ht="16.8" x14ac:dyDescent="0.3">
      <c r="A24" s="99" t="s">
        <v>62</v>
      </c>
      <c r="B24" s="91">
        <v>12</v>
      </c>
      <c r="C24" s="100" t="s">
        <v>493</v>
      </c>
      <c r="D24" s="101" t="str">
        <f>VLOOKUP(C24,'Personal File'!$A$9:$C$14,3,FALSE)</f>
        <v>+7</v>
      </c>
      <c r="E24" s="102" t="str">
        <f t="shared" si="0"/>
        <v>Int (+7)</v>
      </c>
      <c r="F24" s="95" t="s">
        <v>50</v>
      </c>
      <c r="G24" s="95">
        <f t="shared" si="2"/>
        <v>21</v>
      </c>
      <c r="H24" s="60">
        <f t="shared" ca="1" si="3"/>
        <v>3</v>
      </c>
      <c r="I24" s="95">
        <f t="shared" ca="1" si="6"/>
        <v>24</v>
      </c>
      <c r="J24" s="96" t="s">
        <v>63</v>
      </c>
    </row>
    <row r="25" spans="1:10" ht="16.8" x14ac:dyDescent="0.3">
      <c r="A25" s="99" t="s">
        <v>64</v>
      </c>
      <c r="B25" s="91">
        <v>13</v>
      </c>
      <c r="C25" s="100" t="s">
        <v>493</v>
      </c>
      <c r="D25" s="101" t="str">
        <f>VLOOKUP(C25,'Personal File'!$A$9:$C$14,3,FALSE)</f>
        <v>+7</v>
      </c>
      <c r="E25" s="102" t="str">
        <f t="shared" si="0"/>
        <v>Int (+7)</v>
      </c>
      <c r="F25" s="95" t="s">
        <v>43</v>
      </c>
      <c r="G25" s="95">
        <f t="shared" si="2"/>
        <v>20</v>
      </c>
      <c r="H25" s="60">
        <f t="shared" ca="1" si="3"/>
        <v>18</v>
      </c>
      <c r="I25" s="95">
        <f t="shared" ca="1" si="6"/>
        <v>38</v>
      </c>
      <c r="J25" s="96" t="s">
        <v>63</v>
      </c>
    </row>
    <row r="26" spans="1:10" ht="16.8" x14ac:dyDescent="0.3">
      <c r="A26" s="99" t="s">
        <v>65</v>
      </c>
      <c r="B26" s="91">
        <v>15</v>
      </c>
      <c r="C26" s="100" t="s">
        <v>493</v>
      </c>
      <c r="D26" s="101" t="str">
        <f>VLOOKUP(C26,'Personal File'!$A$9:$C$14,3,FALSE)</f>
        <v>+7</v>
      </c>
      <c r="E26" s="102" t="str">
        <f t="shared" si="0"/>
        <v>Int (+7)</v>
      </c>
      <c r="F26" s="95" t="s">
        <v>50</v>
      </c>
      <c r="G26" s="95">
        <f t="shared" si="2"/>
        <v>24</v>
      </c>
      <c r="H26" s="60">
        <f t="shared" ca="1" si="3"/>
        <v>3</v>
      </c>
      <c r="I26" s="95">
        <f t="shared" ref="I26" ca="1" si="7">SUM(G26:H26)</f>
        <v>27</v>
      </c>
      <c r="J26" s="96" t="s">
        <v>63</v>
      </c>
    </row>
    <row r="27" spans="1:10" ht="16.8" x14ac:dyDescent="0.3">
      <c r="A27" s="99" t="s">
        <v>66</v>
      </c>
      <c r="B27" s="91">
        <v>15</v>
      </c>
      <c r="C27" s="100" t="s">
        <v>493</v>
      </c>
      <c r="D27" s="101" t="str">
        <f>VLOOKUP(C27,'Personal File'!$A$9:$C$14,3,FALSE)</f>
        <v>+7</v>
      </c>
      <c r="E27" s="102" t="str">
        <f t="shared" si="0"/>
        <v>Int (+7)</v>
      </c>
      <c r="F27" s="95" t="s">
        <v>43</v>
      </c>
      <c r="G27" s="95">
        <f t="shared" si="2"/>
        <v>22</v>
      </c>
      <c r="H27" s="60">
        <f t="shared" ca="1" si="3"/>
        <v>18</v>
      </c>
      <c r="I27" s="95">
        <f t="shared" ref="I27" ca="1" si="8">SUM(G27:H27)</f>
        <v>40</v>
      </c>
      <c r="J27" s="96" t="s">
        <v>63</v>
      </c>
    </row>
    <row r="28" spans="1:10" ht="16.8" x14ac:dyDescent="0.3">
      <c r="A28" s="99" t="s">
        <v>67</v>
      </c>
      <c r="B28" s="91">
        <v>15</v>
      </c>
      <c r="C28" s="100" t="s">
        <v>493</v>
      </c>
      <c r="D28" s="101" t="str">
        <f>VLOOKUP(C28,'Personal File'!$A$9:$C$14,3,FALSE)</f>
        <v>+7</v>
      </c>
      <c r="E28" s="102" t="str">
        <f t="shared" si="0"/>
        <v>Int (+7)</v>
      </c>
      <c r="F28" s="95" t="s">
        <v>43</v>
      </c>
      <c r="G28" s="95">
        <f t="shared" si="2"/>
        <v>22</v>
      </c>
      <c r="H28" s="60">
        <f t="shared" ca="1" si="3"/>
        <v>8</v>
      </c>
      <c r="I28" s="95">
        <f t="shared" ca="1" si="6"/>
        <v>30</v>
      </c>
      <c r="J28" s="96" t="s">
        <v>63</v>
      </c>
    </row>
    <row r="29" spans="1:10" ht="16.8" x14ac:dyDescent="0.3">
      <c r="A29" s="99" t="s">
        <v>68</v>
      </c>
      <c r="B29" s="91">
        <v>15</v>
      </c>
      <c r="C29" s="100" t="s">
        <v>493</v>
      </c>
      <c r="D29" s="101" t="str">
        <f>VLOOKUP(C29,'Personal File'!$A$9:$C$14,3,FALSE)</f>
        <v>+7</v>
      </c>
      <c r="E29" s="102" t="str">
        <f t="shared" si="0"/>
        <v>Int (+7)</v>
      </c>
      <c r="F29" s="95" t="s">
        <v>50</v>
      </c>
      <c r="G29" s="95">
        <f t="shared" si="2"/>
        <v>24</v>
      </c>
      <c r="H29" s="60">
        <f t="shared" ca="1" si="3"/>
        <v>14</v>
      </c>
      <c r="I29" s="95">
        <f t="shared" ref="I29:I31" ca="1" si="9">SUM(G29:H29)</f>
        <v>38</v>
      </c>
      <c r="J29" s="96" t="s">
        <v>63</v>
      </c>
    </row>
    <row r="30" spans="1:10" ht="16.8" x14ac:dyDescent="0.3">
      <c r="A30" s="99" t="s">
        <v>69</v>
      </c>
      <c r="B30" s="91">
        <v>5</v>
      </c>
      <c r="C30" s="100" t="s">
        <v>493</v>
      </c>
      <c r="D30" s="101" t="str">
        <f>VLOOKUP(C30,'Personal File'!$A$9:$C$14,3,FALSE)</f>
        <v>+7</v>
      </c>
      <c r="E30" s="102" t="str">
        <f t="shared" si="0"/>
        <v>Int (+7)</v>
      </c>
      <c r="F30" s="95" t="s">
        <v>43</v>
      </c>
      <c r="G30" s="95">
        <f t="shared" si="2"/>
        <v>12</v>
      </c>
      <c r="H30" s="60">
        <f t="shared" ca="1" si="3"/>
        <v>9</v>
      </c>
      <c r="I30" s="95">
        <f t="shared" ca="1" si="9"/>
        <v>21</v>
      </c>
      <c r="J30" s="96" t="s">
        <v>63</v>
      </c>
    </row>
    <row r="31" spans="1:10" ht="16.8" x14ac:dyDescent="0.3">
      <c r="A31" s="99" t="s">
        <v>70</v>
      </c>
      <c r="B31" s="91">
        <v>8</v>
      </c>
      <c r="C31" s="100" t="s">
        <v>493</v>
      </c>
      <c r="D31" s="101" t="str">
        <f>VLOOKUP(C31,'Personal File'!$A$9:$C$14,3,FALSE)</f>
        <v>+7</v>
      </c>
      <c r="E31" s="102" t="str">
        <f t="shared" si="0"/>
        <v>Int (+7)</v>
      </c>
      <c r="F31" s="95" t="s">
        <v>43</v>
      </c>
      <c r="G31" s="95">
        <f t="shared" si="2"/>
        <v>15</v>
      </c>
      <c r="H31" s="60">
        <f t="shared" ca="1" si="3"/>
        <v>20</v>
      </c>
      <c r="I31" s="95">
        <f t="shared" ca="1" si="9"/>
        <v>35</v>
      </c>
      <c r="J31" s="96" t="s">
        <v>63</v>
      </c>
    </row>
    <row r="32" spans="1:10" ht="16.8" x14ac:dyDescent="0.3">
      <c r="A32" s="99" t="s">
        <v>71</v>
      </c>
      <c r="B32" s="91">
        <v>15</v>
      </c>
      <c r="C32" s="100" t="s">
        <v>493</v>
      </c>
      <c r="D32" s="101" t="str">
        <f>VLOOKUP(C32,'Personal File'!$A$9:$C$14,3,FALSE)</f>
        <v>+7</v>
      </c>
      <c r="E32" s="102" t="str">
        <f t="shared" si="0"/>
        <v>Int (+7)</v>
      </c>
      <c r="F32" s="95" t="s">
        <v>43</v>
      </c>
      <c r="G32" s="95">
        <f t="shared" si="2"/>
        <v>22</v>
      </c>
      <c r="H32" s="60">
        <f t="shared" ca="1" si="3"/>
        <v>12</v>
      </c>
      <c r="I32" s="95">
        <f t="shared" ca="1" si="6"/>
        <v>34</v>
      </c>
      <c r="J32" s="96" t="s">
        <v>63</v>
      </c>
    </row>
    <row r="33" spans="1:10" ht="16.8" x14ac:dyDescent="0.3">
      <c r="A33" s="114" t="s">
        <v>72</v>
      </c>
      <c r="B33" s="57">
        <v>0</v>
      </c>
      <c r="C33" s="115" t="s">
        <v>494</v>
      </c>
      <c r="D33" s="116" t="str">
        <f>VLOOKUP(C33,'Personal File'!$A$9:$C$14,3,FALSE)</f>
        <v>+2</v>
      </c>
      <c r="E33" s="117" t="str">
        <f t="shared" si="0"/>
        <v>Wis (+2)</v>
      </c>
      <c r="F33" s="77" t="s">
        <v>50</v>
      </c>
      <c r="G33" s="77">
        <f t="shared" si="2"/>
        <v>4</v>
      </c>
      <c r="H33" s="60">
        <f t="shared" ca="1" si="3"/>
        <v>12</v>
      </c>
      <c r="I33" s="77">
        <f t="shared" ca="1" si="6"/>
        <v>16</v>
      </c>
      <c r="J33" s="78"/>
    </row>
    <row r="34" spans="1:10" ht="16.8" x14ac:dyDescent="0.3">
      <c r="A34" s="79" t="s">
        <v>73</v>
      </c>
      <c r="B34" s="57">
        <v>0</v>
      </c>
      <c r="C34" s="80" t="s">
        <v>491</v>
      </c>
      <c r="D34" s="81" t="str">
        <f>VLOOKUP(C34,'Personal File'!$A$9:$C$14,3,FALSE)</f>
        <v>+2</v>
      </c>
      <c r="E34" s="64" t="str">
        <f t="shared" si="0"/>
        <v>Dex (+2)</v>
      </c>
      <c r="F34" s="77" t="s">
        <v>43</v>
      </c>
      <c r="G34" s="77">
        <f t="shared" si="2"/>
        <v>2</v>
      </c>
      <c r="H34" s="60">
        <f t="shared" ca="1" si="3"/>
        <v>6</v>
      </c>
      <c r="I34" s="77">
        <f t="shared" ca="1" si="6"/>
        <v>8</v>
      </c>
      <c r="J34" s="78"/>
    </row>
    <row r="35" spans="1:10" ht="16.8" x14ac:dyDescent="0.3">
      <c r="A35" s="79" t="s">
        <v>74</v>
      </c>
      <c r="B35" s="57">
        <v>0</v>
      </c>
      <c r="C35" s="80" t="s">
        <v>491</v>
      </c>
      <c r="D35" s="81" t="str">
        <f>VLOOKUP(C35,'Personal File'!$A$9:$C$14,3,FALSE)</f>
        <v>+2</v>
      </c>
      <c r="E35" s="64" t="str">
        <f t="shared" si="0"/>
        <v>Dex (+2)</v>
      </c>
      <c r="F35" s="77" t="s">
        <v>43</v>
      </c>
      <c r="G35" s="77">
        <f t="shared" si="2"/>
        <v>2</v>
      </c>
      <c r="H35" s="60">
        <f t="shared" ca="1" si="3"/>
        <v>18</v>
      </c>
      <c r="I35" s="77">
        <f t="shared" ca="1" si="6"/>
        <v>20</v>
      </c>
      <c r="J35" s="78"/>
    </row>
    <row r="36" spans="1:10" ht="16.8" x14ac:dyDescent="0.3">
      <c r="A36" s="82" t="s">
        <v>75</v>
      </c>
      <c r="B36" s="57">
        <v>0</v>
      </c>
      <c r="C36" s="83" t="s">
        <v>495</v>
      </c>
      <c r="D36" s="84" t="str">
        <f>VLOOKUP(C36,'Personal File'!$A$9:$C$14,3,FALSE)</f>
        <v>+0</v>
      </c>
      <c r="E36" s="85" t="str">
        <f t="shared" si="0"/>
        <v>Cha (+0)</v>
      </c>
      <c r="F36" s="77" t="s">
        <v>43</v>
      </c>
      <c r="G36" s="77">
        <f t="shared" si="2"/>
        <v>0</v>
      </c>
      <c r="H36" s="60">
        <f t="shared" ca="1" si="3"/>
        <v>17</v>
      </c>
      <c r="I36" s="77">
        <f t="shared" ca="1" si="6"/>
        <v>17</v>
      </c>
      <c r="J36" s="78"/>
    </row>
    <row r="37" spans="1:10" ht="16.8" x14ac:dyDescent="0.3">
      <c r="A37" s="118" t="s">
        <v>76</v>
      </c>
      <c r="B37" s="119">
        <v>0</v>
      </c>
      <c r="C37" s="120" t="s">
        <v>494</v>
      </c>
      <c r="D37" s="121" t="str">
        <f>VLOOKUP(C37,'Personal File'!$A$9:$C$14,3,FALSE)</f>
        <v>+2</v>
      </c>
      <c r="E37" s="122" t="str">
        <f t="shared" si="0"/>
        <v>Wis (+2)</v>
      </c>
      <c r="F37" s="108" t="s">
        <v>43</v>
      </c>
      <c r="G37" s="123">
        <f t="shared" si="2"/>
        <v>2</v>
      </c>
      <c r="H37" s="60">
        <f t="shared" ca="1" si="3"/>
        <v>2</v>
      </c>
      <c r="I37" s="123">
        <f t="shared" ca="1" si="6"/>
        <v>4</v>
      </c>
      <c r="J37" s="124"/>
    </row>
    <row r="38" spans="1:10" ht="16.8" x14ac:dyDescent="0.3">
      <c r="A38" s="79" t="s">
        <v>77</v>
      </c>
      <c r="B38" s="57">
        <v>0</v>
      </c>
      <c r="C38" s="80" t="s">
        <v>491</v>
      </c>
      <c r="D38" s="81" t="str">
        <f>VLOOKUP(C38,'Personal File'!$A$9:$C$14,3,FALSE)</f>
        <v>+2</v>
      </c>
      <c r="E38" s="64" t="str">
        <f t="shared" si="0"/>
        <v>Dex (+2)</v>
      </c>
      <c r="F38" s="77" t="s">
        <v>43</v>
      </c>
      <c r="G38" s="77">
        <f t="shared" si="2"/>
        <v>2</v>
      </c>
      <c r="H38" s="60">
        <f t="shared" ca="1" si="3"/>
        <v>5</v>
      </c>
      <c r="I38" s="77">
        <f t="shared" ca="1" si="6"/>
        <v>7</v>
      </c>
      <c r="J38" s="78"/>
    </row>
    <row r="39" spans="1:10" ht="16.8" x14ac:dyDescent="0.3">
      <c r="A39" s="73" t="s">
        <v>78</v>
      </c>
      <c r="B39" s="57">
        <v>0</v>
      </c>
      <c r="C39" s="74" t="s">
        <v>493</v>
      </c>
      <c r="D39" s="75" t="str">
        <f>VLOOKUP(C39,'Personal File'!$A$9:$C$14,3,FALSE)</f>
        <v>+7</v>
      </c>
      <c r="E39" s="76" t="str">
        <f t="shared" si="0"/>
        <v>Int (+7)</v>
      </c>
      <c r="F39" s="77" t="s">
        <v>50</v>
      </c>
      <c r="G39" s="77">
        <f t="shared" si="2"/>
        <v>9</v>
      </c>
      <c r="H39" s="60">
        <f t="shared" ca="1" si="3"/>
        <v>3</v>
      </c>
      <c r="I39" s="77">
        <f t="shared" ca="1" si="6"/>
        <v>12</v>
      </c>
      <c r="J39" s="78"/>
    </row>
    <row r="40" spans="1:10" ht="16.8" x14ac:dyDescent="0.3">
      <c r="A40" s="114" t="s">
        <v>79</v>
      </c>
      <c r="B40" s="57">
        <v>0</v>
      </c>
      <c r="C40" s="115" t="s">
        <v>494</v>
      </c>
      <c r="D40" s="116" t="str">
        <f>VLOOKUP(C40,'Personal File'!$A$9:$C$14,3,FALSE)</f>
        <v>+2</v>
      </c>
      <c r="E40" s="117" t="str">
        <f t="shared" si="0"/>
        <v>Wis (+2)</v>
      </c>
      <c r="F40" s="77" t="s">
        <v>43</v>
      </c>
      <c r="G40" s="77">
        <f t="shared" si="2"/>
        <v>2</v>
      </c>
      <c r="H40" s="60">
        <f t="shared" ca="1" si="3"/>
        <v>4</v>
      </c>
      <c r="I40" s="77">
        <f t="shared" ca="1" si="6"/>
        <v>6</v>
      </c>
      <c r="J40" s="78"/>
    </row>
    <row r="41" spans="1:10" ht="16.8" x14ac:dyDescent="0.3">
      <c r="A41" s="125" t="s">
        <v>80</v>
      </c>
      <c r="B41" s="104">
        <v>0</v>
      </c>
      <c r="C41" s="126" t="s">
        <v>491</v>
      </c>
      <c r="D41" s="127" t="str">
        <f>VLOOKUP(C41,'Personal File'!$A$9:$C$14,3,FALSE)</f>
        <v>+2</v>
      </c>
      <c r="E41" s="128" t="str">
        <f t="shared" si="0"/>
        <v>Dex (+2)</v>
      </c>
      <c r="F41" s="108" t="s">
        <v>43</v>
      </c>
      <c r="G41" s="108">
        <f t="shared" si="2"/>
        <v>2</v>
      </c>
      <c r="H41" s="60">
        <f t="shared" ca="1" si="3"/>
        <v>17</v>
      </c>
      <c r="I41" s="108">
        <f t="shared" ca="1" si="6"/>
        <v>19</v>
      </c>
      <c r="J41" s="109"/>
    </row>
    <row r="42" spans="1:10" ht="16.8" x14ac:dyDescent="0.3">
      <c r="A42" s="103" t="s">
        <v>81</v>
      </c>
      <c r="B42" s="104">
        <v>0</v>
      </c>
      <c r="C42" s="105" t="s">
        <v>493</v>
      </c>
      <c r="D42" s="106" t="str">
        <f>VLOOKUP(C42,'Personal File'!$A$9:$C$14,3,FALSE)</f>
        <v>+7</v>
      </c>
      <c r="E42" s="107" t="str">
        <f t="shared" si="0"/>
        <v>Int (+7)</v>
      </c>
      <c r="F42" s="108" t="s">
        <v>43</v>
      </c>
      <c r="G42" s="108">
        <f t="shared" si="2"/>
        <v>7</v>
      </c>
      <c r="H42" s="60">
        <f t="shared" ca="1" si="3"/>
        <v>10</v>
      </c>
      <c r="I42" s="108">
        <f t="shared" ca="1" si="6"/>
        <v>17</v>
      </c>
      <c r="J42" s="129"/>
    </row>
    <row r="43" spans="1:10" ht="16.8" x14ac:dyDescent="0.3">
      <c r="A43" s="99" t="s">
        <v>82</v>
      </c>
      <c r="B43" s="91">
        <v>15</v>
      </c>
      <c r="C43" s="100" t="s">
        <v>493</v>
      </c>
      <c r="D43" s="101" t="str">
        <f>VLOOKUP(C43,'Personal File'!$A$9:$C$14,3,FALSE)</f>
        <v>+7</v>
      </c>
      <c r="E43" s="102" t="str">
        <f t="shared" si="0"/>
        <v>Int (+7)</v>
      </c>
      <c r="F43" s="95" t="s">
        <v>50</v>
      </c>
      <c r="G43" s="95">
        <f t="shared" si="2"/>
        <v>24</v>
      </c>
      <c r="H43" s="60">
        <f t="shared" ca="1" si="3"/>
        <v>1</v>
      </c>
      <c r="I43" s="95">
        <f t="shared" ca="1" si="6"/>
        <v>25</v>
      </c>
      <c r="J43" s="130"/>
    </row>
    <row r="44" spans="1:10" ht="16.8" x14ac:dyDescent="0.3">
      <c r="A44" s="114" t="s">
        <v>83</v>
      </c>
      <c r="B44" s="57">
        <v>0</v>
      </c>
      <c r="C44" s="115" t="s">
        <v>494</v>
      </c>
      <c r="D44" s="116" t="str">
        <f>VLOOKUP(C44,'Personal File'!$A$9:$C$14,3,FALSE)</f>
        <v>+2</v>
      </c>
      <c r="E44" s="117" t="str">
        <f t="shared" si="0"/>
        <v>Wis (+2)</v>
      </c>
      <c r="F44" s="77" t="s">
        <v>43</v>
      </c>
      <c r="G44" s="77">
        <f t="shared" si="2"/>
        <v>2</v>
      </c>
      <c r="H44" s="60">
        <f t="shared" ca="1" si="3"/>
        <v>18</v>
      </c>
      <c r="I44" s="77">
        <f t="shared" ca="1" si="6"/>
        <v>20</v>
      </c>
      <c r="J44" s="78"/>
    </row>
    <row r="45" spans="1:10" ht="16.8" x14ac:dyDescent="0.3">
      <c r="A45" s="114" t="s">
        <v>84</v>
      </c>
      <c r="B45" s="57">
        <v>0</v>
      </c>
      <c r="C45" s="115" t="s">
        <v>494</v>
      </c>
      <c r="D45" s="116" t="str">
        <f>VLOOKUP(C45,'Personal File'!$A$9:$C$14,3,FALSE)</f>
        <v>+2</v>
      </c>
      <c r="E45" s="117" t="str">
        <f t="shared" si="0"/>
        <v>Wis (+2)</v>
      </c>
      <c r="F45" s="77" t="s">
        <v>43</v>
      </c>
      <c r="G45" s="77">
        <f t="shared" si="2"/>
        <v>2</v>
      </c>
      <c r="H45" s="60">
        <f t="shared" ca="1" si="3"/>
        <v>10</v>
      </c>
      <c r="I45" s="77">
        <f t="shared" ca="1" si="6"/>
        <v>12</v>
      </c>
      <c r="J45" s="98"/>
    </row>
    <row r="46" spans="1:10" ht="16.8" x14ac:dyDescent="0.3">
      <c r="A46" s="86" t="s">
        <v>85</v>
      </c>
      <c r="B46" s="57">
        <v>0</v>
      </c>
      <c r="C46" s="87" t="s">
        <v>490</v>
      </c>
      <c r="D46" s="88" t="str">
        <f>VLOOKUP(C46,'Personal File'!$A$9:$C$14,3,FALSE)</f>
        <v>+0</v>
      </c>
      <c r="E46" s="89" t="str">
        <f t="shared" si="0"/>
        <v>Str (+0)</v>
      </c>
      <c r="F46" s="77" t="s">
        <v>43</v>
      </c>
      <c r="G46" s="77">
        <f t="shared" si="2"/>
        <v>0</v>
      </c>
      <c r="H46" s="60">
        <f t="shared" ca="1" si="3"/>
        <v>4</v>
      </c>
      <c r="I46" s="77">
        <f t="shared" ca="1" si="6"/>
        <v>4</v>
      </c>
      <c r="J46" s="78"/>
    </row>
    <row r="47" spans="1:10" ht="16.8" x14ac:dyDescent="0.3">
      <c r="A47" s="131" t="s">
        <v>86</v>
      </c>
      <c r="B47" s="91">
        <v>2</v>
      </c>
      <c r="C47" s="132" t="s">
        <v>491</v>
      </c>
      <c r="D47" s="133" t="str">
        <f>VLOOKUP(C47,'Personal File'!$A$9:$C$14,3,FALSE)</f>
        <v>+2</v>
      </c>
      <c r="E47" s="134" t="str">
        <f t="shared" si="0"/>
        <v>Dex (+2)</v>
      </c>
      <c r="F47" s="95" t="s">
        <v>43</v>
      </c>
      <c r="G47" s="95">
        <f t="shared" si="2"/>
        <v>4</v>
      </c>
      <c r="H47" s="60">
        <f t="shared" ca="1" si="3"/>
        <v>11</v>
      </c>
      <c r="I47" s="95">
        <f t="shared" ca="1" si="6"/>
        <v>15</v>
      </c>
      <c r="J47" s="96"/>
    </row>
    <row r="48" spans="1:10" ht="16.8" x14ac:dyDescent="0.3">
      <c r="A48" s="110" t="s">
        <v>87</v>
      </c>
      <c r="B48" s="104">
        <v>0</v>
      </c>
      <c r="C48" s="111" t="s">
        <v>495</v>
      </c>
      <c r="D48" s="112" t="str">
        <f>VLOOKUP(C48,'Personal File'!$A$9:$C$14,3,FALSE)</f>
        <v>+0</v>
      </c>
      <c r="E48" s="113" t="str">
        <f t="shared" si="0"/>
        <v>Cha (+0)</v>
      </c>
      <c r="F48" s="108" t="s">
        <v>50</v>
      </c>
      <c r="G48" s="108">
        <f t="shared" si="2"/>
        <v>2</v>
      </c>
      <c r="H48" s="60">
        <f t="shared" ca="1" si="3"/>
        <v>16</v>
      </c>
      <c r="I48" s="108">
        <f t="shared" ca="1" si="6"/>
        <v>18</v>
      </c>
      <c r="J48" s="109"/>
    </row>
    <row r="49" spans="1:10" ht="17.399999999999999" thickBot="1" x14ac:dyDescent="0.35">
      <c r="A49" s="135" t="s">
        <v>88</v>
      </c>
      <c r="B49" s="136">
        <v>0</v>
      </c>
      <c r="C49" s="137" t="s">
        <v>491</v>
      </c>
      <c r="D49" s="138" t="str">
        <f>VLOOKUP(C49,'Personal File'!$A$9:$C$14,3,FALSE)</f>
        <v>+2</v>
      </c>
      <c r="E49" s="139" t="str">
        <f t="shared" si="0"/>
        <v>Dex (+2)</v>
      </c>
      <c r="F49" s="140" t="s">
        <v>43</v>
      </c>
      <c r="G49" s="140">
        <f t="shared" si="2"/>
        <v>2</v>
      </c>
      <c r="H49" s="141">
        <f t="shared" ca="1" si="3"/>
        <v>1</v>
      </c>
      <c r="I49" s="140">
        <f t="shared" ca="1" si="6"/>
        <v>3</v>
      </c>
      <c r="J49" s="142"/>
    </row>
    <row r="50" spans="1:10" ht="16.2" thickTop="1" x14ac:dyDescent="0.3">
      <c r="A50" s="143"/>
      <c r="B50" s="144">
        <f>SUM(B6:B49)</f>
        <v>165</v>
      </c>
      <c r="C50" s="145"/>
      <c r="D50" s="145"/>
      <c r="E50" s="144">
        <f>SUM(E51:E62)</f>
        <v>165</v>
      </c>
      <c r="F50" s="146"/>
      <c r="G50" s="146"/>
      <c r="H50" s="146"/>
      <c r="I50" s="146"/>
      <c r="J50" s="143"/>
    </row>
    <row r="51" spans="1:10" x14ac:dyDescent="0.3">
      <c r="A51" s="143"/>
      <c r="B51" s="144"/>
      <c r="C51" s="145"/>
      <c r="D51" s="145"/>
      <c r="E51" s="147">
        <f>4*(4+'Personal File'!$C$12)</f>
        <v>44</v>
      </c>
      <c r="F51" s="148" t="s">
        <v>89</v>
      </c>
      <c r="G51" s="146"/>
      <c r="H51" s="146"/>
      <c r="I51" s="146"/>
      <c r="J51" s="143"/>
    </row>
    <row r="52" spans="1:10" x14ac:dyDescent="0.3">
      <c r="A52" s="143"/>
      <c r="B52" s="149"/>
      <c r="C52" s="145"/>
      <c r="D52" s="145"/>
      <c r="E52" s="147">
        <f>4+'Personal File'!$C$12</f>
        <v>11</v>
      </c>
      <c r="F52" s="148" t="s">
        <v>90</v>
      </c>
      <c r="G52" s="146"/>
      <c r="H52" s="146"/>
      <c r="I52" s="146"/>
      <c r="J52" s="143"/>
    </row>
    <row r="53" spans="1:10" x14ac:dyDescent="0.3">
      <c r="A53" s="143"/>
      <c r="B53" s="149"/>
      <c r="C53" s="145"/>
      <c r="D53" s="145"/>
      <c r="E53" s="147">
        <f>4+'Personal File'!$C$12</f>
        <v>11</v>
      </c>
      <c r="F53" s="148" t="s">
        <v>91</v>
      </c>
      <c r="G53" s="146"/>
      <c r="H53" s="146"/>
      <c r="I53" s="146"/>
      <c r="J53" s="143"/>
    </row>
    <row r="54" spans="1:10" x14ac:dyDescent="0.3">
      <c r="A54" s="143"/>
      <c r="B54" s="149"/>
      <c r="C54" s="145"/>
      <c r="D54" s="145"/>
      <c r="E54" s="147">
        <f>4+'Personal File'!$C$12</f>
        <v>11</v>
      </c>
      <c r="F54" s="148" t="s">
        <v>92</v>
      </c>
      <c r="G54" s="146"/>
      <c r="H54" s="146"/>
      <c r="I54" s="146"/>
      <c r="J54" s="143"/>
    </row>
    <row r="55" spans="1:10" x14ac:dyDescent="0.3">
      <c r="A55" s="143"/>
      <c r="B55" s="149"/>
      <c r="C55" s="145"/>
      <c r="D55" s="145"/>
      <c r="E55" s="147">
        <f>4+'Personal File'!$C$12</f>
        <v>11</v>
      </c>
      <c r="F55" s="148" t="s">
        <v>93</v>
      </c>
      <c r="G55" s="146"/>
      <c r="H55" s="146"/>
      <c r="I55" s="146"/>
      <c r="J55" s="143"/>
    </row>
    <row r="56" spans="1:10" x14ac:dyDescent="0.3">
      <c r="A56" s="143"/>
      <c r="B56" s="149"/>
      <c r="C56" s="145"/>
      <c r="D56" s="145"/>
      <c r="E56" s="147">
        <f>4+'Personal File'!$C$12</f>
        <v>11</v>
      </c>
      <c r="F56" s="148" t="s">
        <v>94</v>
      </c>
      <c r="G56" s="146"/>
      <c r="H56" s="146"/>
      <c r="I56" s="146"/>
      <c r="J56" s="143"/>
    </row>
    <row r="57" spans="1:10" x14ac:dyDescent="0.3">
      <c r="A57" s="143"/>
      <c r="B57" s="149"/>
      <c r="C57" s="145"/>
      <c r="D57" s="145"/>
      <c r="E57" s="147">
        <f>4+'Personal File'!$C$12</f>
        <v>11</v>
      </c>
      <c r="F57" s="148" t="s">
        <v>95</v>
      </c>
      <c r="G57" s="146"/>
      <c r="H57" s="146"/>
      <c r="I57" s="146"/>
      <c r="J57" s="143"/>
    </row>
    <row r="58" spans="1:10" x14ac:dyDescent="0.3">
      <c r="A58" s="143"/>
      <c r="B58" s="143"/>
      <c r="C58" s="146"/>
      <c r="D58" s="146"/>
      <c r="E58" s="147">
        <f>4+'Personal File'!$C$12</f>
        <v>11</v>
      </c>
      <c r="F58" s="148" t="s">
        <v>96</v>
      </c>
      <c r="G58" s="146"/>
      <c r="H58" s="146"/>
      <c r="I58" s="146"/>
      <c r="J58" s="143"/>
    </row>
    <row r="59" spans="1:10" x14ac:dyDescent="0.3">
      <c r="A59" s="143"/>
      <c r="B59" s="143"/>
      <c r="C59" s="146"/>
      <c r="D59" s="146"/>
      <c r="E59" s="147">
        <f>4+'Personal File'!$C$12</f>
        <v>11</v>
      </c>
      <c r="F59" s="148" t="s">
        <v>97</v>
      </c>
      <c r="G59" s="146"/>
      <c r="H59" s="146"/>
      <c r="I59" s="146"/>
      <c r="J59" s="143"/>
    </row>
    <row r="60" spans="1:10" x14ac:dyDescent="0.3">
      <c r="A60" s="143"/>
      <c r="B60" s="143"/>
      <c r="C60" s="146"/>
      <c r="D60" s="146"/>
      <c r="E60" s="147">
        <f>4+'Personal File'!$C$12</f>
        <v>11</v>
      </c>
      <c r="F60" s="148" t="s">
        <v>98</v>
      </c>
      <c r="G60" s="146"/>
      <c r="H60" s="146"/>
      <c r="I60" s="146"/>
      <c r="J60" s="143"/>
    </row>
    <row r="61" spans="1:10" x14ac:dyDescent="0.3">
      <c r="E61" s="147">
        <f>4+'Personal File'!$C$12</f>
        <v>11</v>
      </c>
      <c r="F61" s="148" t="s">
        <v>405</v>
      </c>
    </row>
    <row r="62" spans="1:10" x14ac:dyDescent="0.3">
      <c r="E62" s="147">
        <f>4+'Personal File'!$C$12</f>
        <v>11</v>
      </c>
      <c r="F62" s="148" t="s">
        <v>426</v>
      </c>
    </row>
  </sheetData>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3"/>
  <sheetViews>
    <sheetView showGridLines="0" workbookViewId="0"/>
  </sheetViews>
  <sheetFormatPr defaultRowHeight="15.6" x14ac:dyDescent="0.3"/>
  <cols>
    <col min="1" max="1" width="23.8984375" bestFit="1" customWidth="1"/>
    <col min="2" max="2" width="6.19921875" bestFit="1" customWidth="1"/>
    <col min="3" max="3" width="13.59765625" bestFit="1" customWidth="1"/>
    <col min="4" max="4" width="13.5" customWidth="1"/>
    <col min="5" max="5" width="10.5" bestFit="1" customWidth="1"/>
    <col min="6" max="7" width="13.19921875" bestFit="1" customWidth="1"/>
    <col min="8" max="8" width="21.69921875" bestFit="1" customWidth="1"/>
    <col min="9" max="9" width="5.5" bestFit="1" customWidth="1"/>
  </cols>
  <sheetData>
    <row r="1" spans="1:9" ht="23.4" thickBot="1" x14ac:dyDescent="0.35">
      <c r="A1" s="150" t="s">
        <v>99</v>
      </c>
      <c r="B1" s="151"/>
      <c r="C1" s="151"/>
      <c r="D1" s="151"/>
      <c r="E1" s="151"/>
      <c r="F1" s="151"/>
      <c r="G1" s="151"/>
      <c r="H1" s="151"/>
      <c r="I1" s="152"/>
    </row>
    <row r="2" spans="1:9" ht="16.8" x14ac:dyDescent="0.3">
      <c r="A2" s="153" t="s">
        <v>100</v>
      </c>
      <c r="B2" s="154" t="s">
        <v>101</v>
      </c>
      <c r="C2" s="154" t="s">
        <v>102</v>
      </c>
      <c r="D2" s="196" t="s">
        <v>103</v>
      </c>
      <c r="E2" s="154" t="s">
        <v>104</v>
      </c>
      <c r="F2" s="154" t="s">
        <v>105</v>
      </c>
      <c r="G2" s="154" t="s">
        <v>106</v>
      </c>
      <c r="H2" s="155" t="s">
        <v>107</v>
      </c>
      <c r="I2" s="156" t="s">
        <v>108</v>
      </c>
    </row>
    <row r="3" spans="1:9" ht="16.8" x14ac:dyDescent="0.3">
      <c r="A3" s="157" t="s">
        <v>109</v>
      </c>
      <c r="B3" s="158">
        <v>0</v>
      </c>
      <c r="C3" s="159" t="s">
        <v>110</v>
      </c>
      <c r="D3" s="160" t="s">
        <v>111</v>
      </c>
      <c r="E3" s="161" t="s">
        <v>112</v>
      </c>
      <c r="F3" s="162" t="s">
        <v>113</v>
      </c>
      <c r="G3" s="162" t="s">
        <v>114</v>
      </c>
      <c r="H3" s="162" t="s">
        <v>115</v>
      </c>
      <c r="I3" s="163">
        <v>9</v>
      </c>
    </row>
    <row r="4" spans="1:9" ht="16.8" x14ac:dyDescent="0.3">
      <c r="A4" s="157" t="s">
        <v>116</v>
      </c>
      <c r="B4" s="158">
        <v>0</v>
      </c>
      <c r="C4" s="159" t="s">
        <v>117</v>
      </c>
      <c r="D4" s="160" t="s">
        <v>111</v>
      </c>
      <c r="E4" s="161" t="s">
        <v>112</v>
      </c>
      <c r="F4" s="162" t="s">
        <v>113</v>
      </c>
      <c r="G4" s="162" t="s">
        <v>118</v>
      </c>
      <c r="H4" s="162" t="s">
        <v>119</v>
      </c>
      <c r="I4" s="163">
        <v>215</v>
      </c>
    </row>
    <row r="5" spans="1:9" ht="16.8" x14ac:dyDescent="0.3">
      <c r="A5" s="157" t="s">
        <v>120</v>
      </c>
      <c r="B5" s="158">
        <v>0</v>
      </c>
      <c r="C5" s="159" t="s">
        <v>121</v>
      </c>
      <c r="D5" s="160" t="s">
        <v>111</v>
      </c>
      <c r="E5" s="161" t="s">
        <v>112</v>
      </c>
      <c r="F5" s="162" t="s">
        <v>122</v>
      </c>
      <c r="G5" s="162" t="s">
        <v>118</v>
      </c>
      <c r="H5" s="162" t="s">
        <v>119</v>
      </c>
      <c r="I5" s="163">
        <v>216</v>
      </c>
    </row>
    <row r="6" spans="1:9" ht="16.8" x14ac:dyDescent="0.3">
      <c r="A6" s="157" t="s">
        <v>123</v>
      </c>
      <c r="B6" s="158">
        <v>0</v>
      </c>
      <c r="C6" s="164" t="s">
        <v>121</v>
      </c>
      <c r="D6" s="160" t="s">
        <v>111</v>
      </c>
      <c r="E6" s="162" t="s">
        <v>112</v>
      </c>
      <c r="F6" s="162" t="s">
        <v>124</v>
      </c>
      <c r="G6" s="162" t="s">
        <v>125</v>
      </c>
      <c r="H6" s="162" t="s">
        <v>119</v>
      </c>
      <c r="I6" s="163">
        <v>219</v>
      </c>
    </row>
    <row r="7" spans="1:9" ht="16.8" x14ac:dyDescent="0.3">
      <c r="A7" s="157" t="s">
        <v>126</v>
      </c>
      <c r="B7" s="158">
        <v>0</v>
      </c>
      <c r="C7" s="159" t="s">
        <v>127</v>
      </c>
      <c r="D7" s="160" t="s">
        <v>111</v>
      </c>
      <c r="E7" s="161" t="s">
        <v>112</v>
      </c>
      <c r="F7" s="162" t="s">
        <v>113</v>
      </c>
      <c r="G7" s="162" t="s">
        <v>118</v>
      </c>
      <c r="H7" s="162" t="s">
        <v>119</v>
      </c>
      <c r="I7" s="163">
        <v>219</v>
      </c>
    </row>
    <row r="8" spans="1:9" ht="16.8" x14ac:dyDescent="0.3">
      <c r="A8" s="157" t="s">
        <v>128</v>
      </c>
      <c r="B8" s="158">
        <v>0</v>
      </c>
      <c r="C8" s="159" t="s">
        <v>127</v>
      </c>
      <c r="D8" s="160" t="s">
        <v>111</v>
      </c>
      <c r="E8" s="161" t="s">
        <v>112</v>
      </c>
      <c r="F8" s="162" t="s">
        <v>122</v>
      </c>
      <c r="G8" s="162" t="s">
        <v>129</v>
      </c>
      <c r="H8" s="162" t="s">
        <v>119</v>
      </c>
      <c r="I8" s="165">
        <v>238</v>
      </c>
    </row>
    <row r="9" spans="1:9" ht="16.8" x14ac:dyDescent="0.3">
      <c r="A9" s="157" t="s">
        <v>130</v>
      </c>
      <c r="B9" s="158">
        <v>0</v>
      </c>
      <c r="C9" s="159" t="s">
        <v>131</v>
      </c>
      <c r="D9" s="160" t="s">
        <v>132</v>
      </c>
      <c r="E9" s="161" t="s">
        <v>112</v>
      </c>
      <c r="F9" s="162" t="s">
        <v>122</v>
      </c>
      <c r="G9" s="162" t="s">
        <v>114</v>
      </c>
      <c r="H9" s="162" t="s">
        <v>119</v>
      </c>
      <c r="I9" s="163">
        <v>248</v>
      </c>
    </row>
    <row r="10" spans="1:9" ht="16.8" x14ac:dyDescent="0.3">
      <c r="A10" s="157" t="s">
        <v>133</v>
      </c>
      <c r="B10" s="158">
        <v>0</v>
      </c>
      <c r="C10" s="159" t="s">
        <v>110</v>
      </c>
      <c r="D10" s="160" t="s">
        <v>111</v>
      </c>
      <c r="E10" s="161" t="s">
        <v>112</v>
      </c>
      <c r="F10" s="162" t="s">
        <v>134</v>
      </c>
      <c r="G10" s="162" t="s">
        <v>118</v>
      </c>
      <c r="H10" s="162" t="s">
        <v>119</v>
      </c>
      <c r="I10" s="163">
        <v>253</v>
      </c>
    </row>
    <row r="11" spans="1:9" ht="16.8" x14ac:dyDescent="0.3">
      <c r="A11" s="157" t="s">
        <v>135</v>
      </c>
      <c r="B11" s="158">
        <v>0</v>
      </c>
      <c r="C11" s="159" t="s">
        <v>110</v>
      </c>
      <c r="D11" s="160" t="s">
        <v>136</v>
      </c>
      <c r="E11" s="161" t="s">
        <v>112</v>
      </c>
      <c r="F11" s="162" t="s">
        <v>137</v>
      </c>
      <c r="G11" s="162" t="s">
        <v>114</v>
      </c>
      <c r="H11" s="162" t="s">
        <v>119</v>
      </c>
      <c r="I11" s="163">
        <v>253</v>
      </c>
    </row>
    <row r="12" spans="1:9" ht="16.8" x14ac:dyDescent="0.3">
      <c r="A12" s="157" t="s">
        <v>138</v>
      </c>
      <c r="B12" s="158">
        <v>0</v>
      </c>
      <c r="C12" s="159" t="s">
        <v>139</v>
      </c>
      <c r="D12" s="160" t="s">
        <v>140</v>
      </c>
      <c r="E12" s="161" t="s">
        <v>141</v>
      </c>
      <c r="F12" s="162" t="s">
        <v>122</v>
      </c>
      <c r="G12" s="162" t="s">
        <v>142</v>
      </c>
      <c r="H12" s="162" t="s">
        <v>143</v>
      </c>
      <c r="I12" s="163">
        <v>101</v>
      </c>
    </row>
    <row r="13" spans="1:9" ht="16.8" x14ac:dyDescent="0.3">
      <c r="A13" s="157" t="s">
        <v>144</v>
      </c>
      <c r="B13" s="158">
        <v>0</v>
      </c>
      <c r="C13" s="159" t="s">
        <v>121</v>
      </c>
      <c r="D13" s="160" t="s">
        <v>111</v>
      </c>
      <c r="E13" s="161" t="s">
        <v>112</v>
      </c>
      <c r="F13" s="162" t="s">
        <v>134</v>
      </c>
      <c r="G13" s="162" t="s">
        <v>118</v>
      </c>
      <c r="H13" s="162" t="s">
        <v>119</v>
      </c>
      <c r="I13" s="163">
        <v>267</v>
      </c>
    </row>
    <row r="14" spans="1:9" ht="16.8" x14ac:dyDescent="0.3">
      <c r="A14" s="157" t="s">
        <v>145</v>
      </c>
      <c r="B14" s="158">
        <v>0</v>
      </c>
      <c r="C14" s="159" t="s">
        <v>121</v>
      </c>
      <c r="D14" s="160" t="s">
        <v>136</v>
      </c>
      <c r="E14" s="161" t="s">
        <v>112</v>
      </c>
      <c r="F14" s="162" t="s">
        <v>146</v>
      </c>
      <c r="G14" s="162" t="s">
        <v>114</v>
      </c>
      <c r="H14" s="162" t="s">
        <v>119</v>
      </c>
      <c r="I14" s="163">
        <v>269</v>
      </c>
    </row>
    <row r="15" spans="1:9" ht="16.8" x14ac:dyDescent="0.3">
      <c r="A15" s="157" t="s">
        <v>147</v>
      </c>
      <c r="B15" s="158">
        <v>0</v>
      </c>
      <c r="C15" s="164" t="s">
        <v>148</v>
      </c>
      <c r="D15" s="160" t="s">
        <v>149</v>
      </c>
      <c r="E15" s="161" t="s">
        <v>112</v>
      </c>
      <c r="F15" s="162" t="s">
        <v>122</v>
      </c>
      <c r="G15" s="162" t="s">
        <v>129</v>
      </c>
      <c r="H15" s="162" t="s">
        <v>119</v>
      </c>
      <c r="I15" s="163">
        <v>272</v>
      </c>
    </row>
    <row r="16" spans="1:9" ht="16.8" x14ac:dyDescent="0.3">
      <c r="A16" s="157" t="s">
        <v>150</v>
      </c>
      <c r="B16" s="158">
        <v>0</v>
      </c>
      <c r="C16" s="159" t="s">
        <v>117</v>
      </c>
      <c r="D16" s="160" t="s">
        <v>111</v>
      </c>
      <c r="E16" s="161" t="s">
        <v>112</v>
      </c>
      <c r="F16" s="162" t="s">
        <v>151</v>
      </c>
      <c r="G16" s="162" t="s">
        <v>152</v>
      </c>
      <c r="H16" s="162" t="s">
        <v>153</v>
      </c>
      <c r="I16" s="163">
        <v>128</v>
      </c>
    </row>
    <row r="17" spans="1:9" ht="16.8" x14ac:dyDescent="0.3">
      <c r="A17" s="166" t="s">
        <v>154</v>
      </c>
      <c r="B17" s="167">
        <v>0</v>
      </c>
      <c r="C17" s="168" t="s">
        <v>110</v>
      </c>
      <c r="D17" s="169" t="s">
        <v>140</v>
      </c>
      <c r="E17" s="169" t="s">
        <v>112</v>
      </c>
      <c r="F17" s="170" t="s">
        <v>122</v>
      </c>
      <c r="G17" s="170" t="s">
        <v>129</v>
      </c>
      <c r="H17" s="170" t="s">
        <v>119</v>
      </c>
      <c r="I17" s="171">
        <v>298</v>
      </c>
    </row>
    <row r="18" spans="1:9" ht="16.8" x14ac:dyDescent="0.3">
      <c r="A18" s="157" t="s">
        <v>155</v>
      </c>
      <c r="B18" s="158">
        <v>1</v>
      </c>
      <c r="C18" s="159" t="s">
        <v>156</v>
      </c>
      <c r="D18" s="160" t="s">
        <v>140</v>
      </c>
      <c r="E18" s="161" t="s">
        <v>112</v>
      </c>
      <c r="F18" s="162" t="s">
        <v>157</v>
      </c>
      <c r="G18" s="162" t="s">
        <v>125</v>
      </c>
      <c r="H18" s="162" t="s">
        <v>119</v>
      </c>
      <c r="I18" s="165">
        <v>205</v>
      </c>
    </row>
    <row r="19" spans="1:9" ht="16.8" x14ac:dyDescent="0.3">
      <c r="A19" s="157" t="s">
        <v>158</v>
      </c>
      <c r="B19" s="158">
        <v>1</v>
      </c>
      <c r="C19" s="159" t="s">
        <v>110</v>
      </c>
      <c r="D19" s="160" t="s">
        <v>159</v>
      </c>
      <c r="E19" s="161" t="s">
        <v>112</v>
      </c>
      <c r="F19" s="162" t="s">
        <v>122</v>
      </c>
      <c r="G19" s="162" t="s">
        <v>118</v>
      </c>
      <c r="H19" s="162" t="s">
        <v>119</v>
      </c>
      <c r="I19" s="165">
        <v>205</v>
      </c>
    </row>
    <row r="20" spans="1:9" ht="16.8" x14ac:dyDescent="0.3">
      <c r="A20" s="157" t="s">
        <v>160</v>
      </c>
      <c r="B20" s="158">
        <v>1</v>
      </c>
      <c r="C20" s="159" t="s">
        <v>148</v>
      </c>
      <c r="D20" s="160" t="s">
        <v>161</v>
      </c>
      <c r="E20" s="161" t="s">
        <v>112</v>
      </c>
      <c r="F20" s="162" t="s">
        <v>122</v>
      </c>
      <c r="G20" s="162" t="s">
        <v>162</v>
      </c>
      <c r="H20" s="162" t="s">
        <v>163</v>
      </c>
      <c r="I20" s="165">
        <v>83</v>
      </c>
    </row>
    <row r="21" spans="1:9" ht="16.8" x14ac:dyDescent="0.3">
      <c r="A21" s="157" t="s">
        <v>164</v>
      </c>
      <c r="B21" s="158">
        <v>1</v>
      </c>
      <c r="C21" s="159" t="s">
        <v>156</v>
      </c>
      <c r="D21" s="160" t="s">
        <v>165</v>
      </c>
      <c r="E21" s="161" t="s">
        <v>112</v>
      </c>
      <c r="F21" s="162" t="s">
        <v>113</v>
      </c>
      <c r="G21" s="162" t="s">
        <v>166</v>
      </c>
      <c r="H21" s="162" t="s">
        <v>119</v>
      </c>
      <c r="I21" s="163">
        <v>211</v>
      </c>
    </row>
    <row r="22" spans="1:9" ht="16.8" x14ac:dyDescent="0.3">
      <c r="A22" s="157" t="s">
        <v>167</v>
      </c>
      <c r="B22" s="158">
        <v>1</v>
      </c>
      <c r="C22" s="159" t="s">
        <v>127</v>
      </c>
      <c r="D22" s="160" t="s">
        <v>149</v>
      </c>
      <c r="E22" s="161" t="s">
        <v>112</v>
      </c>
      <c r="F22" s="162" t="s">
        <v>146</v>
      </c>
      <c r="G22" s="162" t="s">
        <v>114</v>
      </c>
      <c r="H22" s="162" t="s">
        <v>119</v>
      </c>
      <c r="I22" s="163">
        <v>212</v>
      </c>
    </row>
    <row r="23" spans="1:9" ht="16.8" x14ac:dyDescent="0.3">
      <c r="A23" s="157" t="s">
        <v>168</v>
      </c>
      <c r="B23" s="158">
        <v>1</v>
      </c>
      <c r="C23" s="172" t="s">
        <v>117</v>
      </c>
      <c r="D23" s="173" t="s">
        <v>140</v>
      </c>
      <c r="E23" s="174" t="s">
        <v>169</v>
      </c>
      <c r="F23" s="162" t="s">
        <v>113</v>
      </c>
      <c r="G23" s="175" t="s">
        <v>152</v>
      </c>
      <c r="H23" s="162" t="s">
        <v>170</v>
      </c>
      <c r="I23" s="78">
        <v>91</v>
      </c>
    </row>
    <row r="24" spans="1:9" ht="16.8" x14ac:dyDescent="0.3">
      <c r="A24" s="157" t="s">
        <v>171</v>
      </c>
      <c r="B24" s="158">
        <v>1</v>
      </c>
      <c r="C24" s="159" t="s">
        <v>121</v>
      </c>
      <c r="D24" s="160" t="s">
        <v>111</v>
      </c>
      <c r="E24" s="161" t="s">
        <v>112</v>
      </c>
      <c r="F24" s="162" t="s">
        <v>122</v>
      </c>
      <c r="G24" s="162" t="s">
        <v>118</v>
      </c>
      <c r="H24" s="162" t="s">
        <v>119</v>
      </c>
      <c r="I24" s="163">
        <v>216</v>
      </c>
    </row>
    <row r="25" spans="1:9" ht="16.8" x14ac:dyDescent="0.3">
      <c r="A25" s="157" t="s">
        <v>172</v>
      </c>
      <c r="B25" s="158">
        <v>1</v>
      </c>
      <c r="C25" s="159" t="s">
        <v>139</v>
      </c>
      <c r="D25" s="160" t="s">
        <v>111</v>
      </c>
      <c r="E25" s="161" t="s">
        <v>112</v>
      </c>
      <c r="F25" s="162" t="s">
        <v>113</v>
      </c>
      <c r="G25" s="162" t="s">
        <v>114</v>
      </c>
      <c r="H25" s="162" t="s">
        <v>119</v>
      </c>
      <c r="I25" s="163">
        <v>217</v>
      </c>
    </row>
    <row r="26" spans="1:9" ht="16.8" x14ac:dyDescent="0.3">
      <c r="A26" s="157" t="s">
        <v>173</v>
      </c>
      <c r="B26" s="158">
        <v>1</v>
      </c>
      <c r="C26" s="159" t="s">
        <v>127</v>
      </c>
      <c r="D26" s="160" t="s">
        <v>140</v>
      </c>
      <c r="E26" s="161" t="s">
        <v>112</v>
      </c>
      <c r="F26" s="162" t="s">
        <v>174</v>
      </c>
      <c r="G26" s="162" t="s">
        <v>114</v>
      </c>
      <c r="H26" s="162" t="s">
        <v>119</v>
      </c>
      <c r="I26" s="163">
        <v>218</v>
      </c>
    </row>
    <row r="27" spans="1:9" ht="16.8" x14ac:dyDescent="0.3">
      <c r="A27" s="157" t="s">
        <v>175</v>
      </c>
      <c r="B27" s="158">
        <v>1</v>
      </c>
      <c r="C27" s="159" t="s">
        <v>127</v>
      </c>
      <c r="D27" s="160" t="s">
        <v>140</v>
      </c>
      <c r="E27" s="161" t="s">
        <v>112</v>
      </c>
      <c r="F27" s="162" t="s">
        <v>124</v>
      </c>
      <c r="G27" s="162" t="s">
        <v>114</v>
      </c>
      <c r="H27" s="162" t="s">
        <v>119</v>
      </c>
      <c r="I27" s="163">
        <v>218</v>
      </c>
    </row>
    <row r="28" spans="1:9" ht="16.8" x14ac:dyDescent="0.3">
      <c r="A28" s="157" t="s">
        <v>176</v>
      </c>
      <c r="B28" s="158">
        <v>1</v>
      </c>
      <c r="C28" s="159" t="s">
        <v>127</v>
      </c>
      <c r="D28" s="160" t="s">
        <v>111</v>
      </c>
      <c r="E28" s="161" t="s">
        <v>112</v>
      </c>
      <c r="F28" s="162" t="s">
        <v>124</v>
      </c>
      <c r="G28" s="162" t="s">
        <v>125</v>
      </c>
      <c r="H28" s="162" t="s">
        <v>119</v>
      </c>
      <c r="I28" s="163">
        <v>220</v>
      </c>
    </row>
    <row r="29" spans="1:9" ht="16.8" x14ac:dyDescent="0.3">
      <c r="A29" s="157" t="s">
        <v>177</v>
      </c>
      <c r="B29" s="158">
        <v>1</v>
      </c>
      <c r="C29" s="477" t="s">
        <v>127</v>
      </c>
      <c r="D29" s="478" t="s">
        <v>149</v>
      </c>
      <c r="E29" s="161" t="s">
        <v>112</v>
      </c>
      <c r="F29" s="479" t="s">
        <v>124</v>
      </c>
      <c r="G29" s="479" t="s">
        <v>125</v>
      </c>
      <c r="H29" s="479" t="s">
        <v>119</v>
      </c>
      <c r="I29" s="163">
        <v>220</v>
      </c>
    </row>
    <row r="30" spans="1:9" ht="16.8" x14ac:dyDescent="0.3">
      <c r="A30" s="157" t="s">
        <v>179</v>
      </c>
      <c r="B30" s="158">
        <v>1</v>
      </c>
      <c r="C30" s="159" t="s">
        <v>131</v>
      </c>
      <c r="D30" s="160" t="s">
        <v>140</v>
      </c>
      <c r="E30" s="161" t="s">
        <v>112</v>
      </c>
      <c r="F30" s="162" t="s">
        <v>146</v>
      </c>
      <c r="G30" s="162" t="s">
        <v>129</v>
      </c>
      <c r="H30" s="162" t="s">
        <v>119</v>
      </c>
      <c r="I30" s="165">
        <v>224</v>
      </c>
    </row>
    <row r="31" spans="1:9" ht="16.8" x14ac:dyDescent="0.3">
      <c r="A31" s="157" t="s">
        <v>180</v>
      </c>
      <c r="B31" s="158">
        <v>1</v>
      </c>
      <c r="C31" s="159" t="s">
        <v>127</v>
      </c>
      <c r="D31" s="160" t="s">
        <v>181</v>
      </c>
      <c r="E31" s="162" t="s">
        <v>112</v>
      </c>
      <c r="F31" s="162" t="s">
        <v>122</v>
      </c>
      <c r="G31" s="162" t="s">
        <v>182</v>
      </c>
      <c r="H31" s="162" t="s">
        <v>183</v>
      </c>
      <c r="I31" s="163">
        <v>96</v>
      </c>
    </row>
    <row r="32" spans="1:9" ht="16.8" x14ac:dyDescent="0.3">
      <c r="A32" s="157" t="s">
        <v>184</v>
      </c>
      <c r="B32" s="158">
        <v>1</v>
      </c>
      <c r="C32" s="159" t="s">
        <v>148</v>
      </c>
      <c r="D32" s="160" t="s">
        <v>111</v>
      </c>
      <c r="E32" s="161" t="s">
        <v>112</v>
      </c>
      <c r="F32" s="162" t="s">
        <v>122</v>
      </c>
      <c r="G32" s="162" t="s">
        <v>142</v>
      </c>
      <c r="H32" s="162" t="s">
        <v>119</v>
      </c>
      <c r="I32" s="163">
        <v>226</v>
      </c>
    </row>
    <row r="33" spans="1:9" ht="16.8" x14ac:dyDescent="0.3">
      <c r="A33" s="157" t="s">
        <v>185</v>
      </c>
      <c r="B33" s="158">
        <v>1</v>
      </c>
      <c r="C33" s="159" t="s">
        <v>110</v>
      </c>
      <c r="D33" s="160" t="s">
        <v>140</v>
      </c>
      <c r="E33" s="161" t="s">
        <v>112</v>
      </c>
      <c r="F33" s="162" t="s">
        <v>174</v>
      </c>
      <c r="G33" s="162" t="s">
        <v>125</v>
      </c>
      <c r="H33" s="162" t="s">
        <v>119</v>
      </c>
      <c r="I33" s="163">
        <v>227</v>
      </c>
    </row>
    <row r="34" spans="1:9" ht="16.8" x14ac:dyDescent="0.3">
      <c r="A34" s="157" t="s">
        <v>186</v>
      </c>
      <c r="B34" s="158">
        <v>1</v>
      </c>
      <c r="C34" s="159" t="s">
        <v>148</v>
      </c>
      <c r="D34" s="160" t="s">
        <v>187</v>
      </c>
      <c r="E34" s="161" t="s">
        <v>112</v>
      </c>
      <c r="F34" s="162" t="s">
        <v>113</v>
      </c>
      <c r="G34" s="162" t="s">
        <v>188</v>
      </c>
      <c r="H34" s="162" t="s">
        <v>183</v>
      </c>
      <c r="I34" s="163">
        <v>99</v>
      </c>
    </row>
    <row r="35" spans="1:9" ht="16.8" x14ac:dyDescent="0.3">
      <c r="A35" s="157" t="s">
        <v>189</v>
      </c>
      <c r="B35" s="158">
        <v>1</v>
      </c>
      <c r="C35" s="159" t="s">
        <v>127</v>
      </c>
      <c r="D35" s="173" t="s">
        <v>190</v>
      </c>
      <c r="E35" s="161" t="s">
        <v>191</v>
      </c>
      <c r="F35" s="175" t="s">
        <v>146</v>
      </c>
      <c r="G35" s="162" t="s">
        <v>166</v>
      </c>
      <c r="H35" s="162" t="s">
        <v>192</v>
      </c>
      <c r="I35" s="78">
        <v>150</v>
      </c>
    </row>
    <row r="36" spans="1:9" ht="16.8" x14ac:dyDescent="0.3">
      <c r="A36" s="157" t="s">
        <v>193</v>
      </c>
      <c r="B36" s="158">
        <v>1</v>
      </c>
      <c r="C36" s="159" t="s">
        <v>131</v>
      </c>
      <c r="D36" s="160" t="s">
        <v>111</v>
      </c>
      <c r="E36" s="162" t="s">
        <v>112</v>
      </c>
      <c r="F36" s="162" t="s">
        <v>174</v>
      </c>
      <c r="G36" s="162" t="s">
        <v>125</v>
      </c>
      <c r="H36" s="162" t="s">
        <v>115</v>
      </c>
      <c r="I36" s="163">
        <v>108</v>
      </c>
    </row>
    <row r="37" spans="1:9" ht="16.8" x14ac:dyDescent="0.3">
      <c r="A37" s="157" t="s">
        <v>194</v>
      </c>
      <c r="B37" s="158">
        <v>1</v>
      </c>
      <c r="C37" s="159" t="s">
        <v>117</v>
      </c>
      <c r="D37" s="160" t="s">
        <v>111</v>
      </c>
      <c r="E37" s="161" t="s">
        <v>141</v>
      </c>
      <c r="F37" s="162" t="s">
        <v>113</v>
      </c>
      <c r="G37" s="162" t="s">
        <v>142</v>
      </c>
      <c r="H37" s="162" t="s">
        <v>192</v>
      </c>
      <c r="I37" s="163">
        <v>151</v>
      </c>
    </row>
    <row r="38" spans="1:9" ht="16.8" x14ac:dyDescent="0.3">
      <c r="A38" s="157" t="s">
        <v>195</v>
      </c>
      <c r="B38" s="158">
        <v>1</v>
      </c>
      <c r="C38" s="176" t="s">
        <v>148</v>
      </c>
      <c r="D38" s="177" t="s">
        <v>140</v>
      </c>
      <c r="E38" s="178" t="s">
        <v>112</v>
      </c>
      <c r="F38" s="178" t="s">
        <v>122</v>
      </c>
      <c r="G38" s="178" t="s">
        <v>114</v>
      </c>
      <c r="H38" s="162" t="s">
        <v>119</v>
      </c>
      <c r="I38" s="163">
        <v>241</v>
      </c>
    </row>
    <row r="39" spans="1:9" ht="16.8" x14ac:dyDescent="0.3">
      <c r="A39" s="157" t="s">
        <v>196</v>
      </c>
      <c r="B39" s="158">
        <v>1</v>
      </c>
      <c r="C39" s="159" t="s">
        <v>156</v>
      </c>
      <c r="D39" s="160" t="s">
        <v>140</v>
      </c>
      <c r="E39" s="161" t="s">
        <v>112</v>
      </c>
      <c r="F39" s="162" t="s">
        <v>137</v>
      </c>
      <c r="G39" s="162" t="s">
        <v>152</v>
      </c>
      <c r="H39" s="162" t="s">
        <v>153</v>
      </c>
      <c r="I39" s="163">
        <v>122</v>
      </c>
    </row>
    <row r="40" spans="1:9" ht="16.8" x14ac:dyDescent="0.3">
      <c r="A40" s="157" t="s">
        <v>197</v>
      </c>
      <c r="B40" s="158">
        <v>1</v>
      </c>
      <c r="C40" s="159" t="s">
        <v>131</v>
      </c>
      <c r="D40" s="160" t="s">
        <v>111</v>
      </c>
      <c r="E40" s="161" t="s">
        <v>112</v>
      </c>
      <c r="F40" s="178" t="s">
        <v>137</v>
      </c>
      <c r="G40" s="162" t="s">
        <v>114</v>
      </c>
      <c r="H40" s="162" t="s">
        <v>198</v>
      </c>
      <c r="I40" s="163">
        <v>100</v>
      </c>
    </row>
    <row r="41" spans="1:9" ht="16.8" x14ac:dyDescent="0.3">
      <c r="A41" s="157" t="s">
        <v>199</v>
      </c>
      <c r="B41" s="158">
        <v>1</v>
      </c>
      <c r="C41" s="159" t="s">
        <v>110</v>
      </c>
      <c r="D41" s="160" t="s">
        <v>140</v>
      </c>
      <c r="E41" s="161" t="s">
        <v>112</v>
      </c>
      <c r="F41" s="162" t="s">
        <v>122</v>
      </c>
      <c r="G41" s="162" t="s">
        <v>200</v>
      </c>
      <c r="H41" s="162" t="s">
        <v>119</v>
      </c>
      <c r="I41" s="163">
        <v>251</v>
      </c>
    </row>
    <row r="42" spans="1:9" ht="16.8" x14ac:dyDescent="0.3">
      <c r="A42" s="157" t="s">
        <v>201</v>
      </c>
      <c r="B42" s="158">
        <v>1</v>
      </c>
      <c r="C42" s="159" t="s">
        <v>110</v>
      </c>
      <c r="D42" s="160" t="s">
        <v>202</v>
      </c>
      <c r="E42" s="161" t="s">
        <v>112</v>
      </c>
      <c r="F42" s="162" t="s">
        <v>122</v>
      </c>
      <c r="G42" s="162" t="s">
        <v>125</v>
      </c>
      <c r="H42" s="162" t="s">
        <v>119</v>
      </c>
      <c r="I42" s="179">
        <v>251</v>
      </c>
    </row>
    <row r="43" spans="1:9" ht="16.8" x14ac:dyDescent="0.3">
      <c r="A43" s="157" t="s">
        <v>203</v>
      </c>
      <c r="B43" s="158">
        <v>1</v>
      </c>
      <c r="C43" s="159" t="s">
        <v>148</v>
      </c>
      <c r="D43" s="177" t="s">
        <v>111</v>
      </c>
      <c r="E43" s="178" t="s">
        <v>112</v>
      </c>
      <c r="F43" s="162" t="s">
        <v>146</v>
      </c>
      <c r="G43" s="162" t="s">
        <v>125</v>
      </c>
      <c r="H43" s="162" t="s">
        <v>115</v>
      </c>
      <c r="I43" s="180">
        <v>148</v>
      </c>
    </row>
    <row r="44" spans="1:9" ht="16.8" x14ac:dyDescent="0.3">
      <c r="A44" s="157" t="s">
        <v>204</v>
      </c>
      <c r="B44" s="158">
        <v>1</v>
      </c>
      <c r="C44" s="159" t="s">
        <v>131</v>
      </c>
      <c r="D44" s="160" t="s">
        <v>140</v>
      </c>
      <c r="E44" s="161" t="s">
        <v>112</v>
      </c>
      <c r="F44" s="162" t="s">
        <v>146</v>
      </c>
      <c r="G44" s="162" t="s">
        <v>125</v>
      </c>
      <c r="H44" s="162" t="s">
        <v>205</v>
      </c>
      <c r="I44" s="163">
        <v>170</v>
      </c>
    </row>
    <row r="45" spans="1:9" ht="16.8" x14ac:dyDescent="0.3">
      <c r="A45" s="157" t="s">
        <v>206</v>
      </c>
      <c r="B45" s="158">
        <v>1</v>
      </c>
      <c r="C45" s="159" t="s">
        <v>117</v>
      </c>
      <c r="D45" s="160" t="s">
        <v>111</v>
      </c>
      <c r="E45" s="161" t="s">
        <v>112</v>
      </c>
      <c r="F45" s="162" t="s">
        <v>207</v>
      </c>
      <c r="G45" s="162" t="s">
        <v>125</v>
      </c>
      <c r="H45" s="162" t="s">
        <v>119</v>
      </c>
      <c r="I45" s="163">
        <v>258</v>
      </c>
    </row>
    <row r="46" spans="1:9" ht="16.8" x14ac:dyDescent="0.3">
      <c r="A46" s="157" t="s">
        <v>208</v>
      </c>
      <c r="B46" s="158">
        <v>1</v>
      </c>
      <c r="C46" s="159" t="s">
        <v>127</v>
      </c>
      <c r="D46" s="160" t="s">
        <v>209</v>
      </c>
      <c r="E46" s="161" t="s">
        <v>169</v>
      </c>
      <c r="F46" s="162" t="s">
        <v>146</v>
      </c>
      <c r="G46" s="162" t="s">
        <v>118</v>
      </c>
      <c r="H46" s="162" t="s">
        <v>205</v>
      </c>
      <c r="I46" s="163">
        <v>171</v>
      </c>
    </row>
    <row r="47" spans="1:9" ht="16.8" x14ac:dyDescent="0.3">
      <c r="A47" s="157" t="s">
        <v>210</v>
      </c>
      <c r="B47" s="158">
        <v>1</v>
      </c>
      <c r="C47" s="159" t="s">
        <v>148</v>
      </c>
      <c r="D47" s="160" t="s">
        <v>149</v>
      </c>
      <c r="E47" s="161" t="s">
        <v>112</v>
      </c>
      <c r="F47" s="162" t="s">
        <v>122</v>
      </c>
      <c r="G47" s="162" t="s">
        <v>125</v>
      </c>
      <c r="H47" s="162" t="s">
        <v>119</v>
      </c>
      <c r="I47" s="165">
        <v>266</v>
      </c>
    </row>
    <row r="48" spans="1:9" ht="16.8" x14ac:dyDescent="0.3">
      <c r="A48" s="157" t="s">
        <v>211</v>
      </c>
      <c r="B48" s="158">
        <v>1</v>
      </c>
      <c r="C48" s="159" t="s">
        <v>148</v>
      </c>
      <c r="D48" s="160" t="s">
        <v>149</v>
      </c>
      <c r="E48" s="161" t="s">
        <v>112</v>
      </c>
      <c r="F48" s="162" t="s">
        <v>122</v>
      </c>
      <c r="G48" s="162" t="s">
        <v>125</v>
      </c>
      <c r="H48" s="162" t="s">
        <v>119</v>
      </c>
      <c r="I48" s="165">
        <v>266</v>
      </c>
    </row>
    <row r="49" spans="1:9" ht="16.8" x14ac:dyDescent="0.3">
      <c r="A49" s="157" t="s">
        <v>212</v>
      </c>
      <c r="B49" s="158">
        <v>1</v>
      </c>
      <c r="C49" s="159" t="s">
        <v>148</v>
      </c>
      <c r="D49" s="177" t="s">
        <v>111</v>
      </c>
      <c r="E49" s="178" t="s">
        <v>112</v>
      </c>
      <c r="F49" s="162" t="s">
        <v>113</v>
      </c>
      <c r="G49" s="162" t="s">
        <v>114</v>
      </c>
      <c r="H49" s="162" t="s">
        <v>119</v>
      </c>
      <c r="I49" s="180">
        <v>271</v>
      </c>
    </row>
    <row r="50" spans="1:9" ht="16.8" x14ac:dyDescent="0.3">
      <c r="A50" s="157" t="s">
        <v>213</v>
      </c>
      <c r="B50" s="158">
        <v>1</v>
      </c>
      <c r="C50" s="172" t="s">
        <v>148</v>
      </c>
      <c r="D50" s="173" t="s">
        <v>140</v>
      </c>
      <c r="E50" s="161" t="s">
        <v>112</v>
      </c>
      <c r="F50" s="175" t="s">
        <v>122</v>
      </c>
      <c r="G50" s="175" t="s">
        <v>114</v>
      </c>
      <c r="H50" s="175" t="s">
        <v>198</v>
      </c>
      <c r="I50" s="163">
        <v>104</v>
      </c>
    </row>
    <row r="51" spans="1:9" ht="16.8" x14ac:dyDescent="0.3">
      <c r="A51" s="157" t="s">
        <v>214</v>
      </c>
      <c r="B51" s="158">
        <v>1</v>
      </c>
      <c r="C51" s="159" t="s">
        <v>148</v>
      </c>
      <c r="D51" s="160" t="s">
        <v>140</v>
      </c>
      <c r="E51" s="161" t="s">
        <v>112</v>
      </c>
      <c r="F51" s="162" t="s">
        <v>122</v>
      </c>
      <c r="G51" s="162" t="s">
        <v>152</v>
      </c>
      <c r="H51" s="162" t="s">
        <v>119</v>
      </c>
      <c r="I51" s="163">
        <v>274</v>
      </c>
    </row>
    <row r="52" spans="1:9" ht="16.8" x14ac:dyDescent="0.3">
      <c r="A52" s="157" t="s">
        <v>215</v>
      </c>
      <c r="B52" s="158">
        <v>1</v>
      </c>
      <c r="C52" s="159" t="s">
        <v>148</v>
      </c>
      <c r="D52" s="160" t="s">
        <v>159</v>
      </c>
      <c r="E52" s="161" t="s">
        <v>112</v>
      </c>
      <c r="F52" s="162" t="s">
        <v>122</v>
      </c>
      <c r="G52" s="162" t="s">
        <v>125</v>
      </c>
      <c r="H52" s="162" t="s">
        <v>119</v>
      </c>
      <c r="I52" s="165">
        <v>278</v>
      </c>
    </row>
    <row r="53" spans="1:9" ht="16.8" x14ac:dyDescent="0.3">
      <c r="A53" s="157" t="s">
        <v>216</v>
      </c>
      <c r="B53" s="158">
        <v>1</v>
      </c>
      <c r="C53" s="159" t="s">
        <v>110</v>
      </c>
      <c r="D53" s="177" t="s">
        <v>111</v>
      </c>
      <c r="E53" s="178" t="s">
        <v>112</v>
      </c>
      <c r="F53" s="178" t="s">
        <v>146</v>
      </c>
      <c r="G53" s="178" t="s">
        <v>152</v>
      </c>
      <c r="H53" s="178" t="s">
        <v>115</v>
      </c>
      <c r="I53" s="163">
        <v>198</v>
      </c>
    </row>
    <row r="54" spans="1:9" ht="16.8" x14ac:dyDescent="0.3">
      <c r="A54" s="157" t="s">
        <v>217</v>
      </c>
      <c r="B54" s="158">
        <v>1</v>
      </c>
      <c r="C54" s="159" t="s">
        <v>117</v>
      </c>
      <c r="D54" s="160" t="s">
        <v>149</v>
      </c>
      <c r="E54" s="161" t="s">
        <v>169</v>
      </c>
      <c r="F54" s="162" t="s">
        <v>113</v>
      </c>
      <c r="G54" s="162" t="s">
        <v>152</v>
      </c>
      <c r="H54" s="162" t="s">
        <v>119</v>
      </c>
      <c r="I54" s="179">
        <v>285</v>
      </c>
    </row>
    <row r="55" spans="1:9" ht="16.8" x14ac:dyDescent="0.3">
      <c r="A55" s="157" t="s">
        <v>218</v>
      </c>
      <c r="B55" s="158">
        <v>1</v>
      </c>
      <c r="C55" s="159" t="s">
        <v>117</v>
      </c>
      <c r="D55" s="160" t="s">
        <v>140</v>
      </c>
      <c r="E55" s="160" t="s">
        <v>112</v>
      </c>
      <c r="F55" s="162" t="s">
        <v>113</v>
      </c>
      <c r="G55" s="162" t="s">
        <v>152</v>
      </c>
      <c r="H55" s="162" t="s">
        <v>119</v>
      </c>
      <c r="I55" s="181">
        <v>288</v>
      </c>
    </row>
    <row r="56" spans="1:9" ht="16.8" x14ac:dyDescent="0.3">
      <c r="A56" s="157" t="s">
        <v>219</v>
      </c>
      <c r="B56" s="158">
        <v>1</v>
      </c>
      <c r="C56" s="159" t="s">
        <v>117</v>
      </c>
      <c r="D56" s="160" t="s">
        <v>149</v>
      </c>
      <c r="E56" s="161" t="s">
        <v>169</v>
      </c>
      <c r="F56" s="162" t="s">
        <v>113</v>
      </c>
      <c r="G56" s="162" t="s">
        <v>152</v>
      </c>
      <c r="H56" s="162" t="s">
        <v>220</v>
      </c>
      <c r="I56" s="179">
        <v>71</v>
      </c>
    </row>
    <row r="57" spans="1:9" ht="16.8" x14ac:dyDescent="0.3">
      <c r="A57" s="157" t="s">
        <v>221</v>
      </c>
      <c r="B57" s="158">
        <v>1</v>
      </c>
      <c r="C57" s="159" t="s">
        <v>117</v>
      </c>
      <c r="D57" s="160" t="s">
        <v>111</v>
      </c>
      <c r="E57" s="161" t="s">
        <v>112</v>
      </c>
      <c r="F57" s="162" t="s">
        <v>122</v>
      </c>
      <c r="G57" s="162" t="s">
        <v>222</v>
      </c>
      <c r="H57" s="162" t="s">
        <v>205</v>
      </c>
      <c r="I57" s="163">
        <v>186</v>
      </c>
    </row>
    <row r="58" spans="1:9" ht="16.8" x14ac:dyDescent="0.3">
      <c r="A58" s="166" t="s">
        <v>223</v>
      </c>
      <c r="B58" s="167">
        <v>1</v>
      </c>
      <c r="C58" s="182" t="s">
        <v>156</v>
      </c>
      <c r="D58" s="183" t="s">
        <v>165</v>
      </c>
      <c r="E58" s="184" t="s">
        <v>112</v>
      </c>
      <c r="F58" s="170" t="s">
        <v>113</v>
      </c>
      <c r="G58" s="184" t="s">
        <v>166</v>
      </c>
      <c r="H58" s="184" t="s">
        <v>183</v>
      </c>
      <c r="I58" s="185">
        <v>111</v>
      </c>
    </row>
    <row r="59" spans="1:9" ht="16.8" x14ac:dyDescent="0.3">
      <c r="A59" s="157" t="s">
        <v>224</v>
      </c>
      <c r="B59" s="158">
        <v>2</v>
      </c>
      <c r="C59" s="159" t="s">
        <v>156</v>
      </c>
      <c r="D59" s="160" t="s">
        <v>140</v>
      </c>
      <c r="E59" s="161" t="s">
        <v>112</v>
      </c>
      <c r="F59" s="162" t="s">
        <v>122</v>
      </c>
      <c r="G59" s="162" t="s">
        <v>125</v>
      </c>
      <c r="H59" s="162" t="s">
        <v>119</v>
      </c>
      <c r="I59" s="165">
        <v>196</v>
      </c>
    </row>
    <row r="60" spans="1:9" ht="16.8" x14ac:dyDescent="0.3">
      <c r="A60" s="157" t="s">
        <v>225</v>
      </c>
      <c r="B60" s="158">
        <v>2</v>
      </c>
      <c r="C60" s="159" t="s">
        <v>127</v>
      </c>
      <c r="D60" s="160" t="s">
        <v>136</v>
      </c>
      <c r="E60" s="161" t="s">
        <v>112</v>
      </c>
      <c r="F60" s="162" t="s">
        <v>146</v>
      </c>
      <c r="G60" s="162" t="s">
        <v>118</v>
      </c>
      <c r="H60" s="162" t="s">
        <v>119</v>
      </c>
      <c r="I60" s="163">
        <v>202</v>
      </c>
    </row>
    <row r="61" spans="1:9" ht="16.8" x14ac:dyDescent="0.3">
      <c r="A61" s="157" t="s">
        <v>226</v>
      </c>
      <c r="B61" s="158">
        <v>2</v>
      </c>
      <c r="C61" s="159" t="s">
        <v>121</v>
      </c>
      <c r="D61" s="160" t="s">
        <v>111</v>
      </c>
      <c r="E61" s="161" t="s">
        <v>112</v>
      </c>
      <c r="F61" s="162" t="s">
        <v>122</v>
      </c>
      <c r="G61" s="162" t="s">
        <v>118</v>
      </c>
      <c r="H61" s="162" t="s">
        <v>119</v>
      </c>
      <c r="I61" s="163">
        <v>216</v>
      </c>
    </row>
    <row r="62" spans="1:9" ht="16.8" x14ac:dyDescent="0.3">
      <c r="A62" s="157" t="s">
        <v>227</v>
      </c>
      <c r="B62" s="158">
        <v>2</v>
      </c>
      <c r="C62" s="159" t="s">
        <v>127</v>
      </c>
      <c r="D62" s="160" t="s">
        <v>111</v>
      </c>
      <c r="E62" s="161" t="s">
        <v>112</v>
      </c>
      <c r="F62" s="162" t="s">
        <v>137</v>
      </c>
      <c r="G62" s="162" t="s">
        <v>125</v>
      </c>
      <c r="H62" s="162" t="s">
        <v>119</v>
      </c>
      <c r="I62" s="163">
        <v>230</v>
      </c>
    </row>
    <row r="63" spans="1:9" ht="16.8" x14ac:dyDescent="0.3">
      <c r="A63" s="157" t="s">
        <v>228</v>
      </c>
      <c r="B63" s="158">
        <v>2</v>
      </c>
      <c r="C63" s="159" t="s">
        <v>131</v>
      </c>
      <c r="D63" s="160" t="s">
        <v>149</v>
      </c>
      <c r="E63" s="161" t="s">
        <v>112</v>
      </c>
      <c r="F63" s="162" t="s">
        <v>137</v>
      </c>
      <c r="G63" s="162" t="s">
        <v>152</v>
      </c>
      <c r="H63" s="162" t="s">
        <v>119</v>
      </c>
      <c r="I63" s="163">
        <v>232</v>
      </c>
    </row>
    <row r="64" spans="1:9" ht="16.8" x14ac:dyDescent="0.3">
      <c r="A64" s="157" t="s">
        <v>229</v>
      </c>
      <c r="B64" s="158">
        <v>2</v>
      </c>
      <c r="C64" s="159" t="s">
        <v>117</v>
      </c>
      <c r="D64" s="160" t="s">
        <v>159</v>
      </c>
      <c r="E64" s="161" t="s">
        <v>230</v>
      </c>
      <c r="F64" s="175" t="s">
        <v>122</v>
      </c>
      <c r="G64" s="162" t="s">
        <v>114</v>
      </c>
      <c r="H64" s="162" t="s">
        <v>231</v>
      </c>
      <c r="I64" s="78">
        <v>70</v>
      </c>
    </row>
    <row r="65" spans="1:9" ht="16.8" x14ac:dyDescent="0.3">
      <c r="A65" s="157" t="s">
        <v>272</v>
      </c>
      <c r="B65" s="158">
        <v>2</v>
      </c>
      <c r="C65" s="159" t="s">
        <v>156</v>
      </c>
      <c r="D65" s="160" t="s">
        <v>202</v>
      </c>
      <c r="E65" s="162" t="s">
        <v>112</v>
      </c>
      <c r="F65" s="162" t="s">
        <v>137</v>
      </c>
      <c r="G65" s="162" t="s">
        <v>152</v>
      </c>
      <c r="H65" s="162" t="s">
        <v>119</v>
      </c>
      <c r="I65" s="163">
        <v>241</v>
      </c>
    </row>
    <row r="66" spans="1:9" ht="16.8" x14ac:dyDescent="0.3">
      <c r="A66" s="157" t="s">
        <v>232</v>
      </c>
      <c r="B66" s="158">
        <v>2</v>
      </c>
      <c r="C66" s="159" t="s">
        <v>127</v>
      </c>
      <c r="D66" s="160" t="s">
        <v>111</v>
      </c>
      <c r="E66" s="161" t="s">
        <v>112</v>
      </c>
      <c r="F66" s="162" t="s">
        <v>122</v>
      </c>
      <c r="G66" s="162" t="s">
        <v>118</v>
      </c>
      <c r="H66" s="162" t="s">
        <v>119</v>
      </c>
      <c r="I66" s="163">
        <v>243</v>
      </c>
    </row>
    <row r="67" spans="1:9" ht="16.8" x14ac:dyDescent="0.3">
      <c r="A67" s="157" t="s">
        <v>233</v>
      </c>
      <c r="B67" s="158">
        <v>2</v>
      </c>
      <c r="C67" s="159" t="s">
        <v>117</v>
      </c>
      <c r="D67" s="160" t="s">
        <v>111</v>
      </c>
      <c r="E67" s="161" t="s">
        <v>112</v>
      </c>
      <c r="F67" s="162" t="s">
        <v>122</v>
      </c>
      <c r="G67" s="162" t="s">
        <v>118</v>
      </c>
      <c r="H67" s="162" t="s">
        <v>119</v>
      </c>
      <c r="I67" s="163">
        <v>272</v>
      </c>
    </row>
    <row r="68" spans="1:9" ht="16.8" x14ac:dyDescent="0.3">
      <c r="A68" s="157" t="s">
        <v>234</v>
      </c>
      <c r="B68" s="158">
        <v>2</v>
      </c>
      <c r="C68" s="159" t="s">
        <v>235</v>
      </c>
      <c r="D68" s="160" t="s">
        <v>111</v>
      </c>
      <c r="E68" s="161" t="s">
        <v>112</v>
      </c>
      <c r="F68" s="162" t="s">
        <v>174</v>
      </c>
      <c r="G68" s="162" t="s">
        <v>125</v>
      </c>
      <c r="H68" s="162" t="s">
        <v>119</v>
      </c>
      <c r="I68" s="163">
        <v>279</v>
      </c>
    </row>
    <row r="69" spans="1:9" ht="16.8" x14ac:dyDescent="0.3">
      <c r="A69" s="157" t="s">
        <v>236</v>
      </c>
      <c r="B69" s="158">
        <v>2</v>
      </c>
      <c r="C69" s="159" t="s">
        <v>131</v>
      </c>
      <c r="D69" s="160" t="s">
        <v>140</v>
      </c>
      <c r="E69" s="161" t="s">
        <v>112</v>
      </c>
      <c r="F69" s="162" t="s">
        <v>137</v>
      </c>
      <c r="G69" s="162" t="s">
        <v>152</v>
      </c>
      <c r="H69" s="162" t="s">
        <v>119</v>
      </c>
      <c r="I69" s="163">
        <v>283</v>
      </c>
    </row>
    <row r="70" spans="1:9" ht="16.8" x14ac:dyDescent="0.3">
      <c r="A70" s="157" t="s">
        <v>237</v>
      </c>
      <c r="B70" s="158">
        <v>2</v>
      </c>
      <c r="C70" s="159" t="s">
        <v>117</v>
      </c>
      <c r="D70" s="160" t="s">
        <v>149</v>
      </c>
      <c r="E70" s="161" t="s">
        <v>169</v>
      </c>
      <c r="F70" s="162" t="s">
        <v>113</v>
      </c>
      <c r="G70" s="162" t="s">
        <v>152</v>
      </c>
      <c r="H70" s="162" t="s">
        <v>119</v>
      </c>
      <c r="I70" s="179">
        <v>286</v>
      </c>
    </row>
    <row r="71" spans="1:9" ht="16.8" x14ac:dyDescent="0.3">
      <c r="A71" s="166" t="s">
        <v>238</v>
      </c>
      <c r="B71" s="167">
        <v>2</v>
      </c>
      <c r="C71" s="182" t="s">
        <v>117</v>
      </c>
      <c r="D71" s="183" t="s">
        <v>140</v>
      </c>
      <c r="E71" s="183" t="s">
        <v>112</v>
      </c>
      <c r="F71" s="184" t="s">
        <v>113</v>
      </c>
      <c r="G71" s="184" t="s">
        <v>152</v>
      </c>
      <c r="H71" s="184" t="s">
        <v>119</v>
      </c>
      <c r="I71" s="186">
        <v>288</v>
      </c>
    </row>
    <row r="72" spans="1:9" ht="16.8" x14ac:dyDescent="0.3">
      <c r="A72" s="157" t="s">
        <v>239</v>
      </c>
      <c r="B72" s="158">
        <v>3</v>
      </c>
      <c r="C72" s="159" t="s">
        <v>131</v>
      </c>
      <c r="D72" s="173" t="s">
        <v>111</v>
      </c>
      <c r="E72" s="161" t="s">
        <v>112</v>
      </c>
      <c r="F72" s="175" t="s">
        <v>137</v>
      </c>
      <c r="G72" s="162" t="s">
        <v>125</v>
      </c>
      <c r="H72" s="162" t="s">
        <v>119</v>
      </c>
      <c r="I72" s="78">
        <v>207</v>
      </c>
    </row>
    <row r="73" spans="1:9" ht="16.8" x14ac:dyDescent="0.3">
      <c r="A73" s="157" t="s">
        <v>240</v>
      </c>
      <c r="B73" s="158">
        <v>3</v>
      </c>
      <c r="C73" s="159" t="s">
        <v>148</v>
      </c>
      <c r="D73" s="160" t="s">
        <v>111</v>
      </c>
      <c r="E73" s="162" t="s">
        <v>112</v>
      </c>
      <c r="F73" s="162" t="s">
        <v>137</v>
      </c>
      <c r="G73" s="162" t="s">
        <v>118</v>
      </c>
      <c r="H73" s="162" t="s">
        <v>119</v>
      </c>
      <c r="I73" s="163">
        <v>223</v>
      </c>
    </row>
    <row r="74" spans="1:9" ht="16.8" x14ac:dyDescent="0.3">
      <c r="A74" s="157" t="s">
        <v>241</v>
      </c>
      <c r="B74" s="158">
        <v>3</v>
      </c>
      <c r="C74" s="159" t="s">
        <v>131</v>
      </c>
      <c r="D74" s="160" t="s">
        <v>159</v>
      </c>
      <c r="E74" s="161" t="s">
        <v>112</v>
      </c>
      <c r="F74" s="162" t="s">
        <v>122</v>
      </c>
      <c r="G74" s="162" t="s">
        <v>152</v>
      </c>
      <c r="H74" s="162" t="s">
        <v>163</v>
      </c>
      <c r="I74" s="163">
        <v>86</v>
      </c>
    </row>
    <row r="75" spans="1:9" ht="16.8" x14ac:dyDescent="0.3">
      <c r="A75" s="157" t="s">
        <v>242</v>
      </c>
      <c r="B75" s="158">
        <v>3</v>
      </c>
      <c r="C75" s="159" t="s">
        <v>110</v>
      </c>
      <c r="D75" s="160" t="s">
        <v>140</v>
      </c>
      <c r="E75" s="161" t="s">
        <v>112</v>
      </c>
      <c r="F75" s="162" t="s">
        <v>146</v>
      </c>
      <c r="G75" s="162" t="s">
        <v>152</v>
      </c>
      <c r="H75" s="162" t="s">
        <v>153</v>
      </c>
      <c r="I75" s="163">
        <v>120</v>
      </c>
    </row>
    <row r="76" spans="1:9" ht="16.8" x14ac:dyDescent="0.3">
      <c r="A76" s="157" t="s">
        <v>243</v>
      </c>
      <c r="B76" s="158">
        <v>3</v>
      </c>
      <c r="C76" s="159" t="s">
        <v>156</v>
      </c>
      <c r="D76" s="160" t="s">
        <v>140</v>
      </c>
      <c r="E76" s="162" t="s">
        <v>112</v>
      </c>
      <c r="F76" s="162" t="s">
        <v>113</v>
      </c>
      <c r="G76" s="162" t="s">
        <v>162</v>
      </c>
      <c r="H76" s="162" t="s">
        <v>183</v>
      </c>
      <c r="I76" s="163">
        <v>100</v>
      </c>
    </row>
    <row r="77" spans="1:9" ht="16.8" x14ac:dyDescent="0.3">
      <c r="A77" s="157" t="s">
        <v>244</v>
      </c>
      <c r="B77" s="158">
        <v>3</v>
      </c>
      <c r="C77" s="159" t="s">
        <v>156</v>
      </c>
      <c r="D77" s="160" t="s">
        <v>165</v>
      </c>
      <c r="E77" s="162" t="s">
        <v>112</v>
      </c>
      <c r="F77" s="162" t="s">
        <v>178</v>
      </c>
      <c r="G77" s="162" t="s">
        <v>47</v>
      </c>
      <c r="H77" s="162" t="s">
        <v>183</v>
      </c>
      <c r="I77" s="163">
        <v>101</v>
      </c>
    </row>
    <row r="78" spans="1:9" ht="16.8" x14ac:dyDescent="0.3">
      <c r="A78" s="157" t="s">
        <v>245</v>
      </c>
      <c r="B78" s="158">
        <v>3</v>
      </c>
      <c r="C78" s="159" t="s">
        <v>110</v>
      </c>
      <c r="D78" s="160" t="s">
        <v>149</v>
      </c>
      <c r="E78" s="161" t="s">
        <v>112</v>
      </c>
      <c r="F78" s="162" t="s">
        <v>122</v>
      </c>
      <c r="G78" s="162" t="s">
        <v>118</v>
      </c>
      <c r="H78" s="162" t="s">
        <v>119</v>
      </c>
      <c r="I78" s="163">
        <v>284</v>
      </c>
    </row>
    <row r="79" spans="1:9" ht="16.8" x14ac:dyDescent="0.3">
      <c r="A79" s="166" t="s">
        <v>246</v>
      </c>
      <c r="B79" s="167">
        <v>3</v>
      </c>
      <c r="C79" s="182" t="s">
        <v>117</v>
      </c>
      <c r="D79" s="183" t="s">
        <v>140</v>
      </c>
      <c r="E79" s="183" t="s">
        <v>112</v>
      </c>
      <c r="F79" s="184" t="s">
        <v>113</v>
      </c>
      <c r="G79" s="184" t="s">
        <v>152</v>
      </c>
      <c r="H79" s="184" t="s">
        <v>119</v>
      </c>
      <c r="I79" s="186">
        <v>288</v>
      </c>
    </row>
    <row r="80" spans="1:9" ht="16.8" x14ac:dyDescent="0.3">
      <c r="A80" s="157" t="s">
        <v>247</v>
      </c>
      <c r="B80" s="158">
        <v>4</v>
      </c>
      <c r="C80" s="159" t="s">
        <v>131</v>
      </c>
      <c r="D80" s="173" t="s">
        <v>165</v>
      </c>
      <c r="E80" s="161" t="s">
        <v>112</v>
      </c>
      <c r="F80" s="175" t="s">
        <v>134</v>
      </c>
      <c r="G80" s="162" t="s">
        <v>118</v>
      </c>
      <c r="H80" s="162" t="s">
        <v>163</v>
      </c>
      <c r="I80" s="78">
        <v>83</v>
      </c>
    </row>
    <row r="81" spans="1:9" ht="16.8" x14ac:dyDescent="0.3">
      <c r="A81" s="157" t="s">
        <v>248</v>
      </c>
      <c r="B81" s="158">
        <v>4</v>
      </c>
      <c r="C81" s="159" t="s">
        <v>131</v>
      </c>
      <c r="D81" s="173" t="s">
        <v>111</v>
      </c>
      <c r="E81" s="161" t="s">
        <v>112</v>
      </c>
      <c r="F81" s="175" t="s">
        <v>122</v>
      </c>
      <c r="G81" s="162" t="s">
        <v>249</v>
      </c>
      <c r="H81" s="162" t="s">
        <v>183</v>
      </c>
      <c r="I81" s="78">
        <v>94</v>
      </c>
    </row>
    <row r="82" spans="1:9" ht="16.8" x14ac:dyDescent="0.3">
      <c r="A82" s="157" t="s">
        <v>250</v>
      </c>
      <c r="B82" s="158">
        <v>4</v>
      </c>
      <c r="C82" s="159" t="s">
        <v>139</v>
      </c>
      <c r="D82" s="173" t="s">
        <v>140</v>
      </c>
      <c r="E82" s="161" t="s">
        <v>112</v>
      </c>
      <c r="F82" s="175" t="s">
        <v>122</v>
      </c>
      <c r="G82" s="162" t="s">
        <v>125</v>
      </c>
      <c r="H82" s="162" t="s">
        <v>119</v>
      </c>
      <c r="I82" s="78">
        <v>217</v>
      </c>
    </row>
    <row r="83" spans="1:9" ht="16.8" x14ac:dyDescent="0.3">
      <c r="A83" s="157" t="s">
        <v>127</v>
      </c>
      <c r="B83" s="158">
        <v>4</v>
      </c>
      <c r="C83" s="159" t="s">
        <v>127</v>
      </c>
      <c r="D83" s="160" t="s">
        <v>159</v>
      </c>
      <c r="E83" s="161" t="s">
        <v>141</v>
      </c>
      <c r="F83" s="162" t="s">
        <v>146</v>
      </c>
      <c r="G83" s="162" t="s">
        <v>118</v>
      </c>
      <c r="H83" s="162" t="s">
        <v>119</v>
      </c>
      <c r="I83" s="163">
        <v>224</v>
      </c>
    </row>
    <row r="84" spans="1:9" ht="16.8" x14ac:dyDescent="0.3">
      <c r="A84" s="157" t="s">
        <v>469</v>
      </c>
      <c r="B84" s="158">
        <v>4</v>
      </c>
      <c r="C84" s="477" t="s">
        <v>131</v>
      </c>
      <c r="D84" s="478" t="s">
        <v>159</v>
      </c>
      <c r="E84" s="161" t="s">
        <v>112</v>
      </c>
      <c r="F84" s="479" t="s">
        <v>124</v>
      </c>
      <c r="G84" s="479" t="s">
        <v>118</v>
      </c>
      <c r="H84" s="479" t="s">
        <v>183</v>
      </c>
      <c r="I84" s="163">
        <v>96</v>
      </c>
    </row>
    <row r="85" spans="1:9" ht="16.8" x14ac:dyDescent="0.3">
      <c r="A85" s="157" t="s">
        <v>251</v>
      </c>
      <c r="B85" s="158">
        <v>4</v>
      </c>
      <c r="C85" s="159" t="s">
        <v>131</v>
      </c>
      <c r="D85" s="160" t="s">
        <v>140</v>
      </c>
      <c r="E85" s="161" t="s">
        <v>169</v>
      </c>
      <c r="F85" s="162" t="s">
        <v>113</v>
      </c>
      <c r="G85" s="162" t="s">
        <v>47</v>
      </c>
      <c r="H85" s="162" t="s">
        <v>163</v>
      </c>
      <c r="I85" s="163">
        <v>85</v>
      </c>
    </row>
    <row r="86" spans="1:9" ht="16.8" x14ac:dyDescent="0.3">
      <c r="A86" s="157" t="s">
        <v>252</v>
      </c>
      <c r="B86" s="158">
        <v>4</v>
      </c>
      <c r="C86" s="159" t="s">
        <v>148</v>
      </c>
      <c r="D86" s="160" t="s">
        <v>149</v>
      </c>
      <c r="E86" s="160" t="s">
        <v>112</v>
      </c>
      <c r="F86" s="162" t="s">
        <v>122</v>
      </c>
      <c r="G86" s="162" t="s">
        <v>114</v>
      </c>
      <c r="H86" s="162" t="s">
        <v>119</v>
      </c>
      <c r="I86" s="181">
        <v>233</v>
      </c>
    </row>
    <row r="87" spans="1:9" ht="16.8" x14ac:dyDescent="0.3">
      <c r="A87" s="166" t="s">
        <v>253</v>
      </c>
      <c r="B87" s="167">
        <v>4</v>
      </c>
      <c r="C87" s="182" t="s">
        <v>117</v>
      </c>
      <c r="D87" s="183" t="s">
        <v>159</v>
      </c>
      <c r="E87" s="187" t="s">
        <v>112</v>
      </c>
      <c r="F87" s="184" t="s">
        <v>122</v>
      </c>
      <c r="G87" s="184" t="s">
        <v>118</v>
      </c>
      <c r="H87" s="184" t="s">
        <v>119</v>
      </c>
      <c r="I87" s="185">
        <v>272</v>
      </c>
    </row>
    <row r="88" spans="1:9" ht="16.8" x14ac:dyDescent="0.3">
      <c r="A88" s="157" t="s">
        <v>254</v>
      </c>
      <c r="B88" s="158">
        <v>5</v>
      </c>
      <c r="C88" s="159" t="s">
        <v>110</v>
      </c>
      <c r="D88" s="160" t="s">
        <v>111</v>
      </c>
      <c r="E88" s="161" t="s">
        <v>112</v>
      </c>
      <c r="F88" s="162" t="s">
        <v>255</v>
      </c>
      <c r="G88" s="162" t="s">
        <v>152</v>
      </c>
      <c r="H88" s="162" t="s">
        <v>163</v>
      </c>
      <c r="I88" s="163">
        <v>81</v>
      </c>
    </row>
    <row r="89" spans="1:9" ht="16.8" x14ac:dyDescent="0.3">
      <c r="A89" s="157" t="s">
        <v>256</v>
      </c>
      <c r="B89" s="158">
        <v>5</v>
      </c>
      <c r="C89" s="159" t="s">
        <v>148</v>
      </c>
      <c r="D89" s="160" t="s">
        <v>111</v>
      </c>
      <c r="E89" s="161" t="s">
        <v>129</v>
      </c>
      <c r="F89" s="162" t="s">
        <v>113</v>
      </c>
      <c r="G89" s="162" t="s">
        <v>118</v>
      </c>
      <c r="H89" s="162" t="s">
        <v>119</v>
      </c>
      <c r="I89" s="163">
        <v>207</v>
      </c>
    </row>
    <row r="90" spans="1:9" ht="16.8" x14ac:dyDescent="0.3">
      <c r="A90" s="157" t="s">
        <v>470</v>
      </c>
      <c r="B90" s="158">
        <v>5</v>
      </c>
      <c r="C90" s="477" t="s">
        <v>127</v>
      </c>
      <c r="D90" s="478" t="s">
        <v>454</v>
      </c>
      <c r="E90" s="479" t="s">
        <v>455</v>
      </c>
      <c r="F90" s="479" t="s">
        <v>230</v>
      </c>
      <c r="G90" s="479" t="s">
        <v>125</v>
      </c>
      <c r="H90" s="479" t="s">
        <v>119</v>
      </c>
      <c r="I90" s="78">
        <v>274</v>
      </c>
    </row>
    <row r="91" spans="1:9" ht="16.8" x14ac:dyDescent="0.3">
      <c r="A91" s="157" t="s">
        <v>257</v>
      </c>
      <c r="B91" s="158">
        <v>5</v>
      </c>
      <c r="C91" s="159" t="s">
        <v>156</v>
      </c>
      <c r="D91" s="160" t="s">
        <v>165</v>
      </c>
      <c r="E91" s="161" t="s">
        <v>112</v>
      </c>
      <c r="F91" s="162" t="s">
        <v>178</v>
      </c>
      <c r="G91" s="162" t="s">
        <v>125</v>
      </c>
      <c r="H91" s="162" t="s">
        <v>183</v>
      </c>
      <c r="I91" s="163">
        <v>94</v>
      </c>
    </row>
    <row r="92" spans="1:9" ht="16.8" x14ac:dyDescent="0.3">
      <c r="A92" s="157" t="s">
        <v>258</v>
      </c>
      <c r="B92" s="158">
        <v>5</v>
      </c>
      <c r="C92" s="159" t="s">
        <v>148</v>
      </c>
      <c r="D92" s="160" t="s">
        <v>140</v>
      </c>
      <c r="E92" s="161" t="s">
        <v>112</v>
      </c>
      <c r="F92" s="162" t="s">
        <v>122</v>
      </c>
      <c r="G92" s="162" t="s">
        <v>152</v>
      </c>
      <c r="H92" s="162" t="s">
        <v>119</v>
      </c>
      <c r="I92" s="163">
        <v>222</v>
      </c>
    </row>
    <row r="93" spans="1:9" ht="16.8" x14ac:dyDescent="0.3">
      <c r="A93" s="157" t="s">
        <v>259</v>
      </c>
      <c r="B93" s="158">
        <v>5</v>
      </c>
      <c r="C93" s="159" t="s">
        <v>131</v>
      </c>
      <c r="D93" s="173" t="s">
        <v>140</v>
      </c>
      <c r="E93" s="162" t="s">
        <v>112</v>
      </c>
      <c r="F93" s="175" t="s">
        <v>137</v>
      </c>
      <c r="G93" s="162" t="s">
        <v>118</v>
      </c>
      <c r="H93" s="162" t="s">
        <v>119</v>
      </c>
      <c r="I93" s="78">
        <v>231</v>
      </c>
    </row>
    <row r="94" spans="1:9" ht="16.8" x14ac:dyDescent="0.3">
      <c r="A94" s="157" t="s">
        <v>260</v>
      </c>
      <c r="B94" s="158">
        <v>5</v>
      </c>
      <c r="C94" s="159" t="s">
        <v>156</v>
      </c>
      <c r="D94" s="160" t="s">
        <v>165</v>
      </c>
      <c r="E94" s="161" t="s">
        <v>112</v>
      </c>
      <c r="F94" s="162" t="s">
        <v>113</v>
      </c>
      <c r="G94" s="162" t="s">
        <v>152</v>
      </c>
      <c r="H94" s="162" t="s">
        <v>119</v>
      </c>
      <c r="I94" s="163">
        <v>211</v>
      </c>
    </row>
    <row r="95" spans="1:9" ht="16.8" x14ac:dyDescent="0.3">
      <c r="A95" s="166" t="s">
        <v>261</v>
      </c>
      <c r="B95" s="167">
        <v>5</v>
      </c>
      <c r="C95" s="182" t="s">
        <v>117</v>
      </c>
      <c r="D95" s="183" t="s">
        <v>202</v>
      </c>
      <c r="E95" s="188" t="s">
        <v>112</v>
      </c>
      <c r="F95" s="184" t="s">
        <v>113</v>
      </c>
      <c r="G95" s="184" t="s">
        <v>152</v>
      </c>
      <c r="H95" s="184" t="s">
        <v>220</v>
      </c>
      <c r="I95" s="185">
        <v>72</v>
      </c>
    </row>
    <row r="96" spans="1:9" ht="16.8" x14ac:dyDescent="0.3">
      <c r="A96" s="157" t="s">
        <v>262</v>
      </c>
      <c r="B96" s="158">
        <v>6</v>
      </c>
      <c r="C96" s="159" t="s">
        <v>110</v>
      </c>
      <c r="D96" s="160" t="s">
        <v>159</v>
      </c>
      <c r="E96" s="161" t="s">
        <v>112</v>
      </c>
      <c r="F96" s="162" t="s">
        <v>122</v>
      </c>
      <c r="G96" s="162" t="s">
        <v>125</v>
      </c>
      <c r="H96" s="162" t="s">
        <v>263</v>
      </c>
      <c r="I96" s="163">
        <v>106</v>
      </c>
    </row>
    <row r="97" spans="1:9" ht="16.8" x14ac:dyDescent="0.3">
      <c r="A97" s="157" t="s">
        <v>264</v>
      </c>
      <c r="B97" s="158">
        <v>6</v>
      </c>
      <c r="C97" s="159" t="s">
        <v>148</v>
      </c>
      <c r="D97" s="160" t="s">
        <v>111</v>
      </c>
      <c r="E97" s="161" t="s">
        <v>112</v>
      </c>
      <c r="F97" s="162" t="s">
        <v>137</v>
      </c>
      <c r="G97" s="162" t="s">
        <v>118</v>
      </c>
      <c r="H97" s="162" t="s">
        <v>119</v>
      </c>
      <c r="I97" s="163">
        <v>221</v>
      </c>
    </row>
    <row r="98" spans="1:9" ht="16.8" x14ac:dyDescent="0.3">
      <c r="A98" s="157" t="s">
        <v>508</v>
      </c>
      <c r="B98" s="158">
        <v>6</v>
      </c>
      <c r="C98" s="477" t="s">
        <v>148</v>
      </c>
      <c r="D98" s="478" t="s">
        <v>159</v>
      </c>
      <c r="E98" s="161" t="s">
        <v>141</v>
      </c>
      <c r="F98" s="479" t="s">
        <v>122</v>
      </c>
      <c r="G98" s="479" t="s">
        <v>162</v>
      </c>
      <c r="H98" s="479" t="s">
        <v>119</v>
      </c>
      <c r="I98" s="163">
        <v>237</v>
      </c>
    </row>
    <row r="99" spans="1:9" ht="16.8" x14ac:dyDescent="0.3">
      <c r="A99" s="166" t="s">
        <v>266</v>
      </c>
      <c r="B99" s="167">
        <v>6</v>
      </c>
      <c r="C99" s="182" t="s">
        <v>110</v>
      </c>
      <c r="D99" s="183" t="s">
        <v>111</v>
      </c>
      <c r="E99" s="188" t="s">
        <v>112</v>
      </c>
      <c r="F99" s="184" t="s">
        <v>122</v>
      </c>
      <c r="G99" s="184" t="s">
        <v>125</v>
      </c>
      <c r="H99" s="184" t="s">
        <v>183</v>
      </c>
      <c r="I99" s="185">
        <v>110</v>
      </c>
    </row>
    <row r="100" spans="1:9" ht="16.8" x14ac:dyDescent="0.3">
      <c r="A100" s="157" t="s">
        <v>480</v>
      </c>
      <c r="B100" s="158">
        <v>7</v>
      </c>
      <c r="C100" s="159" t="s">
        <v>110</v>
      </c>
      <c r="D100" s="160" t="s">
        <v>140</v>
      </c>
      <c r="E100" s="161" t="s">
        <v>112</v>
      </c>
      <c r="F100" s="162" t="s">
        <v>146</v>
      </c>
      <c r="G100" s="162" t="s">
        <v>152</v>
      </c>
      <c r="H100" s="162" t="s">
        <v>115</v>
      </c>
      <c r="I100" s="163">
        <v>116</v>
      </c>
    </row>
    <row r="101" spans="1:9" ht="16.8" x14ac:dyDescent="0.3">
      <c r="A101" s="157" t="s">
        <v>482</v>
      </c>
      <c r="B101" s="158">
        <v>7</v>
      </c>
      <c r="C101" s="159" t="s">
        <v>131</v>
      </c>
      <c r="D101" s="160" t="s">
        <v>136</v>
      </c>
      <c r="E101" s="161" t="s">
        <v>112</v>
      </c>
      <c r="F101" s="162" t="s">
        <v>174</v>
      </c>
      <c r="G101" s="162" t="s">
        <v>118</v>
      </c>
      <c r="H101" s="162" t="s">
        <v>115</v>
      </c>
      <c r="I101" s="163">
        <v>164</v>
      </c>
    </row>
    <row r="102" spans="1:9" ht="17.399999999999999" thickBot="1" x14ac:dyDescent="0.35">
      <c r="A102" s="189" t="s">
        <v>481</v>
      </c>
      <c r="B102" s="190">
        <v>7</v>
      </c>
      <c r="C102" s="191" t="s">
        <v>117</v>
      </c>
      <c r="D102" s="192" t="s">
        <v>159</v>
      </c>
      <c r="E102" s="193" t="s">
        <v>169</v>
      </c>
      <c r="F102" s="193" t="s">
        <v>113</v>
      </c>
      <c r="G102" s="194" t="s">
        <v>118</v>
      </c>
      <c r="H102" s="193" t="s">
        <v>115</v>
      </c>
      <c r="I102" s="195">
        <v>174</v>
      </c>
    </row>
    <row r="103" spans="1:9" ht="16.2" thickTop="1" x14ac:dyDescent="0.3"/>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4"/>
  <sheetViews>
    <sheetView showGridLines="0" workbookViewId="0"/>
  </sheetViews>
  <sheetFormatPr defaultRowHeight="15.6" x14ac:dyDescent="0.3"/>
  <cols>
    <col min="1" max="1" width="24.69921875" bestFit="1" customWidth="1"/>
    <col min="2" max="2" width="6.19921875" bestFit="1" customWidth="1"/>
    <col min="3" max="3" width="8.19921875" bestFit="1" customWidth="1"/>
    <col min="4" max="4" width="4.09765625" bestFit="1" customWidth="1"/>
    <col min="5" max="5" width="6.296875" bestFit="1" customWidth="1"/>
    <col min="6" max="6" width="3.5" customWidth="1"/>
    <col min="7" max="7" width="16.3984375" bestFit="1" customWidth="1"/>
    <col min="8" max="8" width="3.59765625" bestFit="1" customWidth="1"/>
    <col min="9" max="9" width="3.3984375" bestFit="1" customWidth="1"/>
    <col min="10" max="10" width="3.8984375" bestFit="1" customWidth="1"/>
    <col min="11" max="11" width="3.69921875" bestFit="1" customWidth="1"/>
    <col min="12" max="17" width="3.59765625" bestFit="1" customWidth="1"/>
    <col min="18" max="18" width="3.5" customWidth="1"/>
    <col min="19" max="19" width="22.296875" bestFit="1" customWidth="1"/>
    <col min="20" max="20" width="6.19921875" bestFit="1" customWidth="1"/>
    <col min="21" max="21" width="8.19921875" bestFit="1" customWidth="1"/>
    <col min="22" max="22" width="4.09765625" bestFit="1" customWidth="1"/>
    <col min="23" max="23" width="6.296875" bestFit="1" customWidth="1"/>
  </cols>
  <sheetData>
    <row r="1" spans="1:23" ht="23.4" thickBot="1" x14ac:dyDescent="0.35">
      <c r="A1" s="418" t="s">
        <v>267</v>
      </c>
      <c r="B1" s="419"/>
      <c r="C1" s="419"/>
      <c r="D1" s="419"/>
      <c r="E1" s="419"/>
      <c r="G1" s="152"/>
      <c r="H1" s="217" t="s">
        <v>277</v>
      </c>
      <c r="I1" s="218"/>
      <c r="J1" s="151"/>
      <c r="K1" s="219"/>
      <c r="L1" s="151"/>
      <c r="M1" s="151"/>
      <c r="N1" s="151"/>
      <c r="O1" s="219"/>
      <c r="P1" s="219"/>
      <c r="Q1" s="219"/>
      <c r="S1" s="418" t="s">
        <v>408</v>
      </c>
      <c r="T1" s="419"/>
      <c r="U1" s="419"/>
      <c r="V1" s="419"/>
      <c r="W1" s="419"/>
    </row>
    <row r="2" spans="1:23" ht="17.399999999999999" thickTop="1" x14ac:dyDescent="0.3">
      <c r="A2" s="197" t="s">
        <v>471</v>
      </c>
      <c r="B2" s="198" t="s">
        <v>101</v>
      </c>
      <c r="C2" s="198" t="s">
        <v>441</v>
      </c>
      <c r="D2" s="198" t="s">
        <v>269</v>
      </c>
      <c r="E2" s="199" t="s">
        <v>270</v>
      </c>
      <c r="G2" s="152"/>
      <c r="H2" s="220" t="s">
        <v>278</v>
      </c>
      <c r="I2" s="221"/>
      <c r="J2" s="222"/>
      <c r="K2" s="222"/>
      <c r="L2" s="222"/>
      <c r="M2" s="222"/>
      <c r="N2" s="222"/>
      <c r="O2" s="222"/>
      <c r="P2" s="222"/>
      <c r="Q2" s="223"/>
      <c r="S2" s="197" t="s">
        <v>471</v>
      </c>
      <c r="T2" s="198" t="s">
        <v>101</v>
      </c>
      <c r="U2" s="198" t="s">
        <v>441</v>
      </c>
      <c r="V2" s="198" t="s">
        <v>269</v>
      </c>
      <c r="W2" s="199" t="s">
        <v>270</v>
      </c>
    </row>
    <row r="3" spans="1:23" ht="17.399999999999999" thickBot="1" x14ac:dyDescent="0.35">
      <c r="A3" s="200" t="s">
        <v>109</v>
      </c>
      <c r="B3" s="57">
        <v>0</v>
      </c>
      <c r="C3" s="57">
        <v>0</v>
      </c>
      <c r="D3" s="97">
        <f>10+B3+C3+'Personal File'!$C$12</f>
        <v>17</v>
      </c>
      <c r="E3" s="214" t="s">
        <v>452</v>
      </c>
      <c r="G3" s="152"/>
      <c r="H3" s="224" t="s">
        <v>279</v>
      </c>
      <c r="I3" s="225" t="s">
        <v>280</v>
      </c>
      <c r="J3" s="225" t="s">
        <v>281</v>
      </c>
      <c r="K3" s="225" t="s">
        <v>282</v>
      </c>
      <c r="L3" s="225" t="s">
        <v>283</v>
      </c>
      <c r="M3" s="225" t="s">
        <v>284</v>
      </c>
      <c r="N3" s="225" t="s">
        <v>285</v>
      </c>
      <c r="O3" s="225" t="s">
        <v>286</v>
      </c>
      <c r="P3" s="225" t="s">
        <v>287</v>
      </c>
      <c r="Q3" s="226" t="s">
        <v>288</v>
      </c>
      <c r="S3" s="200" t="s">
        <v>109</v>
      </c>
      <c r="T3" s="57">
        <v>0</v>
      </c>
      <c r="U3" s="57">
        <v>0</v>
      </c>
      <c r="V3" s="97">
        <f>10+T3+U3+'Personal File'!$C$12</f>
        <v>17</v>
      </c>
      <c r="W3" s="214" t="s">
        <v>452</v>
      </c>
    </row>
    <row r="4" spans="1:23" ht="17.399999999999999" thickTop="1" x14ac:dyDescent="0.3">
      <c r="A4" s="200" t="s">
        <v>120</v>
      </c>
      <c r="B4" s="57">
        <v>0</v>
      </c>
      <c r="C4" s="57">
        <v>0</v>
      </c>
      <c r="D4" s="97">
        <f>10+B4+C4+'Personal File'!$C$12</f>
        <v>17</v>
      </c>
      <c r="E4" s="214" t="s">
        <v>452</v>
      </c>
      <c r="G4" s="227" t="s">
        <v>289</v>
      </c>
      <c r="H4" s="228">
        <v>4</v>
      </c>
      <c r="I4" s="229">
        <v>6</v>
      </c>
      <c r="J4" s="229">
        <v>5</v>
      </c>
      <c r="K4" s="229">
        <v>5</v>
      </c>
      <c r="L4" s="229">
        <v>5</v>
      </c>
      <c r="M4" s="229">
        <v>4</v>
      </c>
      <c r="N4" s="229">
        <v>3</v>
      </c>
      <c r="O4" s="229">
        <v>2</v>
      </c>
      <c r="P4" s="230">
        <v>0</v>
      </c>
      <c r="Q4" s="231">
        <v>0</v>
      </c>
      <c r="S4" s="200" t="s">
        <v>123</v>
      </c>
      <c r="T4" s="57">
        <v>0</v>
      </c>
      <c r="U4" s="57">
        <v>0</v>
      </c>
      <c r="V4" s="97">
        <f>10+T4+U4+'Personal File'!$C$12</f>
        <v>17</v>
      </c>
      <c r="W4" s="214" t="s">
        <v>452</v>
      </c>
    </row>
    <row r="5" spans="1:23" ht="16.8" x14ac:dyDescent="0.3">
      <c r="A5" s="200" t="s">
        <v>123</v>
      </c>
      <c r="B5" s="57">
        <v>0</v>
      </c>
      <c r="C5" s="57">
        <v>0</v>
      </c>
      <c r="D5" s="97">
        <f>10+B5+C5+'Personal File'!$C$12</f>
        <v>17</v>
      </c>
      <c r="E5" s="214" t="s">
        <v>452</v>
      </c>
      <c r="G5" s="232" t="s">
        <v>290</v>
      </c>
      <c r="H5" s="233">
        <v>0</v>
      </c>
      <c r="I5" s="233">
        <v>2</v>
      </c>
      <c r="J5" s="234">
        <v>2</v>
      </c>
      <c r="K5" s="234">
        <v>2</v>
      </c>
      <c r="L5" s="234">
        <v>1</v>
      </c>
      <c r="M5" s="234">
        <v>1</v>
      </c>
      <c r="N5" s="234">
        <v>1</v>
      </c>
      <c r="O5" s="234">
        <v>1</v>
      </c>
      <c r="P5" s="235">
        <v>0</v>
      </c>
      <c r="Q5" s="236">
        <v>0</v>
      </c>
      <c r="S5" s="200" t="s">
        <v>128</v>
      </c>
      <c r="T5" s="57">
        <v>0</v>
      </c>
      <c r="U5" s="57">
        <v>0</v>
      </c>
      <c r="V5" s="97">
        <f>10+T5+U5+'Personal File'!$C$12</f>
        <v>17</v>
      </c>
      <c r="W5" s="214" t="s">
        <v>452</v>
      </c>
    </row>
    <row r="6" spans="1:23" ht="17.399999999999999" thickBot="1" x14ac:dyDescent="0.35">
      <c r="A6" s="201" t="s">
        <v>145</v>
      </c>
      <c r="B6" s="67">
        <v>0</v>
      </c>
      <c r="C6" s="67">
        <v>0</v>
      </c>
      <c r="D6" s="202">
        <f>10+B6+C6+'Personal File'!$C$12</f>
        <v>17</v>
      </c>
      <c r="E6" s="215" t="s">
        <v>452</v>
      </c>
      <c r="G6" s="237" t="s">
        <v>291</v>
      </c>
      <c r="H6" s="238">
        <f t="shared" ref="H6:Q6" si="0">SUM(H4:H5)</f>
        <v>4</v>
      </c>
      <c r="I6" s="238">
        <f t="shared" si="0"/>
        <v>8</v>
      </c>
      <c r="J6" s="239">
        <f t="shared" si="0"/>
        <v>7</v>
      </c>
      <c r="K6" s="239">
        <f t="shared" si="0"/>
        <v>7</v>
      </c>
      <c r="L6" s="239">
        <f t="shared" si="0"/>
        <v>6</v>
      </c>
      <c r="M6" s="239">
        <f t="shared" si="0"/>
        <v>5</v>
      </c>
      <c r="N6" s="239">
        <f t="shared" si="0"/>
        <v>4</v>
      </c>
      <c r="O6" s="239">
        <f t="shared" ref="O6" si="1">SUM(O4:O5)</f>
        <v>3</v>
      </c>
      <c r="P6" s="240">
        <f t="shared" si="0"/>
        <v>0</v>
      </c>
      <c r="Q6" s="241">
        <f t="shared" si="0"/>
        <v>0</v>
      </c>
      <c r="S6" s="201" t="s">
        <v>145</v>
      </c>
      <c r="T6" s="67">
        <v>0</v>
      </c>
      <c r="U6" s="67">
        <v>0</v>
      </c>
      <c r="V6" s="202">
        <f>10+T6+U6+'Personal File'!$C$12</f>
        <v>17</v>
      </c>
      <c r="W6" s="215" t="s">
        <v>452</v>
      </c>
    </row>
    <row r="7" spans="1:23" ht="17.399999999999999" thickTop="1" x14ac:dyDescent="0.3">
      <c r="A7" s="200" t="s">
        <v>155</v>
      </c>
      <c r="B7" s="57">
        <v>1</v>
      </c>
      <c r="C7" s="57">
        <v>0</v>
      </c>
      <c r="D7" s="97">
        <f>10+B7+C7+'Personal File'!$C$12</f>
        <v>18</v>
      </c>
      <c r="E7" s="214" t="s">
        <v>452</v>
      </c>
      <c r="G7" s="242"/>
      <c r="H7" s="242"/>
      <c r="I7" s="242"/>
      <c r="J7" s="242"/>
      <c r="K7" s="242"/>
      <c r="L7" s="242"/>
      <c r="M7" s="242"/>
      <c r="N7" s="242"/>
      <c r="O7" s="242"/>
      <c r="P7" s="242"/>
      <c r="Q7" s="242"/>
      <c r="S7" s="200" t="s">
        <v>155</v>
      </c>
      <c r="T7" s="57">
        <v>1</v>
      </c>
      <c r="U7" s="57">
        <v>0</v>
      </c>
      <c r="V7" s="97">
        <f>10+T7+U7+'Personal File'!$C$12</f>
        <v>18</v>
      </c>
      <c r="W7" s="214" t="s">
        <v>452</v>
      </c>
    </row>
    <row r="8" spans="1:23" ht="23.4" thickBot="1" x14ac:dyDescent="0.35">
      <c r="A8" s="200" t="s">
        <v>171</v>
      </c>
      <c r="B8" s="57">
        <v>1</v>
      </c>
      <c r="C8" s="57">
        <v>0</v>
      </c>
      <c r="D8" s="97">
        <f>10+B8+C8+'Personal File'!$C$12</f>
        <v>18</v>
      </c>
      <c r="E8" s="214" t="s">
        <v>452</v>
      </c>
      <c r="G8" s="217" t="s">
        <v>509</v>
      </c>
      <c r="H8" s="243"/>
      <c r="I8" s="243"/>
      <c r="J8" s="243"/>
      <c r="K8" s="243"/>
      <c r="L8" s="243"/>
      <c r="M8" s="243"/>
      <c r="N8" s="243"/>
      <c r="O8" s="243"/>
      <c r="P8" s="243"/>
      <c r="Q8" s="243"/>
      <c r="S8" s="200" t="s">
        <v>171</v>
      </c>
      <c r="T8" s="57">
        <v>1</v>
      </c>
      <c r="U8" s="57">
        <v>0</v>
      </c>
      <c r="V8" s="97">
        <f>10+T8+U8+'Personal File'!$C$12</f>
        <v>18</v>
      </c>
      <c r="W8" s="214" t="s">
        <v>452</v>
      </c>
    </row>
    <row r="9" spans="1:23" ht="18" thickTop="1" thickBot="1" x14ac:dyDescent="0.35">
      <c r="A9" s="200" t="s">
        <v>171</v>
      </c>
      <c r="B9" s="57">
        <v>1</v>
      </c>
      <c r="C9" s="57">
        <v>0</v>
      </c>
      <c r="D9" s="97">
        <f>10+B9+C9+'Personal File'!$C$12</f>
        <v>18</v>
      </c>
      <c r="E9" s="214" t="s">
        <v>452</v>
      </c>
      <c r="G9" s="244" t="s">
        <v>406</v>
      </c>
      <c r="H9" s="245">
        <v>0</v>
      </c>
      <c r="I9" s="245" t="s">
        <v>280</v>
      </c>
      <c r="J9" s="246" t="s">
        <v>281</v>
      </c>
      <c r="K9" s="246" t="s">
        <v>282</v>
      </c>
      <c r="L9" s="246" t="s">
        <v>283</v>
      </c>
      <c r="M9" s="246" t="s">
        <v>284</v>
      </c>
      <c r="N9" s="246" t="s">
        <v>285</v>
      </c>
      <c r="O9" s="246" t="s">
        <v>286</v>
      </c>
      <c r="P9" s="246" t="s">
        <v>287</v>
      </c>
      <c r="Q9" s="247" t="s">
        <v>288</v>
      </c>
      <c r="S9" s="200" t="s">
        <v>424</v>
      </c>
      <c r="T9" s="57">
        <v>1</v>
      </c>
      <c r="U9" s="57">
        <v>0</v>
      </c>
      <c r="V9" s="97">
        <f>10+T9+U9+'Personal File'!$C$12</f>
        <v>18</v>
      </c>
      <c r="W9" s="214" t="s">
        <v>452</v>
      </c>
    </row>
    <row r="10" spans="1:23" ht="16.8" x14ac:dyDescent="0.3">
      <c r="A10" s="200" t="s">
        <v>424</v>
      </c>
      <c r="B10" s="57">
        <v>1</v>
      </c>
      <c r="C10" s="57">
        <v>0</v>
      </c>
      <c r="D10" s="97">
        <f>10+B10+C10+'Personal File'!$C$12</f>
        <v>18</v>
      </c>
      <c r="E10" s="214" t="s">
        <v>452</v>
      </c>
      <c r="G10" s="248">
        <v>1</v>
      </c>
      <c r="H10" s="249" t="s">
        <v>453</v>
      </c>
      <c r="I10" s="249">
        <v>8</v>
      </c>
      <c r="J10" s="250"/>
      <c r="K10" s="250"/>
      <c r="L10" s="250"/>
      <c r="M10" s="250"/>
      <c r="N10" s="250"/>
      <c r="O10" s="250"/>
      <c r="P10" s="250"/>
      <c r="Q10" s="251"/>
      <c r="S10" s="200" t="s">
        <v>271</v>
      </c>
      <c r="T10" s="57">
        <v>1</v>
      </c>
      <c r="U10" s="57">
        <v>0</v>
      </c>
      <c r="V10" s="97">
        <f>10+T10+U10+'Personal File'!$C$12</f>
        <v>18</v>
      </c>
      <c r="W10" s="214" t="s">
        <v>452</v>
      </c>
    </row>
    <row r="11" spans="1:23" ht="16.8" x14ac:dyDescent="0.3">
      <c r="A11" s="200" t="s">
        <v>271</v>
      </c>
      <c r="B11" s="57">
        <v>1</v>
      </c>
      <c r="C11" s="57">
        <v>0</v>
      </c>
      <c r="D11" s="97">
        <f>10+B11+C11+'Personal File'!$C$12</f>
        <v>18</v>
      </c>
      <c r="E11" s="214" t="s">
        <v>452</v>
      </c>
      <c r="G11" s="252">
        <v>2</v>
      </c>
      <c r="H11" s="253" t="s">
        <v>453</v>
      </c>
      <c r="I11" s="253">
        <v>10</v>
      </c>
      <c r="J11" s="254"/>
      <c r="K11" s="254"/>
      <c r="L11" s="254"/>
      <c r="M11" s="254"/>
      <c r="N11" s="254"/>
      <c r="O11" s="254"/>
      <c r="P11" s="254"/>
      <c r="Q11" s="255"/>
      <c r="S11" s="200" t="s">
        <v>449</v>
      </c>
      <c r="T11" s="57">
        <v>1</v>
      </c>
      <c r="U11" s="57">
        <v>0</v>
      </c>
      <c r="V11" s="97">
        <f>10+T11+U11+'Personal File'!$C$12</f>
        <v>18</v>
      </c>
      <c r="W11" s="214" t="s">
        <v>452</v>
      </c>
    </row>
    <row r="12" spans="1:23" ht="16.8" x14ac:dyDescent="0.3">
      <c r="A12" s="200" t="s">
        <v>203</v>
      </c>
      <c r="B12" s="57">
        <v>1</v>
      </c>
      <c r="C12" s="57">
        <v>0</v>
      </c>
      <c r="D12" s="97">
        <f>10+B12+C12+'Personal File'!$C$12</f>
        <v>18</v>
      </c>
      <c r="E12" s="214" t="s">
        <v>452</v>
      </c>
      <c r="G12" s="252">
        <v>3</v>
      </c>
      <c r="H12" s="253" t="s">
        <v>453</v>
      </c>
      <c r="I12" s="253">
        <v>11</v>
      </c>
      <c r="J12" s="256">
        <v>2</v>
      </c>
      <c r="K12" s="254"/>
      <c r="L12" s="254"/>
      <c r="M12" s="254"/>
      <c r="N12" s="254"/>
      <c r="O12" s="254"/>
      <c r="P12" s="254"/>
      <c r="Q12" s="255"/>
      <c r="S12" s="200" t="s">
        <v>203</v>
      </c>
      <c r="T12" s="57">
        <v>1</v>
      </c>
      <c r="U12" s="57">
        <v>0</v>
      </c>
      <c r="V12" s="97">
        <f>10+T12+U12+'Personal File'!$C$12</f>
        <v>18</v>
      </c>
      <c r="W12" s="214" t="s">
        <v>452</v>
      </c>
    </row>
    <row r="13" spans="1:23" ht="16.8" x14ac:dyDescent="0.3">
      <c r="A13" s="200" t="s">
        <v>214</v>
      </c>
      <c r="B13" s="57">
        <v>1</v>
      </c>
      <c r="C13" s="57">
        <v>0</v>
      </c>
      <c r="D13" s="97">
        <f>10+B13+C13+'Personal File'!$C$12</f>
        <v>18</v>
      </c>
      <c r="E13" s="214" t="s">
        <v>452</v>
      </c>
      <c r="G13" s="252">
        <v>4</v>
      </c>
      <c r="H13" s="253" t="s">
        <v>453</v>
      </c>
      <c r="I13" s="253">
        <v>11</v>
      </c>
      <c r="J13" s="256">
        <v>4</v>
      </c>
      <c r="K13" s="254"/>
      <c r="L13" s="254"/>
      <c r="M13" s="254"/>
      <c r="N13" s="254"/>
      <c r="O13" s="254"/>
      <c r="P13" s="254"/>
      <c r="Q13" s="255"/>
      <c r="S13" s="200" t="s">
        <v>214</v>
      </c>
      <c r="T13" s="57">
        <v>1</v>
      </c>
      <c r="U13" s="57">
        <v>0</v>
      </c>
      <c r="V13" s="97">
        <f>10+T13+U13+'Personal File'!$C$12</f>
        <v>18</v>
      </c>
      <c r="W13" s="214" t="s">
        <v>452</v>
      </c>
    </row>
    <row r="14" spans="1:23" ht="16.8" x14ac:dyDescent="0.3">
      <c r="A14" s="201" t="s">
        <v>215</v>
      </c>
      <c r="B14" s="67">
        <v>1</v>
      </c>
      <c r="C14" s="67">
        <v>0</v>
      </c>
      <c r="D14" s="202">
        <f>10+B14+C14+'Personal File'!$C$12</f>
        <v>18</v>
      </c>
      <c r="E14" s="215" t="s">
        <v>452</v>
      </c>
      <c r="G14" s="252">
        <v>5</v>
      </c>
      <c r="H14" s="253" t="s">
        <v>453</v>
      </c>
      <c r="I14" s="253">
        <v>11</v>
      </c>
      <c r="J14" s="256">
        <v>4</v>
      </c>
      <c r="K14" s="256">
        <v>2</v>
      </c>
      <c r="L14" s="254"/>
      <c r="M14" s="254"/>
      <c r="N14" s="254"/>
      <c r="O14" s="254"/>
      <c r="P14" s="254"/>
      <c r="Q14" s="255"/>
      <c r="S14" s="201" t="s">
        <v>215</v>
      </c>
      <c r="T14" s="67">
        <v>1</v>
      </c>
      <c r="U14" s="67">
        <v>0</v>
      </c>
      <c r="V14" s="202">
        <f>10+T14+U14+'Personal File'!$C$12</f>
        <v>18</v>
      </c>
      <c r="W14" s="215" t="s">
        <v>452</v>
      </c>
    </row>
    <row r="15" spans="1:23" ht="16.8" x14ac:dyDescent="0.3">
      <c r="A15" s="200" t="s">
        <v>226</v>
      </c>
      <c r="B15" s="57">
        <v>2</v>
      </c>
      <c r="C15" s="57">
        <v>0</v>
      </c>
      <c r="D15" s="97">
        <f>10+B15+C15+'Personal File'!$C$12</f>
        <v>19</v>
      </c>
      <c r="E15" s="214" t="s">
        <v>452</v>
      </c>
      <c r="G15" s="252">
        <v>6</v>
      </c>
      <c r="H15" s="253" t="s">
        <v>453</v>
      </c>
      <c r="I15" s="253">
        <v>11</v>
      </c>
      <c r="J15" s="256">
        <v>4</v>
      </c>
      <c r="K15" s="256">
        <v>4</v>
      </c>
      <c r="L15" s="254"/>
      <c r="M15" s="254"/>
      <c r="N15" s="254"/>
      <c r="O15" s="254"/>
      <c r="P15" s="254"/>
      <c r="Q15" s="255"/>
      <c r="S15" s="200" t="s">
        <v>226</v>
      </c>
      <c r="T15" s="57">
        <v>2</v>
      </c>
      <c r="U15" s="57">
        <v>0</v>
      </c>
      <c r="V15" s="97">
        <f>10+T15+U15+'Personal File'!$C$12</f>
        <v>19</v>
      </c>
      <c r="W15" s="214" t="s">
        <v>452</v>
      </c>
    </row>
    <row r="16" spans="1:23" ht="16.8" x14ac:dyDescent="0.3">
      <c r="A16" s="200" t="s">
        <v>272</v>
      </c>
      <c r="B16" s="57">
        <v>2</v>
      </c>
      <c r="C16" s="57">
        <v>0</v>
      </c>
      <c r="D16" s="97">
        <f>10+B16+C16+'Personal File'!$C$12</f>
        <v>19</v>
      </c>
      <c r="E16" s="214" t="s">
        <v>452</v>
      </c>
      <c r="G16" s="252">
        <v>7</v>
      </c>
      <c r="H16" s="253" t="s">
        <v>453</v>
      </c>
      <c r="I16" s="253">
        <v>11</v>
      </c>
      <c r="J16" s="256">
        <v>4</v>
      </c>
      <c r="K16" s="256">
        <v>4</v>
      </c>
      <c r="L16" s="256">
        <v>2</v>
      </c>
      <c r="M16" s="254"/>
      <c r="N16" s="254"/>
      <c r="O16" s="254"/>
      <c r="P16" s="254"/>
      <c r="Q16" s="255"/>
      <c r="S16" s="200" t="s">
        <v>272</v>
      </c>
      <c r="T16" s="57">
        <v>2</v>
      </c>
      <c r="U16" s="57">
        <v>0</v>
      </c>
      <c r="V16" s="97">
        <f>10+T16+U16+'Personal File'!$C$12</f>
        <v>19</v>
      </c>
      <c r="W16" s="214" t="s">
        <v>452</v>
      </c>
    </row>
    <row r="17" spans="1:23" ht="16.8" x14ac:dyDescent="0.3">
      <c r="A17" s="200" t="s">
        <v>272</v>
      </c>
      <c r="B17" s="57">
        <v>2</v>
      </c>
      <c r="C17" s="57">
        <v>0</v>
      </c>
      <c r="D17" s="97">
        <f>10+B17+C17+'Personal File'!$C$12</f>
        <v>19</v>
      </c>
      <c r="E17" s="214" t="s">
        <v>452</v>
      </c>
      <c r="G17" s="252">
        <v>8</v>
      </c>
      <c r="H17" s="253" t="s">
        <v>453</v>
      </c>
      <c r="I17" s="253">
        <v>11</v>
      </c>
      <c r="J17" s="256">
        <v>4</v>
      </c>
      <c r="K17" s="256">
        <v>4</v>
      </c>
      <c r="L17" s="256">
        <v>4</v>
      </c>
      <c r="M17" s="254"/>
      <c r="N17" s="254"/>
      <c r="O17" s="254"/>
      <c r="P17" s="254"/>
      <c r="Q17" s="255"/>
      <c r="S17" s="200" t="s">
        <v>272</v>
      </c>
      <c r="T17" s="57">
        <v>2</v>
      </c>
      <c r="U17" s="57">
        <v>0</v>
      </c>
      <c r="V17" s="97">
        <f>10+T17+U17+'Personal File'!$C$12</f>
        <v>19</v>
      </c>
      <c r="W17" s="214" t="s">
        <v>452</v>
      </c>
    </row>
    <row r="18" spans="1:23" ht="16.8" x14ac:dyDescent="0.3">
      <c r="A18" s="200" t="s">
        <v>232</v>
      </c>
      <c r="B18" s="57">
        <v>2</v>
      </c>
      <c r="C18" s="57">
        <v>0</v>
      </c>
      <c r="D18" s="97">
        <f>10+B18+C18+'Personal File'!$C$12</f>
        <v>19</v>
      </c>
      <c r="E18" s="214" t="s">
        <v>452</v>
      </c>
      <c r="G18" s="252">
        <v>9</v>
      </c>
      <c r="H18" s="253" t="s">
        <v>453</v>
      </c>
      <c r="I18" s="253">
        <v>11</v>
      </c>
      <c r="J18" s="256">
        <v>4</v>
      </c>
      <c r="K18" s="256">
        <v>4</v>
      </c>
      <c r="L18" s="256">
        <v>4</v>
      </c>
      <c r="M18" s="256">
        <v>2</v>
      </c>
      <c r="N18" s="254"/>
      <c r="O18" s="254"/>
      <c r="P18" s="254"/>
      <c r="Q18" s="255"/>
      <c r="S18" s="200" t="s">
        <v>232</v>
      </c>
      <c r="T18" s="57">
        <v>2</v>
      </c>
      <c r="U18" s="57">
        <v>0</v>
      </c>
      <c r="V18" s="97">
        <f>10+T18+U18+'Personal File'!$C$12</f>
        <v>19</v>
      </c>
      <c r="W18" s="214" t="s">
        <v>452</v>
      </c>
    </row>
    <row r="19" spans="1:23" ht="16.8" x14ac:dyDescent="0.3">
      <c r="A19" s="200" t="s">
        <v>233</v>
      </c>
      <c r="B19" s="57">
        <v>2</v>
      </c>
      <c r="C19" s="57">
        <v>0</v>
      </c>
      <c r="D19" s="97">
        <f>10+B19+C19+'Personal File'!$C$12</f>
        <v>19</v>
      </c>
      <c r="E19" s="214" t="s">
        <v>452</v>
      </c>
      <c r="G19" s="252">
        <v>10</v>
      </c>
      <c r="H19" s="253" t="s">
        <v>453</v>
      </c>
      <c r="I19" s="253">
        <v>11</v>
      </c>
      <c r="J19" s="256">
        <v>4</v>
      </c>
      <c r="K19" s="256">
        <v>4</v>
      </c>
      <c r="L19" s="256">
        <v>4</v>
      </c>
      <c r="M19" s="256">
        <v>4</v>
      </c>
      <c r="N19" s="254"/>
      <c r="O19" s="254"/>
      <c r="P19" s="254"/>
      <c r="Q19" s="255"/>
      <c r="S19" s="200" t="s">
        <v>233</v>
      </c>
      <c r="T19" s="57">
        <v>2</v>
      </c>
      <c r="U19" s="57">
        <v>0</v>
      </c>
      <c r="V19" s="97">
        <f>10+T19+U19+'Personal File'!$C$12</f>
        <v>19</v>
      </c>
      <c r="W19" s="214" t="s">
        <v>452</v>
      </c>
    </row>
    <row r="20" spans="1:23" ht="16.8" x14ac:dyDescent="0.3">
      <c r="A20" s="200" t="s">
        <v>233</v>
      </c>
      <c r="B20" s="57">
        <v>2</v>
      </c>
      <c r="C20" s="57">
        <v>0</v>
      </c>
      <c r="D20" s="97">
        <f>10+B20+C20+'Personal File'!$C$12</f>
        <v>19</v>
      </c>
      <c r="E20" s="214" t="s">
        <v>452</v>
      </c>
      <c r="G20" s="252">
        <v>11</v>
      </c>
      <c r="H20" s="253" t="s">
        <v>453</v>
      </c>
      <c r="I20" s="253">
        <v>11</v>
      </c>
      <c r="J20" s="256">
        <v>4</v>
      </c>
      <c r="K20" s="256">
        <v>4</v>
      </c>
      <c r="L20" s="256">
        <v>4</v>
      </c>
      <c r="M20" s="256">
        <v>4</v>
      </c>
      <c r="N20" s="256">
        <v>2</v>
      </c>
      <c r="O20" s="254"/>
      <c r="P20" s="254"/>
      <c r="Q20" s="255"/>
      <c r="S20" s="200" t="s">
        <v>233</v>
      </c>
      <c r="T20" s="57">
        <v>2</v>
      </c>
      <c r="U20" s="57">
        <v>0</v>
      </c>
      <c r="V20" s="97">
        <f>10+T20+U20+'Personal File'!$C$12</f>
        <v>19</v>
      </c>
      <c r="W20" s="214" t="s">
        <v>452</v>
      </c>
    </row>
    <row r="21" spans="1:23" ht="16.8" x14ac:dyDescent="0.3">
      <c r="A21" s="201" t="s">
        <v>234</v>
      </c>
      <c r="B21" s="67">
        <v>2</v>
      </c>
      <c r="C21" s="67">
        <v>0</v>
      </c>
      <c r="D21" s="202">
        <f>10+B21+C21+'Personal File'!$C$12</f>
        <v>19</v>
      </c>
      <c r="E21" s="215" t="s">
        <v>452</v>
      </c>
      <c r="G21" s="252">
        <v>12</v>
      </c>
      <c r="H21" s="253" t="s">
        <v>453</v>
      </c>
      <c r="I21" s="253">
        <v>11</v>
      </c>
      <c r="J21" s="256">
        <v>4</v>
      </c>
      <c r="K21" s="256">
        <v>4</v>
      </c>
      <c r="L21" s="256">
        <v>4</v>
      </c>
      <c r="M21" s="256">
        <v>4</v>
      </c>
      <c r="N21" s="256">
        <v>4</v>
      </c>
      <c r="O21" s="254"/>
      <c r="P21" s="254"/>
      <c r="Q21" s="255"/>
      <c r="S21" s="201" t="s">
        <v>234</v>
      </c>
      <c r="T21" s="67">
        <v>2</v>
      </c>
      <c r="U21" s="67">
        <v>0</v>
      </c>
      <c r="V21" s="202">
        <f>10+T21+U21+'Personal File'!$C$12</f>
        <v>19</v>
      </c>
      <c r="W21" s="215" t="s">
        <v>452</v>
      </c>
    </row>
    <row r="22" spans="1:23" ht="16.8" x14ac:dyDescent="0.3">
      <c r="A22" s="200" t="s">
        <v>239</v>
      </c>
      <c r="B22" s="57">
        <v>3</v>
      </c>
      <c r="C22" s="57">
        <v>1</v>
      </c>
      <c r="D22" s="97">
        <f>10+B22+C22+'Personal File'!$C$12</f>
        <v>21</v>
      </c>
      <c r="E22" s="214" t="s">
        <v>452</v>
      </c>
      <c r="G22" s="257">
        <v>13</v>
      </c>
      <c r="H22" s="258" t="s">
        <v>453</v>
      </c>
      <c r="I22" s="258">
        <v>11</v>
      </c>
      <c r="J22" s="259">
        <v>4</v>
      </c>
      <c r="K22" s="259">
        <v>4</v>
      </c>
      <c r="L22" s="259">
        <v>4</v>
      </c>
      <c r="M22" s="259">
        <v>4</v>
      </c>
      <c r="N22" s="259">
        <v>4</v>
      </c>
      <c r="O22" s="259">
        <v>2</v>
      </c>
      <c r="P22" s="254"/>
      <c r="Q22" s="255"/>
      <c r="S22" s="200" t="s">
        <v>239</v>
      </c>
      <c r="T22" s="57">
        <v>3</v>
      </c>
      <c r="U22" s="57">
        <v>0</v>
      </c>
      <c r="V22" s="97">
        <f>10+T22+U22+'Personal File'!$C$12</f>
        <v>20</v>
      </c>
      <c r="W22" s="214" t="s">
        <v>452</v>
      </c>
    </row>
    <row r="23" spans="1:23" ht="16.8" x14ac:dyDescent="0.3">
      <c r="A23" s="200" t="s">
        <v>240</v>
      </c>
      <c r="B23" s="57">
        <v>3</v>
      </c>
      <c r="C23" s="57">
        <v>0</v>
      </c>
      <c r="D23" s="97">
        <f>10+B23+C23+'Personal File'!$C$12</f>
        <v>20</v>
      </c>
      <c r="E23" s="214" t="s">
        <v>452</v>
      </c>
      <c r="G23" s="252">
        <v>14</v>
      </c>
      <c r="H23" s="253" t="s">
        <v>453</v>
      </c>
      <c r="I23" s="253">
        <v>11</v>
      </c>
      <c r="J23" s="256">
        <v>4</v>
      </c>
      <c r="K23" s="256">
        <v>4</v>
      </c>
      <c r="L23" s="256">
        <v>4</v>
      </c>
      <c r="M23" s="256">
        <v>4</v>
      </c>
      <c r="N23" s="256">
        <v>4</v>
      </c>
      <c r="O23" s="256">
        <v>4</v>
      </c>
      <c r="P23" s="254"/>
      <c r="Q23" s="255"/>
      <c r="S23" s="200" t="s">
        <v>240</v>
      </c>
      <c r="T23" s="57">
        <v>3</v>
      </c>
      <c r="U23" s="57">
        <v>0</v>
      </c>
      <c r="V23" s="97">
        <f>10+T23+U23+'Personal File'!$C$12</f>
        <v>20</v>
      </c>
      <c r="W23" s="214" t="s">
        <v>452</v>
      </c>
    </row>
    <row r="24" spans="1:23" ht="16.8" x14ac:dyDescent="0.3">
      <c r="A24" s="200" t="s">
        <v>240</v>
      </c>
      <c r="B24" s="57">
        <v>3</v>
      </c>
      <c r="C24" s="57">
        <v>0</v>
      </c>
      <c r="D24" s="97">
        <f>10+B24+C24+'Personal File'!$C$12</f>
        <v>20</v>
      </c>
      <c r="E24" s="214" t="s">
        <v>452</v>
      </c>
      <c r="G24" s="252">
        <v>15</v>
      </c>
      <c r="H24" s="253" t="s">
        <v>453</v>
      </c>
      <c r="I24" s="253">
        <v>11</v>
      </c>
      <c r="J24" s="256">
        <v>4</v>
      </c>
      <c r="K24" s="256">
        <v>4</v>
      </c>
      <c r="L24" s="256">
        <v>4</v>
      </c>
      <c r="M24" s="256">
        <v>4</v>
      </c>
      <c r="N24" s="256">
        <v>4</v>
      </c>
      <c r="O24" s="256">
        <v>4</v>
      </c>
      <c r="P24" s="256">
        <v>2</v>
      </c>
      <c r="Q24" s="255"/>
      <c r="S24" s="200" t="s">
        <v>240</v>
      </c>
      <c r="T24" s="57">
        <v>3</v>
      </c>
      <c r="U24" s="57">
        <v>0</v>
      </c>
      <c r="V24" s="97">
        <f>10+T24+U24+'Personal File'!$C$12</f>
        <v>20</v>
      </c>
      <c r="W24" s="214" t="s">
        <v>452</v>
      </c>
    </row>
    <row r="25" spans="1:23" ht="16.8" x14ac:dyDescent="0.3">
      <c r="A25" s="200" t="s">
        <v>240</v>
      </c>
      <c r="B25" s="57">
        <v>3</v>
      </c>
      <c r="C25" s="57">
        <v>0</v>
      </c>
      <c r="D25" s="97">
        <f>10+B25+C25+'Personal File'!$C$12</f>
        <v>20</v>
      </c>
      <c r="E25" s="214" t="s">
        <v>452</v>
      </c>
      <c r="G25" s="252">
        <v>16</v>
      </c>
      <c r="H25" s="253" t="s">
        <v>453</v>
      </c>
      <c r="I25" s="253">
        <v>11</v>
      </c>
      <c r="J25" s="256">
        <v>4</v>
      </c>
      <c r="K25" s="256">
        <v>4</v>
      </c>
      <c r="L25" s="256">
        <v>4</v>
      </c>
      <c r="M25" s="256">
        <v>4</v>
      </c>
      <c r="N25" s="256">
        <v>4</v>
      </c>
      <c r="O25" s="256">
        <v>4</v>
      </c>
      <c r="P25" s="256">
        <v>4</v>
      </c>
      <c r="Q25" s="255"/>
      <c r="S25" s="200" t="s">
        <v>240</v>
      </c>
      <c r="T25" s="57">
        <v>3</v>
      </c>
      <c r="U25" s="57">
        <v>0</v>
      </c>
      <c r="V25" s="97">
        <f>10+T25+U25+'Personal File'!$C$12</f>
        <v>20</v>
      </c>
      <c r="W25" s="214" t="s">
        <v>452</v>
      </c>
    </row>
    <row r="26" spans="1:23" ht="16.8" x14ac:dyDescent="0.3">
      <c r="A26" s="200" t="s">
        <v>240</v>
      </c>
      <c r="B26" s="57">
        <v>3</v>
      </c>
      <c r="C26" s="57">
        <v>0</v>
      </c>
      <c r="D26" s="97">
        <f>10+B26+C26+'Personal File'!$C$12</f>
        <v>20</v>
      </c>
      <c r="E26" s="214" t="s">
        <v>452</v>
      </c>
      <c r="G26" s="252">
        <v>17</v>
      </c>
      <c r="H26" s="253" t="s">
        <v>453</v>
      </c>
      <c r="I26" s="253">
        <v>11</v>
      </c>
      <c r="J26" s="256">
        <v>4</v>
      </c>
      <c r="K26" s="256">
        <v>4</v>
      </c>
      <c r="L26" s="256">
        <v>4</v>
      </c>
      <c r="M26" s="256">
        <v>4</v>
      </c>
      <c r="N26" s="256">
        <v>4</v>
      </c>
      <c r="O26" s="256">
        <v>4</v>
      </c>
      <c r="P26" s="256">
        <v>4</v>
      </c>
      <c r="Q26" s="260">
        <v>2</v>
      </c>
      <c r="S26" s="200" t="s">
        <v>240</v>
      </c>
      <c r="T26" s="57">
        <v>3</v>
      </c>
      <c r="U26" s="57">
        <v>0</v>
      </c>
      <c r="V26" s="97">
        <f>10+T26+U26+'Personal File'!$C$12</f>
        <v>20</v>
      </c>
      <c r="W26" s="214" t="s">
        <v>452</v>
      </c>
    </row>
    <row r="27" spans="1:23" ht="17.399999999999999" thickBot="1" x14ac:dyDescent="0.35">
      <c r="A27" s="200" t="s">
        <v>242</v>
      </c>
      <c r="B27" s="57">
        <v>3</v>
      </c>
      <c r="C27" s="57">
        <v>0</v>
      </c>
      <c r="D27" s="97">
        <f>10+B27+C27+'Personal File'!$C$12</f>
        <v>20</v>
      </c>
      <c r="E27" s="214" t="s">
        <v>452</v>
      </c>
      <c r="G27" s="261">
        <v>18</v>
      </c>
      <c r="H27" s="262" t="s">
        <v>453</v>
      </c>
      <c r="I27" s="262">
        <v>11</v>
      </c>
      <c r="J27" s="263">
        <v>4</v>
      </c>
      <c r="K27" s="263">
        <v>4</v>
      </c>
      <c r="L27" s="263">
        <v>4</v>
      </c>
      <c r="M27" s="263">
        <v>4</v>
      </c>
      <c r="N27" s="263">
        <v>4</v>
      </c>
      <c r="O27" s="263">
        <v>4</v>
      </c>
      <c r="P27" s="263">
        <v>4</v>
      </c>
      <c r="Q27" s="264">
        <v>4</v>
      </c>
      <c r="S27" s="200" t="s">
        <v>242</v>
      </c>
      <c r="T27" s="57">
        <v>3</v>
      </c>
      <c r="U27" s="57">
        <v>0</v>
      </c>
      <c r="V27" s="97">
        <f>10+T27+U27+'Personal File'!$C$12</f>
        <v>20</v>
      </c>
      <c r="W27" s="214" t="s">
        <v>452</v>
      </c>
    </row>
    <row r="28" spans="1:23" ht="17.399999999999999" thickTop="1" x14ac:dyDescent="0.3">
      <c r="A28" s="201" t="s">
        <v>243</v>
      </c>
      <c r="B28" s="67">
        <v>3</v>
      </c>
      <c r="C28" s="67">
        <v>0</v>
      </c>
      <c r="D28" s="202">
        <f>10+B28+C28+'Personal File'!$C$12</f>
        <v>20</v>
      </c>
      <c r="E28" s="215" t="s">
        <v>452</v>
      </c>
      <c r="S28" s="201" t="s">
        <v>243</v>
      </c>
      <c r="T28" s="67">
        <v>3</v>
      </c>
      <c r="U28" s="67">
        <v>0</v>
      </c>
      <c r="V28" s="202">
        <f>10+T28+U28+'Personal File'!$C$12</f>
        <v>20</v>
      </c>
      <c r="W28" s="215" t="s">
        <v>452</v>
      </c>
    </row>
    <row r="29" spans="1:23" ht="16.8" x14ac:dyDescent="0.3">
      <c r="A29" s="200" t="s">
        <v>256</v>
      </c>
      <c r="B29" s="57">
        <v>4</v>
      </c>
      <c r="C29" s="57">
        <v>0</v>
      </c>
      <c r="D29" s="97">
        <f>10+B29+C29+'Personal File'!$C$12</f>
        <v>21</v>
      </c>
      <c r="E29" s="214" t="s">
        <v>452</v>
      </c>
      <c r="S29" s="200" t="s">
        <v>256</v>
      </c>
      <c r="T29" s="57">
        <v>4</v>
      </c>
      <c r="U29" s="57">
        <v>0</v>
      </c>
      <c r="V29" s="97">
        <f>10+T29+U29+'Personal File'!$C$12</f>
        <v>21</v>
      </c>
      <c r="W29" s="214" t="s">
        <v>452</v>
      </c>
    </row>
    <row r="30" spans="1:23" ht="16.8" x14ac:dyDescent="0.3">
      <c r="A30" s="200" t="s">
        <v>256</v>
      </c>
      <c r="B30" s="57">
        <v>4</v>
      </c>
      <c r="C30" s="57">
        <v>0</v>
      </c>
      <c r="D30" s="97">
        <f>10+B30+C30+'Personal File'!$C$12</f>
        <v>21</v>
      </c>
      <c r="E30" s="214" t="s">
        <v>452</v>
      </c>
      <c r="S30" s="200" t="s">
        <v>256</v>
      </c>
      <c r="T30" s="57">
        <v>4</v>
      </c>
      <c r="U30" s="57">
        <v>0</v>
      </c>
      <c r="V30" s="97">
        <f>10+T30+U30+'Personal File'!$C$12</f>
        <v>21</v>
      </c>
      <c r="W30" s="214" t="s">
        <v>452</v>
      </c>
    </row>
    <row r="31" spans="1:23" ht="16.8" x14ac:dyDescent="0.3">
      <c r="A31" s="200" t="s">
        <v>256</v>
      </c>
      <c r="B31" s="57">
        <v>4</v>
      </c>
      <c r="C31" s="57">
        <v>0</v>
      </c>
      <c r="D31" s="97">
        <f>10+B31+C31+'Personal File'!$C$12</f>
        <v>21</v>
      </c>
      <c r="E31" s="214" t="s">
        <v>452</v>
      </c>
      <c r="S31" s="200" t="s">
        <v>250</v>
      </c>
      <c r="T31" s="57">
        <v>4</v>
      </c>
      <c r="U31" s="57">
        <v>0</v>
      </c>
      <c r="V31" s="97">
        <f>10+T31+U31+'Personal File'!$C$12</f>
        <v>21</v>
      </c>
      <c r="W31" s="214" t="s">
        <v>452</v>
      </c>
    </row>
    <row r="32" spans="1:23" ht="16.8" x14ac:dyDescent="0.3">
      <c r="A32" s="200" t="s">
        <v>469</v>
      </c>
      <c r="B32" s="57">
        <v>4</v>
      </c>
      <c r="C32" s="57">
        <v>0</v>
      </c>
      <c r="D32" s="97">
        <f>10+B32+C32+'Personal File'!$C$12</f>
        <v>21</v>
      </c>
      <c r="E32" s="214" t="s">
        <v>452</v>
      </c>
      <c r="S32" s="200" t="s">
        <v>469</v>
      </c>
      <c r="T32" s="57">
        <v>4</v>
      </c>
      <c r="U32" s="57">
        <v>0</v>
      </c>
      <c r="V32" s="97">
        <f>10+T32+U32+'Personal File'!$C$12</f>
        <v>21</v>
      </c>
      <c r="W32" s="214" t="s">
        <v>452</v>
      </c>
    </row>
    <row r="33" spans="1:23" ht="16.8" x14ac:dyDescent="0.3">
      <c r="A33" s="200" t="s">
        <v>469</v>
      </c>
      <c r="B33" s="57">
        <v>4</v>
      </c>
      <c r="C33" s="57">
        <v>0</v>
      </c>
      <c r="D33" s="97">
        <f>10+B33+C33+'Personal File'!$C$12</f>
        <v>21</v>
      </c>
      <c r="E33" s="214" t="s">
        <v>452</v>
      </c>
      <c r="S33" s="200" t="s">
        <v>127</v>
      </c>
      <c r="T33" s="57">
        <v>4</v>
      </c>
      <c r="U33" s="57">
        <v>0</v>
      </c>
      <c r="V33" s="97">
        <f>10+T33+U33+'Personal File'!$C$12</f>
        <v>21</v>
      </c>
      <c r="W33" s="214" t="s">
        <v>452</v>
      </c>
    </row>
    <row r="34" spans="1:23" ht="16.8" x14ac:dyDescent="0.3">
      <c r="A34" s="201" t="s">
        <v>252</v>
      </c>
      <c r="B34" s="67">
        <v>4</v>
      </c>
      <c r="C34" s="67">
        <v>0</v>
      </c>
      <c r="D34" s="202">
        <f>10+B34+C34+'Personal File'!$C$12</f>
        <v>21</v>
      </c>
      <c r="E34" s="215" t="s">
        <v>452</v>
      </c>
      <c r="S34" s="201" t="s">
        <v>252</v>
      </c>
      <c r="T34" s="67">
        <v>4</v>
      </c>
      <c r="U34" s="67">
        <v>0</v>
      </c>
      <c r="V34" s="202">
        <f>10+T34+U34+'Personal File'!$C$12</f>
        <v>21</v>
      </c>
      <c r="W34" s="215" t="s">
        <v>452</v>
      </c>
    </row>
    <row r="35" spans="1:23" ht="16.8" x14ac:dyDescent="0.3">
      <c r="A35" s="200" t="s">
        <v>254</v>
      </c>
      <c r="B35" s="57">
        <v>5</v>
      </c>
      <c r="C35" s="57">
        <v>0</v>
      </c>
      <c r="D35" s="97">
        <f>10+B35+C35+'Personal File'!$C$12</f>
        <v>22</v>
      </c>
      <c r="E35" s="214" t="s">
        <v>452</v>
      </c>
      <c r="S35" s="200" t="s">
        <v>254</v>
      </c>
      <c r="T35" s="57">
        <v>5</v>
      </c>
      <c r="U35" s="57">
        <v>0</v>
      </c>
      <c r="V35" s="97">
        <f>10+T35+U35+'Personal File'!$C$12</f>
        <v>22</v>
      </c>
      <c r="W35" s="214" t="s">
        <v>452</v>
      </c>
    </row>
    <row r="36" spans="1:23" ht="16.8" x14ac:dyDescent="0.3">
      <c r="A36" s="200" t="s">
        <v>256</v>
      </c>
      <c r="B36" s="57">
        <v>5</v>
      </c>
      <c r="C36" s="57">
        <v>0</v>
      </c>
      <c r="D36" s="97">
        <f>10+B36+C36+'Personal File'!$C$12</f>
        <v>22</v>
      </c>
      <c r="E36" s="214" t="s">
        <v>452</v>
      </c>
      <c r="S36" s="200" t="s">
        <v>257</v>
      </c>
      <c r="T36" s="57">
        <v>5</v>
      </c>
      <c r="U36" s="57">
        <v>0</v>
      </c>
      <c r="V36" s="97">
        <f>10+T36+U36+'Personal File'!$C$12</f>
        <v>22</v>
      </c>
      <c r="W36" s="214" t="s">
        <v>452</v>
      </c>
    </row>
    <row r="37" spans="1:23" ht="16.8" x14ac:dyDescent="0.3">
      <c r="A37" s="200" t="s">
        <v>258</v>
      </c>
      <c r="B37" s="57">
        <v>5</v>
      </c>
      <c r="C37" s="57">
        <v>0</v>
      </c>
      <c r="D37" s="97">
        <f>10+B37+C37+'Personal File'!$C$12</f>
        <v>22</v>
      </c>
      <c r="E37" s="214" t="s">
        <v>452</v>
      </c>
      <c r="S37" s="200" t="s">
        <v>257</v>
      </c>
      <c r="T37" s="57">
        <v>5</v>
      </c>
      <c r="U37" s="57">
        <v>0</v>
      </c>
      <c r="V37" s="97">
        <f>10+T37+U37+'Personal File'!$C$12</f>
        <v>22</v>
      </c>
      <c r="W37" s="214" t="s">
        <v>452</v>
      </c>
    </row>
    <row r="38" spans="1:23" ht="16.8" x14ac:dyDescent="0.3">
      <c r="A38" s="200" t="s">
        <v>259</v>
      </c>
      <c r="B38" s="57">
        <v>5</v>
      </c>
      <c r="C38" s="57">
        <v>0</v>
      </c>
      <c r="D38" s="97">
        <f>10+B38+C38+'Personal File'!$C$12</f>
        <v>22</v>
      </c>
      <c r="E38" s="214" t="s">
        <v>452</v>
      </c>
      <c r="S38" s="200" t="s">
        <v>258</v>
      </c>
      <c r="T38" s="57">
        <v>5</v>
      </c>
      <c r="U38" s="57">
        <v>0</v>
      </c>
      <c r="V38" s="97">
        <f>10+T38+U38+'Personal File'!$C$12</f>
        <v>22</v>
      </c>
      <c r="W38" s="214" t="s">
        <v>452</v>
      </c>
    </row>
    <row r="39" spans="1:23" ht="16.8" x14ac:dyDescent="0.3">
      <c r="A39" s="201" t="s">
        <v>259</v>
      </c>
      <c r="B39" s="67">
        <v>5</v>
      </c>
      <c r="C39" s="67">
        <v>0</v>
      </c>
      <c r="D39" s="202">
        <f>10+B39+C39+'Personal File'!$C$12</f>
        <v>22</v>
      </c>
      <c r="E39" s="424" t="s">
        <v>452</v>
      </c>
      <c r="S39" s="201" t="s">
        <v>259</v>
      </c>
      <c r="T39" s="67">
        <v>5</v>
      </c>
      <c r="U39" s="67">
        <v>0</v>
      </c>
      <c r="V39" s="202">
        <f>10+T39+U39+'Personal File'!$C$12</f>
        <v>22</v>
      </c>
      <c r="W39" s="424" t="s">
        <v>452</v>
      </c>
    </row>
    <row r="40" spans="1:23" ht="16.8" x14ac:dyDescent="0.3">
      <c r="A40" s="200" t="s">
        <v>262</v>
      </c>
      <c r="B40" s="57">
        <v>6</v>
      </c>
      <c r="C40" s="57">
        <v>0</v>
      </c>
      <c r="D40" s="97">
        <f>10+B40+C40+'Personal File'!$C$12</f>
        <v>23</v>
      </c>
      <c r="E40" s="214" t="s">
        <v>452</v>
      </c>
      <c r="S40" s="200" t="s">
        <v>262</v>
      </c>
      <c r="T40" s="57">
        <v>6</v>
      </c>
      <c r="U40" s="57">
        <v>0</v>
      </c>
      <c r="V40" s="97">
        <f>10+T40+U40+'Personal File'!$C$12</f>
        <v>23</v>
      </c>
      <c r="W40" s="214" t="s">
        <v>452</v>
      </c>
    </row>
    <row r="41" spans="1:23" ht="16.8" x14ac:dyDescent="0.3">
      <c r="A41" s="200" t="s">
        <v>262</v>
      </c>
      <c r="B41" s="57">
        <v>6</v>
      </c>
      <c r="C41" s="57">
        <v>0</v>
      </c>
      <c r="D41" s="97">
        <f>10+B41+C41+'Personal File'!$C$12</f>
        <v>23</v>
      </c>
      <c r="E41" s="214" t="s">
        <v>452</v>
      </c>
      <c r="S41" s="200" t="s">
        <v>264</v>
      </c>
      <c r="T41" s="57">
        <v>6</v>
      </c>
      <c r="U41" s="57">
        <v>0</v>
      </c>
      <c r="V41" s="97">
        <f>10+T41+U41+'Personal File'!$C$12</f>
        <v>23</v>
      </c>
      <c r="W41" s="214" t="s">
        <v>452</v>
      </c>
    </row>
    <row r="42" spans="1:23" ht="16.8" x14ac:dyDescent="0.3">
      <c r="A42" s="200" t="s">
        <v>264</v>
      </c>
      <c r="B42" s="57">
        <v>6</v>
      </c>
      <c r="C42" s="57">
        <v>0</v>
      </c>
      <c r="D42" s="97">
        <f>10+B42+C42+'Personal File'!$C$12</f>
        <v>23</v>
      </c>
      <c r="E42" s="214" t="s">
        <v>452</v>
      </c>
      <c r="S42" s="200" t="s">
        <v>265</v>
      </c>
      <c r="T42" s="57">
        <v>6</v>
      </c>
      <c r="U42" s="57">
        <v>0</v>
      </c>
      <c r="V42" s="97">
        <f>10+T42+U42+'Personal File'!$C$12</f>
        <v>23</v>
      </c>
      <c r="W42" s="214" t="s">
        <v>452</v>
      </c>
    </row>
    <row r="43" spans="1:23" ht="16.8" x14ac:dyDescent="0.3">
      <c r="A43" s="201" t="s">
        <v>508</v>
      </c>
      <c r="B43" s="67">
        <v>6</v>
      </c>
      <c r="C43" s="67">
        <v>0</v>
      </c>
      <c r="D43" s="202">
        <f>10+B43+C43+'Personal File'!$C$12</f>
        <v>23</v>
      </c>
      <c r="E43" s="424" t="s">
        <v>452</v>
      </c>
      <c r="S43" s="201" t="s">
        <v>266</v>
      </c>
      <c r="T43" s="67">
        <v>6</v>
      </c>
      <c r="U43" s="67">
        <v>0</v>
      </c>
      <c r="V43" s="202">
        <f>10+T43+U43+'Personal File'!$C$12</f>
        <v>23</v>
      </c>
      <c r="W43" s="424" t="s">
        <v>452</v>
      </c>
    </row>
    <row r="44" spans="1:23" ht="16.8" x14ac:dyDescent="0.3">
      <c r="A44" s="200" t="s">
        <v>480</v>
      </c>
      <c r="B44" s="57">
        <v>7</v>
      </c>
      <c r="C44" s="57">
        <v>0</v>
      </c>
      <c r="D44" s="97">
        <f>10+B44+C44+'Personal File'!$C$12</f>
        <v>24</v>
      </c>
      <c r="E44" s="214" t="s">
        <v>452</v>
      </c>
      <c r="S44" s="200" t="s">
        <v>480</v>
      </c>
      <c r="T44" s="57">
        <v>7</v>
      </c>
      <c r="U44" s="57">
        <v>0</v>
      </c>
      <c r="V44" s="97">
        <f>10+T44+U44+'Personal File'!$C$12</f>
        <v>24</v>
      </c>
      <c r="W44" s="214" t="s">
        <v>452</v>
      </c>
    </row>
    <row r="45" spans="1:23" ht="16.8" x14ac:dyDescent="0.3">
      <c r="A45" s="200" t="s">
        <v>482</v>
      </c>
      <c r="B45" s="57">
        <v>7</v>
      </c>
      <c r="C45" s="57">
        <v>0</v>
      </c>
      <c r="D45" s="97">
        <f>10+B45+C45+'Personal File'!$C$12</f>
        <v>24</v>
      </c>
      <c r="E45" s="214" t="s">
        <v>452</v>
      </c>
      <c r="S45" s="200" t="s">
        <v>482</v>
      </c>
      <c r="T45" s="57">
        <v>7</v>
      </c>
      <c r="U45" s="57">
        <v>0</v>
      </c>
      <c r="V45" s="97">
        <f>10+T45+U45+'Personal File'!$C$12</f>
        <v>24</v>
      </c>
      <c r="W45" s="214" t="s">
        <v>452</v>
      </c>
    </row>
    <row r="46" spans="1:23" ht="17.399999999999999" thickBot="1" x14ac:dyDescent="0.35">
      <c r="A46" s="203" t="s">
        <v>481</v>
      </c>
      <c r="B46" s="136">
        <v>7</v>
      </c>
      <c r="C46" s="136">
        <v>0</v>
      </c>
      <c r="D46" s="204">
        <f>10+B46+C46+'Personal File'!$C$12</f>
        <v>24</v>
      </c>
      <c r="E46" s="216" t="s">
        <v>452</v>
      </c>
      <c r="S46" s="203" t="s">
        <v>481</v>
      </c>
      <c r="T46" s="136">
        <v>7</v>
      </c>
      <c r="U46" s="136">
        <v>0</v>
      </c>
      <c r="V46" s="204">
        <f>10+T46+U46+'Personal File'!$C$12</f>
        <v>24</v>
      </c>
      <c r="W46" s="216" t="s">
        <v>452</v>
      </c>
    </row>
    <row r="47" spans="1:23" ht="16.2" thickTop="1" x14ac:dyDescent="0.3"/>
    <row r="48" spans="1:23" ht="23.4" thickBot="1" x14ac:dyDescent="0.35">
      <c r="A48" s="418" t="s">
        <v>273</v>
      </c>
      <c r="B48" s="151"/>
      <c r="C48" s="151"/>
      <c r="D48" s="151"/>
      <c r="E48" s="211"/>
    </row>
    <row r="49" spans="1:5" ht="17.399999999999999" thickTop="1" x14ac:dyDescent="0.3">
      <c r="A49" s="212" t="s">
        <v>100</v>
      </c>
      <c r="B49" s="205" t="s">
        <v>101</v>
      </c>
      <c r="C49" s="205" t="s">
        <v>268</v>
      </c>
      <c r="D49" s="205" t="s">
        <v>269</v>
      </c>
      <c r="E49" s="213" t="s">
        <v>270</v>
      </c>
    </row>
    <row r="50" spans="1:5" ht="16.8" x14ac:dyDescent="0.3">
      <c r="A50" s="206" t="s">
        <v>274</v>
      </c>
      <c r="B50" s="207">
        <v>0</v>
      </c>
      <c r="C50" s="207">
        <v>1</v>
      </c>
      <c r="D50" s="208">
        <f>10+B50+C50+'Personal File'!$C$12+1</f>
        <v>19</v>
      </c>
      <c r="E50" s="214" t="s">
        <v>452</v>
      </c>
    </row>
    <row r="51" spans="1:5" ht="16.8" x14ac:dyDescent="0.3">
      <c r="A51" s="209" t="s">
        <v>275</v>
      </c>
      <c r="B51" s="57">
        <v>0</v>
      </c>
      <c r="C51" s="57">
        <v>0</v>
      </c>
      <c r="D51" s="97">
        <f>10+B51+C51+'Personal File'!$C$12+1</f>
        <v>18</v>
      </c>
      <c r="E51" s="214" t="s">
        <v>452</v>
      </c>
    </row>
    <row r="52" spans="1:5" ht="16.8" x14ac:dyDescent="0.3">
      <c r="A52" s="209" t="s">
        <v>135</v>
      </c>
      <c r="B52" s="57">
        <v>0</v>
      </c>
      <c r="C52" s="57">
        <v>0</v>
      </c>
      <c r="D52" s="97">
        <f>10+B52+C52+'Personal File'!$C$12+1</f>
        <v>18</v>
      </c>
      <c r="E52" s="214" t="s">
        <v>452</v>
      </c>
    </row>
    <row r="53" spans="1:5" ht="17.399999999999999" thickBot="1" x14ac:dyDescent="0.35">
      <c r="A53" s="210" t="s">
        <v>276</v>
      </c>
      <c r="B53" s="136">
        <v>0</v>
      </c>
      <c r="C53" s="136">
        <v>0</v>
      </c>
      <c r="D53" s="204">
        <f>10+B53+C53+'Personal File'!$C$12+1</f>
        <v>18</v>
      </c>
      <c r="E53" s="216" t="s">
        <v>452</v>
      </c>
    </row>
    <row r="54" spans="1:5" ht="16.2" thickTop="1" x14ac:dyDescent="0.3"/>
  </sheetData>
  <sortState xmlns:xlrd2="http://schemas.microsoft.com/office/spreadsheetml/2017/richdata2" ref="A3:E46">
    <sortCondition ref="B3:B46"/>
    <sortCondition ref="A3:A46"/>
  </sortState>
  <conditionalFormatting sqref="E3:E46">
    <cfRule type="cellIs" dxfId="11" priority="1" operator="equal">
      <formula>"þ"</formula>
    </cfRule>
  </conditionalFormatting>
  <conditionalFormatting sqref="E48:E53">
    <cfRule type="cellIs" dxfId="10" priority="20" operator="equal">
      <formula>"þ"</formula>
    </cfRule>
  </conditionalFormatting>
  <conditionalFormatting sqref="W3:W46">
    <cfRule type="cellIs" dxfId="9" priority="6" operator="equal">
      <formula>"þ"</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
  <sheetViews>
    <sheetView showGridLines="0" workbookViewId="0"/>
  </sheetViews>
  <sheetFormatPr defaultRowHeight="15.6" x14ac:dyDescent="0.3"/>
  <cols>
    <col min="1" max="1" width="35.5" bestFit="1" customWidth="1"/>
    <col min="2" max="2" width="3" customWidth="1"/>
    <col min="3" max="3" width="34.296875" bestFit="1" customWidth="1"/>
  </cols>
  <sheetData>
    <row r="1" spans="1:3" ht="22.2" thickTop="1" thickBot="1" x14ac:dyDescent="0.35">
      <c r="A1" s="265" t="s">
        <v>292</v>
      </c>
      <c r="B1" s="10"/>
      <c r="C1" s="266" t="s">
        <v>293</v>
      </c>
    </row>
    <row r="2" spans="1:3" ht="16.8" x14ac:dyDescent="0.3">
      <c r="A2" s="267" t="s">
        <v>456</v>
      </c>
      <c r="B2" s="10"/>
      <c r="C2" s="268" t="s">
        <v>294</v>
      </c>
    </row>
    <row r="3" spans="1:3" ht="16.8" x14ac:dyDescent="0.3">
      <c r="A3" s="267" t="s">
        <v>457</v>
      </c>
      <c r="B3" s="10"/>
      <c r="C3" s="269" t="s">
        <v>295</v>
      </c>
    </row>
    <row r="4" spans="1:3" ht="17.399999999999999" thickBot="1" x14ac:dyDescent="0.35">
      <c r="A4" s="267" t="s">
        <v>458</v>
      </c>
      <c r="B4" s="10"/>
      <c r="C4" s="270" t="s">
        <v>296</v>
      </c>
    </row>
    <row r="5" spans="1:3" ht="18" thickTop="1" thickBot="1" x14ac:dyDescent="0.35">
      <c r="A5" s="267" t="s">
        <v>459</v>
      </c>
      <c r="B5" s="10"/>
      <c r="C5" s="31"/>
    </row>
    <row r="6" spans="1:3" ht="22.2" thickTop="1" thickBot="1" x14ac:dyDescent="0.35">
      <c r="A6" s="489" t="s">
        <v>460</v>
      </c>
      <c r="B6" s="10"/>
      <c r="C6" s="272" t="s">
        <v>297</v>
      </c>
    </row>
    <row r="7" spans="1:3" ht="18" thickTop="1" thickBot="1" x14ac:dyDescent="0.35">
      <c r="A7" s="31"/>
      <c r="B7" s="10"/>
      <c r="C7" s="273" t="s">
        <v>298</v>
      </c>
    </row>
    <row r="8" spans="1:3" ht="22.2" thickTop="1" thickBot="1" x14ac:dyDescent="0.35">
      <c r="A8" s="265" t="s">
        <v>299</v>
      </c>
      <c r="B8" s="10"/>
      <c r="C8" s="273" t="s">
        <v>300</v>
      </c>
    </row>
    <row r="9" spans="1:3" ht="16.8" x14ac:dyDescent="0.3">
      <c r="A9" s="274" t="s">
        <v>425</v>
      </c>
      <c r="B9" s="10"/>
      <c r="C9" s="275" t="s">
        <v>301</v>
      </c>
    </row>
    <row r="10" spans="1:3" ht="17.399999999999999" thickBot="1" x14ac:dyDescent="0.35">
      <c r="A10" s="274" t="s">
        <v>302</v>
      </c>
      <c r="B10" s="10"/>
      <c r="C10" s="276" t="s">
        <v>303</v>
      </c>
    </row>
    <row r="11" spans="1:3" ht="18" thickTop="1" thickBot="1" x14ac:dyDescent="0.35">
      <c r="A11" s="274" t="s">
        <v>304</v>
      </c>
      <c r="B11" s="10"/>
    </row>
    <row r="12" spans="1:3" ht="22.2" thickTop="1" thickBot="1" x14ac:dyDescent="0.35">
      <c r="A12" s="274" t="s">
        <v>306</v>
      </c>
      <c r="B12" s="10"/>
      <c r="C12" s="277" t="s">
        <v>305</v>
      </c>
    </row>
    <row r="13" spans="1:3" ht="16.8" x14ac:dyDescent="0.3">
      <c r="A13" s="278" t="s">
        <v>461</v>
      </c>
      <c r="B13" s="10"/>
      <c r="C13" s="269" t="s">
        <v>307</v>
      </c>
    </row>
    <row r="14" spans="1:3" ht="17.399999999999999" thickBot="1" x14ac:dyDescent="0.35">
      <c r="A14" s="280" t="s">
        <v>49</v>
      </c>
      <c r="B14" s="10"/>
      <c r="C14" s="279" t="s">
        <v>308</v>
      </c>
    </row>
    <row r="15" spans="1:3" ht="17.399999999999999" thickTop="1" x14ac:dyDescent="0.3">
      <c r="A15" s="281" t="s">
        <v>462</v>
      </c>
      <c r="B15" s="10"/>
      <c r="C15" s="43"/>
    </row>
    <row r="16" spans="1:3" ht="16.8" x14ac:dyDescent="0.3">
      <c r="A16" s="281" t="s">
        <v>463</v>
      </c>
      <c r="B16" s="10"/>
      <c r="C16" s="43"/>
    </row>
    <row r="17" spans="1:3" ht="16.8" x14ac:dyDescent="0.3">
      <c r="A17" s="282" t="s">
        <v>309</v>
      </c>
      <c r="B17" s="10"/>
      <c r="C17" s="43"/>
    </row>
    <row r="18" spans="1:3" ht="16.8" x14ac:dyDescent="0.3">
      <c r="A18" s="282" t="s">
        <v>310</v>
      </c>
      <c r="B18" s="10"/>
      <c r="C18" s="43"/>
    </row>
    <row r="19" spans="1:3" ht="16.8" x14ac:dyDescent="0.3">
      <c r="A19" s="282" t="s">
        <v>464</v>
      </c>
      <c r="B19" s="10"/>
      <c r="C19" s="43"/>
    </row>
    <row r="20" spans="1:3" ht="17.399999999999999" thickBot="1" x14ac:dyDescent="0.35">
      <c r="A20" s="271" t="s">
        <v>465</v>
      </c>
      <c r="B20" s="10"/>
      <c r="C20" s="43"/>
    </row>
    <row r="21" spans="1:3" ht="16.2" thickTop="1" x14ac:dyDescent="0.3"/>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5"/>
  <sheetViews>
    <sheetView showGridLines="0" workbookViewId="0"/>
  </sheetViews>
  <sheetFormatPr defaultRowHeight="15.6" x14ac:dyDescent="0.3"/>
  <cols>
    <col min="1" max="1" width="30.8984375" bestFit="1" customWidth="1"/>
    <col min="2" max="2" width="8.5" bestFit="1" customWidth="1"/>
    <col min="3" max="3" width="4.59765625" bestFit="1" customWidth="1"/>
    <col min="4" max="4" width="6.296875" bestFit="1" customWidth="1"/>
    <col min="5" max="5" width="8.5" bestFit="1" customWidth="1"/>
    <col min="6" max="6" width="9.3984375" bestFit="1" customWidth="1"/>
    <col min="7" max="7" width="4.69921875" bestFit="1" customWidth="1"/>
    <col min="8" max="8" width="8.796875" bestFit="1" customWidth="1"/>
    <col min="9" max="9" width="5.59765625" bestFit="1" customWidth="1"/>
    <col min="10" max="10" width="6.296875" bestFit="1" customWidth="1"/>
    <col min="11" max="11" width="23.796875" bestFit="1" customWidth="1"/>
    <col min="12" max="12" width="2.69921875" customWidth="1"/>
    <col min="13" max="13" width="8.796875" bestFit="1" customWidth="1"/>
  </cols>
  <sheetData>
    <row r="1" spans="1:13" ht="23.4" thickBot="1" x14ac:dyDescent="0.35">
      <c r="A1" s="283" t="s">
        <v>311</v>
      </c>
      <c r="B1" s="283"/>
      <c r="C1" s="283"/>
      <c r="D1" s="283"/>
      <c r="E1" s="283"/>
      <c r="F1" s="283"/>
      <c r="G1" s="283"/>
      <c r="H1" s="283"/>
      <c r="I1" s="283"/>
      <c r="J1" s="283"/>
      <c r="K1" s="283"/>
      <c r="L1" s="284"/>
      <c r="M1" s="284"/>
    </row>
    <row r="2" spans="1:13" ht="16.8" thickTop="1" thickBot="1" x14ac:dyDescent="0.35">
      <c r="A2" s="285" t="s">
        <v>312</v>
      </c>
      <c r="B2" s="286" t="s">
        <v>313</v>
      </c>
      <c r="C2" s="286" t="s">
        <v>314</v>
      </c>
      <c r="D2" s="286" t="s">
        <v>315</v>
      </c>
      <c r="E2" s="287" t="s">
        <v>316</v>
      </c>
      <c r="F2" s="286" t="s">
        <v>317</v>
      </c>
      <c r="G2" s="286" t="s">
        <v>318</v>
      </c>
      <c r="H2" s="288" t="s">
        <v>319</v>
      </c>
      <c r="I2" s="289" t="s">
        <v>34</v>
      </c>
      <c r="J2" s="288" t="s">
        <v>35</v>
      </c>
      <c r="K2" s="290" t="s">
        <v>36</v>
      </c>
      <c r="L2" s="284"/>
      <c r="M2" s="291" t="s">
        <v>320</v>
      </c>
    </row>
    <row r="3" spans="1:13" x14ac:dyDescent="0.3">
      <c r="A3" s="292" t="s">
        <v>468</v>
      </c>
      <c r="B3" s="293" t="s">
        <v>321</v>
      </c>
      <c r="C3" s="294">
        <v>2</v>
      </c>
      <c r="D3" s="295">
        <v>2</v>
      </c>
      <c r="E3" s="295" t="s">
        <v>322</v>
      </c>
      <c r="F3" s="296" t="s">
        <v>323</v>
      </c>
      <c r="G3" s="297">
        <v>1.5</v>
      </c>
      <c r="H3" s="298" t="str">
        <f>CONCATENATE("+",RIGHT('Personal File'!$B$7,1)+RIGHT('Personal File'!$C$9)+D3)</f>
        <v>+9</v>
      </c>
      <c r="I3" s="299">
        <f ca="1">RANDBETWEEN(1,20)</f>
        <v>11</v>
      </c>
      <c r="J3" s="300">
        <f ca="1">I3+H3</f>
        <v>20</v>
      </c>
      <c r="K3" s="301"/>
      <c r="L3" s="284"/>
      <c r="M3" s="302">
        <v>4000</v>
      </c>
    </row>
    <row r="4" spans="1:13" x14ac:dyDescent="0.3">
      <c r="A4" s="545" t="s">
        <v>466</v>
      </c>
      <c r="B4" s="546" t="s">
        <v>321</v>
      </c>
      <c r="C4" s="547">
        <v>2</v>
      </c>
      <c r="D4" s="548">
        <v>2</v>
      </c>
      <c r="E4" s="548" t="s">
        <v>322</v>
      </c>
      <c r="F4" s="549" t="s">
        <v>323</v>
      </c>
      <c r="G4" s="554" t="s">
        <v>332</v>
      </c>
      <c r="H4" s="550" t="str">
        <f>CONCATENATE("+",RIGHT('Personal File'!$B$7,1)+RIGHT('Personal File'!$C$9)+D4-5)</f>
        <v>+4</v>
      </c>
      <c r="I4" s="551"/>
      <c r="J4" s="552"/>
      <c r="K4" s="553"/>
      <c r="L4" s="284"/>
      <c r="M4" s="557" t="s">
        <v>332</v>
      </c>
    </row>
    <row r="5" spans="1:13" x14ac:dyDescent="0.3">
      <c r="A5" s="558" t="s">
        <v>442</v>
      </c>
      <c r="B5" s="559" t="s">
        <v>324</v>
      </c>
      <c r="C5" s="560">
        <v>0</v>
      </c>
      <c r="D5" s="561" t="s">
        <v>325</v>
      </c>
      <c r="E5" s="561" t="s">
        <v>326</v>
      </c>
      <c r="F5" s="562" t="s">
        <v>327</v>
      </c>
      <c r="G5" s="563">
        <v>1.5</v>
      </c>
      <c r="H5" s="564" t="str">
        <f>CONCATENATE("+",RIGHT('Personal File'!$B$7,1)+RIGHT('Personal File'!$C$9)+D5)</f>
        <v>+8</v>
      </c>
      <c r="I5" s="565">
        <f ca="1">RANDBETWEEN(1,20)</f>
        <v>6</v>
      </c>
      <c r="J5" s="566">
        <f ca="1">I5+H5</f>
        <v>14</v>
      </c>
      <c r="K5" s="567"/>
      <c r="L5" s="284"/>
      <c r="M5" s="306">
        <v>300</v>
      </c>
    </row>
    <row r="6" spans="1:13" x14ac:dyDescent="0.3">
      <c r="A6" s="568" t="s">
        <v>466</v>
      </c>
      <c r="B6" s="569" t="s">
        <v>324</v>
      </c>
      <c r="C6" s="570">
        <v>0</v>
      </c>
      <c r="D6" s="571" t="s">
        <v>325</v>
      </c>
      <c r="E6" s="571" t="s">
        <v>326</v>
      </c>
      <c r="F6" s="572" t="s">
        <v>327</v>
      </c>
      <c r="G6" s="573" t="s">
        <v>332</v>
      </c>
      <c r="H6" s="574" t="str">
        <f>CONCATENATE("+",RIGHT('Personal File'!$B$7,1)+RIGHT('Personal File'!$C$9)+D6-5)</f>
        <v>+3</v>
      </c>
      <c r="I6" s="575"/>
      <c r="J6" s="576"/>
      <c r="K6" s="577"/>
      <c r="L6" s="284"/>
      <c r="M6" s="557" t="s">
        <v>332</v>
      </c>
    </row>
    <row r="7" spans="1:13" x14ac:dyDescent="0.3">
      <c r="A7" s="493" t="s">
        <v>329</v>
      </c>
      <c r="B7" s="494" t="s">
        <v>330</v>
      </c>
      <c r="C7" s="495">
        <v>1</v>
      </c>
      <c r="D7" s="496" t="s">
        <v>43</v>
      </c>
      <c r="E7" s="496" t="s">
        <v>326</v>
      </c>
      <c r="F7" s="497" t="s">
        <v>331</v>
      </c>
      <c r="G7" s="498">
        <v>0</v>
      </c>
      <c r="H7" s="499" t="str">
        <f>CONCATENATE("+",RIGHT('Personal File'!$B$7,1)+RIGHT('Personal File'!$C$13)+D7)</f>
        <v>+9</v>
      </c>
      <c r="I7" s="305">
        <f ca="1">RANDBETWEEN(1,20)</f>
        <v>14</v>
      </c>
      <c r="J7" s="507">
        <f ca="1">I7+H7</f>
        <v>23</v>
      </c>
      <c r="K7" s="508"/>
      <c r="L7" s="284"/>
      <c r="M7" s="511" t="s">
        <v>332</v>
      </c>
    </row>
    <row r="8" spans="1:13" ht="16.2" thickBot="1" x14ac:dyDescent="0.35">
      <c r="A8" s="500" t="s">
        <v>333</v>
      </c>
      <c r="B8" s="501" t="s">
        <v>334</v>
      </c>
      <c r="C8" s="502" t="s">
        <v>332</v>
      </c>
      <c r="D8" s="503" t="s">
        <v>43</v>
      </c>
      <c r="E8" s="503" t="s">
        <v>332</v>
      </c>
      <c r="F8" s="504" t="s">
        <v>332</v>
      </c>
      <c r="G8" s="505" t="s">
        <v>332</v>
      </c>
      <c r="H8" s="506" t="str">
        <f>CONCATENATE("+",RIGHT('Personal File'!$B$7,1)+RIGHT('Personal File'!$C$9)+D8)</f>
        <v>+7</v>
      </c>
      <c r="I8" s="307">
        <f ca="1">RANDBETWEEN(1,20)</f>
        <v>10</v>
      </c>
      <c r="J8" s="509">
        <f ca="1">I8+H8</f>
        <v>17</v>
      </c>
      <c r="K8" s="510"/>
      <c r="L8" s="284"/>
      <c r="M8" s="512" t="s">
        <v>332</v>
      </c>
    </row>
    <row r="9" spans="1:13" ht="16.8" thickTop="1" thickBot="1" x14ac:dyDescent="0.35">
      <c r="A9" s="308"/>
      <c r="B9" s="308"/>
      <c r="C9" s="308"/>
      <c r="D9" s="308"/>
      <c r="E9" s="308"/>
      <c r="F9" s="308"/>
      <c r="G9" s="308"/>
      <c r="H9" s="308"/>
      <c r="I9" s="308"/>
      <c r="J9" s="308"/>
      <c r="K9" s="308"/>
      <c r="L9" s="284"/>
      <c r="M9" s="284"/>
    </row>
    <row r="10" spans="1:13" ht="16.8" thickTop="1" thickBot="1" x14ac:dyDescent="0.35">
      <c r="A10" s="285" t="s">
        <v>335</v>
      </c>
      <c r="B10" s="286" t="s">
        <v>336</v>
      </c>
      <c r="C10" s="286" t="s">
        <v>314</v>
      </c>
      <c r="D10" s="286" t="s">
        <v>315</v>
      </c>
      <c r="E10" s="287" t="s">
        <v>316</v>
      </c>
      <c r="F10" s="286" t="s">
        <v>337</v>
      </c>
      <c r="G10" s="286" t="s">
        <v>318</v>
      </c>
      <c r="H10" s="288" t="s">
        <v>319</v>
      </c>
      <c r="I10" s="289" t="s">
        <v>34</v>
      </c>
      <c r="J10" s="288" t="s">
        <v>35</v>
      </c>
      <c r="K10" s="290" t="s">
        <v>36</v>
      </c>
      <c r="L10" s="284"/>
      <c r="M10" s="291" t="s">
        <v>320</v>
      </c>
    </row>
    <row r="11" spans="1:13" x14ac:dyDescent="0.3">
      <c r="A11" s="525" t="s">
        <v>446</v>
      </c>
      <c r="B11" s="526" t="s">
        <v>445</v>
      </c>
      <c r="C11" s="527" t="s">
        <v>477</v>
      </c>
      <c r="D11" s="528" t="s">
        <v>325</v>
      </c>
      <c r="E11" s="528" t="s">
        <v>332</v>
      </c>
      <c r="F11" s="529" t="s">
        <v>332</v>
      </c>
      <c r="G11" s="530" t="s">
        <v>332</v>
      </c>
      <c r="H11" s="531" t="str">
        <f>CONCATENATE("+",RIGHT('Personal File'!$B$7,1)+RIGHT('Personal File'!$C$10)+D11)</f>
        <v>+10</v>
      </c>
      <c r="I11" s="532">
        <f t="shared" ref="I11:I16" ca="1" si="0">RANDBETWEEN(1,20)</f>
        <v>20</v>
      </c>
      <c r="J11" s="531">
        <f t="shared" ref="J11:J16" ca="1" si="1">I11+H11</f>
        <v>30</v>
      </c>
      <c r="K11" s="533" t="s">
        <v>511</v>
      </c>
      <c r="L11" s="284"/>
      <c r="M11" s="513" t="s">
        <v>332</v>
      </c>
    </row>
    <row r="12" spans="1:13" x14ac:dyDescent="0.3">
      <c r="A12" s="534" t="s">
        <v>240</v>
      </c>
      <c r="B12" s="535" t="s">
        <v>332</v>
      </c>
      <c r="C12" s="536" t="s">
        <v>332</v>
      </c>
      <c r="D12" s="537" t="s">
        <v>43</v>
      </c>
      <c r="E12" s="537" t="s">
        <v>332</v>
      </c>
      <c r="F12" s="538" t="s">
        <v>332</v>
      </c>
      <c r="G12" s="539" t="s">
        <v>332</v>
      </c>
      <c r="H12" s="540" t="str">
        <f>CONCATENATE("+",'Personal File'!E3+D12)</f>
        <v>+13</v>
      </c>
      <c r="I12" s="541">
        <f t="shared" ca="1" si="0"/>
        <v>4</v>
      </c>
      <c r="J12" s="540">
        <f t="shared" ca="1" si="1"/>
        <v>17</v>
      </c>
      <c r="K12" s="542"/>
      <c r="L12" s="284"/>
      <c r="M12" s="511" t="s">
        <v>332</v>
      </c>
    </row>
    <row r="13" spans="1:13" x14ac:dyDescent="0.3">
      <c r="A13" s="534" t="s">
        <v>338</v>
      </c>
      <c r="B13" s="535" t="s">
        <v>334</v>
      </c>
      <c r="C13" s="536" t="s">
        <v>332</v>
      </c>
      <c r="D13" s="537" t="s">
        <v>43</v>
      </c>
      <c r="E13" s="537" t="s">
        <v>332</v>
      </c>
      <c r="F13" s="538" t="s">
        <v>332</v>
      </c>
      <c r="G13" s="539" t="s">
        <v>332</v>
      </c>
      <c r="H13" s="540" t="str">
        <f>CONCATENATE("+",RIGHT('Personal File'!$B$7,1)+RIGHT('Personal File'!$C$10)+D13)</f>
        <v>+9</v>
      </c>
      <c r="I13" s="541">
        <f t="shared" ca="1" si="0"/>
        <v>3</v>
      </c>
      <c r="J13" s="540">
        <f t="shared" ca="1" si="1"/>
        <v>12</v>
      </c>
      <c r="K13" s="542"/>
      <c r="L13" s="284"/>
      <c r="M13" s="511" t="s">
        <v>332</v>
      </c>
    </row>
    <row r="14" spans="1:13" x14ac:dyDescent="0.3">
      <c r="A14" s="534" t="s">
        <v>339</v>
      </c>
      <c r="B14" s="535" t="s">
        <v>334</v>
      </c>
      <c r="C14" s="536" t="s">
        <v>332</v>
      </c>
      <c r="D14" s="537" t="s">
        <v>43</v>
      </c>
      <c r="E14" s="537" t="s">
        <v>332</v>
      </c>
      <c r="F14" s="538" t="s">
        <v>332</v>
      </c>
      <c r="G14" s="539" t="s">
        <v>332</v>
      </c>
      <c r="H14" s="540" t="str">
        <f>CONCATENATE("+",'Personal File'!E3)</f>
        <v>+13</v>
      </c>
      <c r="I14" s="541">
        <f t="shared" ca="1" si="0"/>
        <v>17</v>
      </c>
      <c r="J14" s="540">
        <f t="shared" ca="1" si="1"/>
        <v>30</v>
      </c>
      <c r="K14" s="542"/>
      <c r="L14" s="284"/>
      <c r="M14" s="523" t="s">
        <v>332</v>
      </c>
    </row>
    <row r="15" spans="1:13" x14ac:dyDescent="0.3">
      <c r="A15" s="558" t="s">
        <v>467</v>
      </c>
      <c r="B15" s="559" t="s">
        <v>341</v>
      </c>
      <c r="C15" s="560">
        <v>2</v>
      </c>
      <c r="D15" s="561">
        <v>2</v>
      </c>
      <c r="E15" s="561" t="s">
        <v>326</v>
      </c>
      <c r="F15" s="562" t="s">
        <v>340</v>
      </c>
      <c r="G15" s="563">
        <v>4</v>
      </c>
      <c r="H15" s="564" t="str">
        <f>CONCATENATE("+",RIGHT('Personal File'!$B$7,1)+RIGHT('Personal File'!$C$10)+D15)</f>
        <v>+11</v>
      </c>
      <c r="I15" s="565">
        <f t="shared" ca="1" si="0"/>
        <v>17</v>
      </c>
      <c r="J15" s="566">
        <f t="shared" ca="1" si="1"/>
        <v>28</v>
      </c>
      <c r="K15" s="567" t="s">
        <v>328</v>
      </c>
      <c r="L15" s="284"/>
      <c r="M15" s="306">
        <v>8000</v>
      </c>
    </row>
    <row r="16" spans="1:13" ht="16.2" thickBot="1" x14ac:dyDescent="0.35">
      <c r="A16" s="309" t="s">
        <v>466</v>
      </c>
      <c r="B16" s="310" t="s">
        <v>341</v>
      </c>
      <c r="C16" s="311">
        <v>2</v>
      </c>
      <c r="D16" s="311">
        <v>2</v>
      </c>
      <c r="E16" s="310" t="s">
        <v>326</v>
      </c>
      <c r="F16" s="311" t="s">
        <v>340</v>
      </c>
      <c r="G16" s="555" t="s">
        <v>332</v>
      </c>
      <c r="H16" s="312" t="str">
        <f>CONCATENATE("+",RIGHT('Personal File'!$B$7,1)+RIGHT('Personal File'!$C$10)+D16-5)</f>
        <v>+6</v>
      </c>
      <c r="I16" s="307">
        <f t="shared" ca="1" si="0"/>
        <v>13</v>
      </c>
      <c r="J16" s="313">
        <f t="shared" ca="1" si="1"/>
        <v>19</v>
      </c>
      <c r="K16" s="578" t="s">
        <v>328</v>
      </c>
      <c r="L16" s="284"/>
      <c r="M16" s="556" t="s">
        <v>332</v>
      </c>
    </row>
    <row r="17" spans="1:13" ht="16.8" thickTop="1" thickBot="1" x14ac:dyDescent="0.35">
      <c r="A17" s="308"/>
      <c r="B17" s="308"/>
      <c r="C17" s="308"/>
      <c r="D17" s="315"/>
      <c r="E17" s="315"/>
      <c r="F17" s="308"/>
      <c r="G17" s="316"/>
      <c r="H17" s="316"/>
      <c r="I17" s="308"/>
      <c r="J17" s="316"/>
      <c r="K17" s="308"/>
      <c r="L17" s="284"/>
      <c r="M17" s="284"/>
    </row>
    <row r="18" spans="1:13" ht="16.8" thickTop="1" thickBot="1" x14ac:dyDescent="0.35">
      <c r="A18" s="285" t="s">
        <v>342</v>
      </c>
      <c r="B18" s="286" t="s">
        <v>343</v>
      </c>
      <c r="C18" s="286" t="s">
        <v>39</v>
      </c>
      <c r="D18" s="286" t="s">
        <v>35</v>
      </c>
      <c r="E18" s="286" t="s">
        <v>344</v>
      </c>
      <c r="F18" s="286" t="s">
        <v>345</v>
      </c>
      <c r="G18" s="286" t="s">
        <v>318</v>
      </c>
      <c r="H18" s="317" t="s">
        <v>36</v>
      </c>
      <c r="I18" s="318"/>
      <c r="J18" s="318"/>
      <c r="K18" s="319"/>
      <c r="L18" s="284"/>
      <c r="M18" s="291" t="s">
        <v>320</v>
      </c>
    </row>
    <row r="19" spans="1:13" x14ac:dyDescent="0.3">
      <c r="A19" s="320" t="s">
        <v>346</v>
      </c>
      <c r="B19" s="321">
        <v>9</v>
      </c>
      <c r="C19" s="322">
        <v>6</v>
      </c>
      <c r="D19" s="321">
        <v>0</v>
      </c>
      <c r="E19" s="323">
        <v>0.1</v>
      </c>
      <c r="F19" s="324" t="s">
        <v>255</v>
      </c>
      <c r="G19" s="325">
        <v>12.5</v>
      </c>
      <c r="H19" s="326" t="s">
        <v>347</v>
      </c>
      <c r="I19" s="327"/>
      <c r="J19" s="327"/>
      <c r="K19" s="328"/>
      <c r="L19" s="284"/>
      <c r="M19" s="329">
        <v>5000</v>
      </c>
    </row>
    <row r="20" spans="1:13" x14ac:dyDescent="0.3">
      <c r="A20" s="330" t="s">
        <v>348</v>
      </c>
      <c r="B20" s="303">
        <v>2</v>
      </c>
      <c r="C20" s="331" t="s">
        <v>332</v>
      </c>
      <c r="D20" s="303" t="s">
        <v>332</v>
      </c>
      <c r="E20" s="332" t="s">
        <v>332</v>
      </c>
      <c r="F20" s="333" t="s">
        <v>332</v>
      </c>
      <c r="G20" s="304">
        <v>0</v>
      </c>
      <c r="H20" s="334"/>
      <c r="I20" s="335"/>
      <c r="J20" s="335"/>
      <c r="K20" s="336"/>
      <c r="L20" s="284"/>
      <c r="M20" s="302">
        <v>2000</v>
      </c>
    </row>
    <row r="21" spans="1:13" x14ac:dyDescent="0.3">
      <c r="A21" s="514" t="s">
        <v>215</v>
      </c>
      <c r="B21" s="515" t="s">
        <v>512</v>
      </c>
      <c r="C21" s="516" t="s">
        <v>332</v>
      </c>
      <c r="D21" s="515" t="s">
        <v>332</v>
      </c>
      <c r="E21" s="517" t="s">
        <v>332</v>
      </c>
      <c r="F21" s="518" t="s">
        <v>332</v>
      </c>
      <c r="G21" s="519" t="s">
        <v>332</v>
      </c>
      <c r="H21" s="520"/>
      <c r="I21" s="521"/>
      <c r="J21" s="521"/>
      <c r="K21" s="522"/>
      <c r="L21" s="284"/>
      <c r="M21" s="523" t="s">
        <v>332</v>
      </c>
    </row>
    <row r="22" spans="1:13" ht="16.2" thickBot="1" x14ac:dyDescent="0.35">
      <c r="A22" s="337" t="s">
        <v>349</v>
      </c>
      <c r="B22" s="338" t="s">
        <v>350</v>
      </c>
      <c r="C22" s="339" t="s">
        <v>332</v>
      </c>
      <c r="D22" s="338" t="s">
        <v>332</v>
      </c>
      <c r="E22" s="340" t="s">
        <v>332</v>
      </c>
      <c r="F22" s="338" t="s">
        <v>332</v>
      </c>
      <c r="G22" s="341">
        <v>0</v>
      </c>
      <c r="H22" s="342"/>
      <c r="I22" s="343"/>
      <c r="J22" s="343"/>
      <c r="K22" s="344"/>
      <c r="L22" s="284"/>
      <c r="M22" s="345" t="s">
        <v>332</v>
      </c>
    </row>
    <row r="23" spans="1:13" ht="16.8" thickTop="1" thickBot="1" x14ac:dyDescent="0.35">
      <c r="A23" s="308"/>
      <c r="B23" s="308"/>
      <c r="C23" s="308"/>
      <c r="D23" s="308"/>
      <c r="E23" s="308"/>
      <c r="F23" s="308"/>
      <c r="G23" s="308"/>
      <c r="H23" s="308"/>
      <c r="I23" s="308"/>
      <c r="J23" s="308"/>
      <c r="K23" s="308"/>
      <c r="L23" s="284"/>
      <c r="M23" s="284"/>
    </row>
    <row r="24" spans="1:13" ht="16.8" thickTop="1" thickBot="1" x14ac:dyDescent="0.35">
      <c r="A24" s="308"/>
      <c r="B24" s="308"/>
      <c r="C24" s="308"/>
      <c r="D24" s="346" t="s">
        <v>352</v>
      </c>
      <c r="E24" s="347"/>
      <c r="F24" s="317" t="s">
        <v>353</v>
      </c>
      <c r="G24" s="286" t="s">
        <v>318</v>
      </c>
      <c r="H24" s="288" t="s">
        <v>319</v>
      </c>
      <c r="I24" s="317" t="s">
        <v>36</v>
      </c>
      <c r="J24" s="318"/>
      <c r="K24" s="319"/>
      <c r="L24" s="284"/>
      <c r="M24" s="291" t="s">
        <v>320</v>
      </c>
    </row>
    <row r="25" spans="1:13" x14ac:dyDescent="0.3">
      <c r="A25" s="308"/>
      <c r="B25" s="308"/>
      <c r="C25" s="308"/>
      <c r="D25" s="348" t="s">
        <v>354</v>
      </c>
      <c r="E25" s="349"/>
      <c r="F25" s="350">
        <v>2</v>
      </c>
      <c r="G25" s="325">
        <f t="shared" ref="G25" si="2">F25*0.1</f>
        <v>0.2</v>
      </c>
      <c r="H25" s="357" t="s">
        <v>16</v>
      </c>
      <c r="I25" s="351"/>
      <c r="J25" s="352"/>
      <c r="K25" s="353"/>
      <c r="L25" s="284"/>
      <c r="M25" s="329">
        <f t="shared" ref="M25:M27" si="3">100*F25</f>
        <v>200</v>
      </c>
    </row>
    <row r="26" spans="1:13" x14ac:dyDescent="0.3">
      <c r="A26" s="308"/>
      <c r="B26" s="308"/>
      <c r="C26" s="308"/>
      <c r="D26" s="354" t="s">
        <v>355</v>
      </c>
      <c r="E26" s="355"/>
      <c r="F26" s="356">
        <v>2</v>
      </c>
      <c r="G26" s="304">
        <f>F26*0.1</f>
        <v>0.2</v>
      </c>
      <c r="H26" s="357" t="s">
        <v>16</v>
      </c>
      <c r="I26" s="358"/>
      <c r="J26" s="359"/>
      <c r="K26" s="360"/>
      <c r="L26" s="284"/>
      <c r="M26" s="302">
        <f t="shared" si="3"/>
        <v>200</v>
      </c>
    </row>
    <row r="27" spans="1:13" x14ac:dyDescent="0.3">
      <c r="A27" s="308"/>
      <c r="B27" s="308"/>
      <c r="C27" s="308"/>
      <c r="D27" s="361" t="s">
        <v>356</v>
      </c>
      <c r="E27" s="355"/>
      <c r="F27" s="356">
        <v>2</v>
      </c>
      <c r="G27" s="304">
        <f t="shared" ref="G27:G28" si="4">F27*0.1</f>
        <v>0.2</v>
      </c>
      <c r="H27" s="357" t="s">
        <v>16</v>
      </c>
      <c r="I27" s="358"/>
      <c r="J27" s="359"/>
      <c r="K27" s="360"/>
      <c r="L27" s="284"/>
      <c r="M27" s="302">
        <f t="shared" si="3"/>
        <v>200</v>
      </c>
    </row>
    <row r="28" spans="1:13" x14ac:dyDescent="0.3">
      <c r="A28" s="308"/>
      <c r="B28" s="308"/>
      <c r="C28" s="308"/>
      <c r="D28" s="362" t="s">
        <v>357</v>
      </c>
      <c r="E28" s="355"/>
      <c r="F28" s="356">
        <v>20</v>
      </c>
      <c r="G28" s="304">
        <f t="shared" si="4"/>
        <v>2</v>
      </c>
      <c r="H28" s="357" t="s">
        <v>16</v>
      </c>
      <c r="I28" s="358"/>
      <c r="J28" s="359"/>
      <c r="K28" s="360"/>
      <c r="L28" s="284"/>
      <c r="M28" s="302">
        <v>0</v>
      </c>
    </row>
    <row r="29" spans="1:13" ht="16.2" thickBot="1" x14ac:dyDescent="0.35">
      <c r="A29" s="308"/>
      <c r="B29" s="308"/>
      <c r="C29" s="308"/>
      <c r="D29" s="363"/>
      <c r="E29" s="364"/>
      <c r="F29" s="365"/>
      <c r="G29" s="366"/>
      <c r="H29" s="367"/>
      <c r="I29" s="368"/>
      <c r="J29" s="369"/>
      <c r="K29" s="370"/>
      <c r="L29" s="284"/>
      <c r="M29" s="314"/>
    </row>
    <row r="30" spans="1:13" ht="16.8" thickTop="1" thickBot="1" x14ac:dyDescent="0.35">
      <c r="A30" s="308"/>
      <c r="B30" s="308"/>
      <c r="C30" s="308"/>
      <c r="D30" s="308"/>
      <c r="E30" s="308"/>
      <c r="F30" s="308"/>
      <c r="G30" s="308"/>
      <c r="H30" s="308"/>
      <c r="I30" s="308"/>
      <c r="J30" s="308"/>
      <c r="K30" s="308"/>
      <c r="L30" s="284"/>
      <c r="M30" s="284"/>
    </row>
    <row r="31" spans="1:13" ht="16.8" thickTop="1" thickBot="1" x14ac:dyDescent="0.35">
      <c r="A31" s="308"/>
      <c r="B31" s="308"/>
      <c r="C31" s="308"/>
      <c r="D31" s="346" t="s">
        <v>358</v>
      </c>
      <c r="E31" s="318"/>
      <c r="F31" s="318"/>
      <c r="G31" s="371" t="s">
        <v>353</v>
      </c>
      <c r="H31" s="371" t="s">
        <v>101</v>
      </c>
      <c r="I31" s="371" t="s">
        <v>359</v>
      </c>
      <c r="J31" s="372" t="s">
        <v>36</v>
      </c>
      <c r="K31" s="319"/>
      <c r="L31" s="284"/>
      <c r="M31" s="291" t="s">
        <v>320</v>
      </c>
    </row>
    <row r="32" spans="1:13" x14ac:dyDescent="0.3">
      <c r="A32" s="308"/>
      <c r="B32" s="308"/>
      <c r="C32" s="308"/>
      <c r="D32" s="373" t="s">
        <v>360</v>
      </c>
      <c r="E32" s="374"/>
      <c r="F32" s="374"/>
      <c r="G32" s="303">
        <v>0</v>
      </c>
      <c r="H32" s="303">
        <v>0</v>
      </c>
      <c r="I32" s="303">
        <v>1</v>
      </c>
      <c r="J32" s="356"/>
      <c r="K32" s="360"/>
      <c r="L32" s="284"/>
      <c r="M32" s="302">
        <f>G32*12</f>
        <v>0</v>
      </c>
    </row>
    <row r="33" spans="1:13" x14ac:dyDescent="0.3">
      <c r="A33" s="308"/>
      <c r="B33" s="308"/>
      <c r="C33" s="308"/>
      <c r="D33" s="373" t="s">
        <v>450</v>
      </c>
      <c r="E33" s="374"/>
      <c r="F33" s="374"/>
      <c r="G33" s="303">
        <v>1</v>
      </c>
      <c r="H33" s="303">
        <v>3</v>
      </c>
      <c r="I33" s="303">
        <v>5</v>
      </c>
      <c r="J33" s="543" t="s">
        <v>451</v>
      </c>
      <c r="K33" s="544"/>
      <c r="L33" s="284"/>
      <c r="M33" s="302">
        <v>10900</v>
      </c>
    </row>
    <row r="34" spans="1:13" x14ac:dyDescent="0.3">
      <c r="A34" s="308"/>
      <c r="B34" s="308"/>
      <c r="C34" s="308"/>
      <c r="D34" s="373" t="s">
        <v>478</v>
      </c>
      <c r="E34" s="374"/>
      <c r="F34" s="374"/>
      <c r="G34" s="303">
        <v>1</v>
      </c>
      <c r="H34" s="303">
        <v>0</v>
      </c>
      <c r="I34" s="303">
        <v>1</v>
      </c>
      <c r="J34" s="356"/>
      <c r="K34" s="360"/>
      <c r="L34" s="284"/>
      <c r="M34" s="302">
        <f>G34*12</f>
        <v>12</v>
      </c>
    </row>
    <row r="35" spans="1:13" x14ac:dyDescent="0.3">
      <c r="A35" s="308"/>
      <c r="B35" s="308"/>
      <c r="C35" s="308"/>
      <c r="D35" s="373" t="s">
        <v>524</v>
      </c>
      <c r="E35" s="374"/>
      <c r="F35" s="374"/>
      <c r="G35" s="303">
        <v>2</v>
      </c>
      <c r="H35" s="303">
        <v>5</v>
      </c>
      <c r="I35" s="303">
        <v>9</v>
      </c>
      <c r="J35" s="356"/>
      <c r="K35" s="360"/>
      <c r="L35" s="284"/>
      <c r="M35" s="302">
        <f t="shared" ref="M35" si="5">25*G35*H35*I35</f>
        <v>2250</v>
      </c>
    </row>
    <row r="36" spans="1:13" x14ac:dyDescent="0.3">
      <c r="A36" s="308"/>
      <c r="B36" s="308"/>
      <c r="C36" s="308"/>
      <c r="D36" s="373" t="s">
        <v>361</v>
      </c>
      <c r="E36" s="374"/>
      <c r="F36" s="374"/>
      <c r="G36" s="303">
        <v>1</v>
      </c>
      <c r="H36" s="303">
        <v>0</v>
      </c>
      <c r="I36" s="303">
        <v>1</v>
      </c>
      <c r="J36" s="356"/>
      <c r="K36" s="360"/>
      <c r="L36" s="284"/>
      <c r="M36" s="302">
        <f>G36*12</f>
        <v>12</v>
      </c>
    </row>
    <row r="37" spans="1:13" x14ac:dyDescent="0.3">
      <c r="A37" s="308"/>
      <c r="B37" s="308"/>
      <c r="C37" s="308"/>
      <c r="D37" s="373" t="s">
        <v>362</v>
      </c>
      <c r="E37" s="374"/>
      <c r="F37" s="374"/>
      <c r="G37" s="303">
        <v>1</v>
      </c>
      <c r="H37" s="303">
        <v>0</v>
      </c>
      <c r="I37" s="303">
        <v>1</v>
      </c>
      <c r="J37" s="356"/>
      <c r="K37" s="360"/>
      <c r="L37" s="284"/>
      <c r="M37" s="302">
        <f>G37*12</f>
        <v>12</v>
      </c>
    </row>
    <row r="38" spans="1:13" x14ac:dyDescent="0.3">
      <c r="A38" s="308"/>
      <c r="B38" s="308"/>
      <c r="C38" s="308"/>
      <c r="D38" s="373" t="s">
        <v>363</v>
      </c>
      <c r="E38" s="374"/>
      <c r="F38" s="374"/>
      <c r="G38" s="303">
        <v>1</v>
      </c>
      <c r="H38" s="303">
        <v>1</v>
      </c>
      <c r="I38" s="303">
        <v>1</v>
      </c>
      <c r="J38" s="356"/>
      <c r="K38" s="360"/>
      <c r="L38" s="284"/>
      <c r="M38" s="302">
        <f t="shared" ref="M38:M53" si="6">25*G38*H38*I38</f>
        <v>25</v>
      </c>
    </row>
    <row r="39" spans="1:13" x14ac:dyDescent="0.3">
      <c r="A39" s="308"/>
      <c r="B39" s="308"/>
      <c r="C39" s="308"/>
      <c r="D39" s="373" t="s">
        <v>364</v>
      </c>
      <c r="E39" s="374"/>
      <c r="F39" s="374"/>
      <c r="G39" s="303">
        <v>1</v>
      </c>
      <c r="H39" s="303">
        <v>1</v>
      </c>
      <c r="I39" s="303">
        <v>1</v>
      </c>
      <c r="J39" s="356"/>
      <c r="K39" s="360"/>
      <c r="L39" s="284"/>
      <c r="M39" s="302">
        <f t="shared" si="6"/>
        <v>25</v>
      </c>
    </row>
    <row r="40" spans="1:13" x14ac:dyDescent="0.3">
      <c r="A40" s="308"/>
      <c r="B40" s="308"/>
      <c r="C40" s="308"/>
      <c r="D40" s="373" t="s">
        <v>365</v>
      </c>
      <c r="E40" s="374"/>
      <c r="F40" s="374"/>
      <c r="G40" s="303">
        <v>1</v>
      </c>
      <c r="H40" s="303">
        <v>1</v>
      </c>
      <c r="I40" s="303">
        <v>1</v>
      </c>
      <c r="J40" s="356"/>
      <c r="K40" s="360"/>
      <c r="L40" s="284"/>
      <c r="M40" s="302">
        <f t="shared" si="6"/>
        <v>25</v>
      </c>
    </row>
    <row r="41" spans="1:13" x14ac:dyDescent="0.3">
      <c r="A41" s="308"/>
      <c r="B41" s="308"/>
      <c r="C41" s="308"/>
      <c r="D41" s="373" t="s">
        <v>367</v>
      </c>
      <c r="E41" s="374"/>
      <c r="F41" s="374"/>
      <c r="G41" s="303">
        <v>0</v>
      </c>
      <c r="H41" s="303">
        <v>1</v>
      </c>
      <c r="I41" s="303">
        <v>1</v>
      </c>
      <c r="J41" s="356"/>
      <c r="K41" s="360"/>
      <c r="L41" s="284"/>
      <c r="M41" s="302">
        <f t="shared" si="6"/>
        <v>0</v>
      </c>
    </row>
    <row r="42" spans="1:13" x14ac:dyDescent="0.3">
      <c r="A42" s="308"/>
      <c r="B42" s="308"/>
      <c r="C42" s="308"/>
      <c r="D42" s="373" t="s">
        <v>368</v>
      </c>
      <c r="E42" s="374"/>
      <c r="F42" s="374"/>
      <c r="G42" s="303">
        <v>0</v>
      </c>
      <c r="H42" s="303">
        <v>1</v>
      </c>
      <c r="I42" s="303">
        <v>1</v>
      </c>
      <c r="J42" s="356"/>
      <c r="K42" s="360"/>
      <c r="L42" s="284"/>
      <c r="M42" s="302">
        <f t="shared" si="6"/>
        <v>0</v>
      </c>
    </row>
    <row r="43" spans="1:13" x14ac:dyDescent="0.3">
      <c r="A43" s="308"/>
      <c r="B43" s="308"/>
      <c r="C43" s="308"/>
      <c r="D43" s="373" t="s">
        <v>369</v>
      </c>
      <c r="E43" s="374"/>
      <c r="F43" s="374"/>
      <c r="G43" s="303">
        <v>1</v>
      </c>
      <c r="H43" s="303">
        <v>1</v>
      </c>
      <c r="I43" s="303">
        <v>1</v>
      </c>
      <c r="J43" s="356"/>
      <c r="K43" s="360"/>
      <c r="L43" s="284"/>
      <c r="M43" s="302">
        <f t="shared" si="6"/>
        <v>25</v>
      </c>
    </row>
    <row r="44" spans="1:13" x14ac:dyDescent="0.3">
      <c r="A44" s="308"/>
      <c r="B44" s="308"/>
      <c r="C44" s="308"/>
      <c r="D44" s="373" t="s">
        <v>370</v>
      </c>
      <c r="E44" s="374"/>
      <c r="F44" s="374"/>
      <c r="G44" s="303">
        <v>0</v>
      </c>
      <c r="H44" s="303">
        <v>1</v>
      </c>
      <c r="I44" s="303">
        <v>1</v>
      </c>
      <c r="J44" s="356"/>
      <c r="K44" s="360"/>
      <c r="L44" s="284"/>
      <c r="M44" s="302">
        <f t="shared" si="6"/>
        <v>0</v>
      </c>
    </row>
    <row r="45" spans="1:13" x14ac:dyDescent="0.3">
      <c r="A45" s="308"/>
      <c r="B45" s="308"/>
      <c r="C45" s="308"/>
      <c r="D45" s="373" t="s">
        <v>371</v>
      </c>
      <c r="E45" s="374"/>
      <c r="F45" s="374"/>
      <c r="G45" s="303">
        <v>0</v>
      </c>
      <c r="H45" s="303">
        <v>1</v>
      </c>
      <c r="I45" s="303">
        <v>5</v>
      </c>
      <c r="J45" s="356"/>
      <c r="K45" s="360"/>
      <c r="L45" s="284"/>
      <c r="M45" s="302">
        <f t="shared" si="6"/>
        <v>0</v>
      </c>
    </row>
    <row r="46" spans="1:13" x14ac:dyDescent="0.3">
      <c r="A46" s="308"/>
      <c r="B46" s="308"/>
      <c r="C46" s="308"/>
      <c r="D46" s="373" t="s">
        <v>372</v>
      </c>
      <c r="E46" s="374"/>
      <c r="F46" s="374"/>
      <c r="G46" s="303">
        <v>1</v>
      </c>
      <c r="H46" s="303">
        <v>1</v>
      </c>
      <c r="I46" s="303">
        <v>1</v>
      </c>
      <c r="J46" s="356"/>
      <c r="K46" s="360"/>
      <c r="L46" s="284"/>
      <c r="M46" s="302">
        <f t="shared" si="6"/>
        <v>25</v>
      </c>
    </row>
    <row r="47" spans="1:13" x14ac:dyDescent="0.3">
      <c r="A47" s="308"/>
      <c r="B47" s="308"/>
      <c r="C47" s="308"/>
      <c r="D47" s="373" t="s">
        <v>373</v>
      </c>
      <c r="E47" s="374"/>
      <c r="F47" s="374"/>
      <c r="G47" s="303">
        <v>0</v>
      </c>
      <c r="H47" s="303">
        <v>1</v>
      </c>
      <c r="I47" s="303">
        <v>1</v>
      </c>
      <c r="J47" s="356"/>
      <c r="K47" s="360"/>
      <c r="L47" s="284"/>
      <c r="M47" s="302">
        <f t="shared" si="6"/>
        <v>0</v>
      </c>
    </row>
    <row r="48" spans="1:13" x14ac:dyDescent="0.3">
      <c r="A48" s="308"/>
      <c r="B48" s="308"/>
      <c r="C48" s="308"/>
      <c r="D48" s="373" t="s">
        <v>374</v>
      </c>
      <c r="E48" s="374"/>
      <c r="F48" s="374"/>
      <c r="G48" s="303">
        <v>0</v>
      </c>
      <c r="H48" s="303">
        <v>2</v>
      </c>
      <c r="I48" s="303">
        <v>3</v>
      </c>
      <c r="J48" s="356"/>
      <c r="K48" s="360"/>
      <c r="L48" s="284"/>
      <c r="M48" s="302">
        <f t="shared" si="6"/>
        <v>0</v>
      </c>
    </row>
    <row r="49" spans="1:13" x14ac:dyDescent="0.3">
      <c r="A49" s="308"/>
      <c r="B49" s="308"/>
      <c r="C49" s="308"/>
      <c r="D49" s="373" t="s">
        <v>375</v>
      </c>
      <c r="E49" s="374"/>
      <c r="F49" s="374"/>
      <c r="G49" s="303">
        <v>1</v>
      </c>
      <c r="H49" s="303">
        <v>2</v>
      </c>
      <c r="I49" s="303">
        <v>3</v>
      </c>
      <c r="J49" s="356"/>
      <c r="K49" s="360"/>
      <c r="L49" s="284"/>
      <c r="M49" s="302">
        <f t="shared" si="6"/>
        <v>150</v>
      </c>
    </row>
    <row r="50" spans="1:13" x14ac:dyDescent="0.3">
      <c r="A50" s="308"/>
      <c r="B50" s="308"/>
      <c r="C50" s="308"/>
      <c r="D50" s="373" t="s">
        <v>376</v>
      </c>
      <c r="E50" s="374"/>
      <c r="F50" s="374"/>
      <c r="G50" s="303">
        <v>1</v>
      </c>
      <c r="H50" s="303">
        <v>2</v>
      </c>
      <c r="I50" s="303">
        <v>3</v>
      </c>
      <c r="J50" s="356"/>
      <c r="K50" s="360"/>
      <c r="L50" s="284"/>
      <c r="M50" s="302">
        <f t="shared" si="6"/>
        <v>150</v>
      </c>
    </row>
    <row r="51" spans="1:13" x14ac:dyDescent="0.3">
      <c r="A51" s="308"/>
      <c r="B51" s="308"/>
      <c r="C51" s="308"/>
      <c r="D51" s="373" t="s">
        <v>377</v>
      </c>
      <c r="E51" s="374"/>
      <c r="F51" s="374"/>
      <c r="G51" s="303">
        <v>1</v>
      </c>
      <c r="H51" s="303">
        <v>2</v>
      </c>
      <c r="I51" s="303">
        <v>3</v>
      </c>
      <c r="J51" s="356"/>
      <c r="K51" s="360"/>
      <c r="L51" s="284"/>
      <c r="M51" s="302">
        <f t="shared" si="6"/>
        <v>150</v>
      </c>
    </row>
    <row r="52" spans="1:13" x14ac:dyDescent="0.3">
      <c r="A52" s="308"/>
      <c r="B52" s="308"/>
      <c r="C52" s="308"/>
      <c r="D52" s="373" t="s">
        <v>378</v>
      </c>
      <c r="E52" s="374"/>
      <c r="F52" s="374"/>
      <c r="G52" s="303">
        <v>1</v>
      </c>
      <c r="H52" s="303">
        <v>2</v>
      </c>
      <c r="I52" s="303">
        <v>4</v>
      </c>
      <c r="J52" s="356"/>
      <c r="K52" s="360"/>
      <c r="L52" s="284"/>
      <c r="M52" s="302">
        <f t="shared" si="6"/>
        <v>200</v>
      </c>
    </row>
    <row r="53" spans="1:13" x14ac:dyDescent="0.3">
      <c r="A53" s="308"/>
      <c r="B53" s="308"/>
      <c r="C53" s="308"/>
      <c r="D53" s="373" t="s">
        <v>366</v>
      </c>
      <c r="E53" s="374"/>
      <c r="F53" s="374"/>
      <c r="G53" s="303">
        <v>1</v>
      </c>
      <c r="H53" s="303">
        <v>3</v>
      </c>
      <c r="I53" s="303">
        <v>6</v>
      </c>
      <c r="J53" s="356"/>
      <c r="K53" s="360"/>
      <c r="L53" s="284"/>
      <c r="M53" s="302">
        <f t="shared" si="6"/>
        <v>450</v>
      </c>
    </row>
    <row r="54" spans="1:13" ht="16.2" thickBot="1" x14ac:dyDescent="0.35">
      <c r="A54" s="308"/>
      <c r="B54" s="308"/>
      <c r="C54" s="308"/>
      <c r="D54" s="375" t="s">
        <v>379</v>
      </c>
      <c r="E54" s="376"/>
      <c r="F54" s="376"/>
      <c r="G54" s="377">
        <v>1</v>
      </c>
      <c r="H54" s="377">
        <v>2</v>
      </c>
      <c r="I54" s="377">
        <v>4</v>
      </c>
      <c r="J54" s="365" t="s">
        <v>510</v>
      </c>
      <c r="K54" s="370"/>
      <c r="L54" s="284"/>
      <c r="M54" s="314">
        <f>25*G54*H54*I54*LEFT(J54,2)</f>
        <v>1200</v>
      </c>
    </row>
    <row r="55" spans="1:13" ht="16.2" thickTop="1" x14ac:dyDescent="0.3"/>
  </sheetData>
  <sortState xmlns:xlrd2="http://schemas.microsoft.com/office/spreadsheetml/2017/richdata2" ref="D28:M49">
    <sortCondition ref="H28:H49"/>
    <sortCondition ref="D28:D49"/>
  </sortState>
  <conditionalFormatting sqref="G32:G54">
    <cfRule type="cellIs" dxfId="8" priority="9" operator="equal">
      <formula>0</formula>
    </cfRule>
  </conditionalFormatting>
  <conditionalFormatting sqref="I3:I8">
    <cfRule type="cellIs" dxfId="7" priority="10" operator="equal">
      <formula>20</formula>
    </cfRule>
    <cfRule type="cellIs" dxfId="6" priority="11" operator="equal">
      <formula>1</formula>
    </cfRule>
  </conditionalFormatting>
  <conditionalFormatting sqref="I5:I7 I15">
    <cfRule type="cellIs" dxfId="5" priority="1" operator="equal">
      <formula>19</formula>
    </cfRule>
  </conditionalFormatting>
  <conditionalFormatting sqref="I11:I16">
    <cfRule type="cellIs" dxfId="4" priority="2" operator="equal">
      <formula>20</formula>
    </cfRule>
    <cfRule type="cellIs" dxfId="3" priority="3" operator="equal">
      <formula>1</formula>
    </cfRule>
  </conditionalFormatting>
  <pageMargins left="0.7" right="0.7" top="0.75" bottom="0.75" header="0.3" footer="0.3"/>
  <pageSetup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2"/>
  <sheetViews>
    <sheetView showGridLines="0" workbookViewId="0"/>
  </sheetViews>
  <sheetFormatPr defaultRowHeight="15.6" x14ac:dyDescent="0.3"/>
  <cols>
    <col min="1" max="1" width="23.5" bestFit="1" customWidth="1"/>
    <col min="2" max="2" width="4.69921875" bestFit="1" customWidth="1"/>
    <col min="3" max="3" width="5.3984375" bestFit="1" customWidth="1"/>
    <col min="4" max="5" width="25.5" customWidth="1"/>
    <col min="6" max="6" width="2.796875" customWidth="1"/>
    <col min="7" max="7" width="8.296875" bestFit="1" customWidth="1"/>
  </cols>
  <sheetData>
    <row r="1" spans="1:7" ht="23.4" thickBot="1" x14ac:dyDescent="0.35">
      <c r="A1" s="283" t="s">
        <v>380</v>
      </c>
      <c r="B1" s="283"/>
      <c r="C1" s="379"/>
      <c r="D1" s="283"/>
      <c r="E1" s="283"/>
      <c r="F1" s="284"/>
      <c r="G1" s="284"/>
    </row>
    <row r="2" spans="1:7" ht="16.8" thickTop="1" thickBot="1" x14ac:dyDescent="0.35">
      <c r="A2" s="380" t="s">
        <v>381</v>
      </c>
      <c r="B2" s="380" t="s">
        <v>353</v>
      </c>
      <c r="C2" s="381" t="s">
        <v>318</v>
      </c>
      <c r="D2" s="382" t="s">
        <v>382</v>
      </c>
      <c r="E2" s="383" t="s">
        <v>36</v>
      </c>
      <c r="F2" s="284"/>
      <c r="G2" s="384" t="s">
        <v>320</v>
      </c>
    </row>
    <row r="3" spans="1:7" x14ac:dyDescent="0.3">
      <c r="A3" s="490" t="s">
        <v>384</v>
      </c>
      <c r="B3" s="406">
        <v>1</v>
      </c>
      <c r="C3" s="393">
        <v>0</v>
      </c>
      <c r="D3" s="492"/>
      <c r="E3" s="579"/>
      <c r="F3" s="284"/>
      <c r="G3" s="396">
        <v>9000</v>
      </c>
    </row>
    <row r="4" spans="1:7" x14ac:dyDescent="0.3">
      <c r="A4" s="490" t="s">
        <v>475</v>
      </c>
      <c r="B4" s="491">
        <v>1</v>
      </c>
      <c r="C4" s="393" t="s">
        <v>476</v>
      </c>
      <c r="D4" s="492"/>
      <c r="E4" s="579"/>
      <c r="F4" s="284"/>
      <c r="G4" s="408" t="s">
        <v>332</v>
      </c>
    </row>
    <row r="5" spans="1:7" x14ac:dyDescent="0.3">
      <c r="A5" s="490" t="s">
        <v>440</v>
      </c>
      <c r="B5" s="491">
        <v>1</v>
      </c>
      <c r="C5" s="393">
        <v>1</v>
      </c>
      <c r="D5" s="492"/>
      <c r="E5" s="395"/>
      <c r="F5" s="308"/>
      <c r="G5" s="396">
        <v>2000</v>
      </c>
    </row>
    <row r="6" spans="1:7" x14ac:dyDescent="0.3">
      <c r="A6" s="391" t="s">
        <v>438</v>
      </c>
      <c r="B6" s="392">
        <v>1</v>
      </c>
      <c r="C6" s="407">
        <v>0</v>
      </c>
      <c r="D6" s="488" t="s">
        <v>439</v>
      </c>
      <c r="E6" s="486"/>
      <c r="F6" s="284"/>
      <c r="G6" s="487">
        <v>1000</v>
      </c>
    </row>
    <row r="7" spans="1:7" ht="16.2" x14ac:dyDescent="0.3">
      <c r="A7" s="391" t="s">
        <v>443</v>
      </c>
      <c r="B7" s="392">
        <v>1</v>
      </c>
      <c r="C7" s="407">
        <v>0.25</v>
      </c>
      <c r="D7" s="488" t="s">
        <v>444</v>
      </c>
      <c r="E7" s="486"/>
      <c r="F7" s="284"/>
      <c r="G7" s="487">
        <v>6000</v>
      </c>
    </row>
    <row r="8" spans="1:7" x14ac:dyDescent="0.3">
      <c r="A8" s="391" t="s">
        <v>474</v>
      </c>
      <c r="B8" s="582">
        <v>1</v>
      </c>
      <c r="C8" s="407">
        <f>10/4</f>
        <v>2.5</v>
      </c>
      <c r="D8" s="485"/>
      <c r="E8" s="486"/>
      <c r="F8" s="284"/>
      <c r="G8" s="487">
        <v>8</v>
      </c>
    </row>
    <row r="9" spans="1:7" x14ac:dyDescent="0.3">
      <c r="A9" s="391" t="s">
        <v>427</v>
      </c>
      <c r="B9" s="392">
        <v>1</v>
      </c>
      <c r="C9" s="407">
        <v>0</v>
      </c>
      <c r="D9" s="485"/>
      <c r="E9" s="486"/>
      <c r="F9" s="284"/>
      <c r="G9" s="487">
        <v>4000</v>
      </c>
    </row>
    <row r="10" spans="1:7" x14ac:dyDescent="0.3">
      <c r="A10" s="391" t="s">
        <v>428</v>
      </c>
      <c r="B10" s="392">
        <v>1</v>
      </c>
      <c r="C10" s="407">
        <v>0</v>
      </c>
      <c r="D10" s="488" t="s">
        <v>429</v>
      </c>
      <c r="E10" s="486"/>
      <c r="F10" s="284"/>
      <c r="G10" s="487">
        <f>8000*B10</f>
        <v>8000</v>
      </c>
    </row>
    <row r="11" spans="1:7" x14ac:dyDescent="0.3">
      <c r="A11" s="391" t="s">
        <v>434</v>
      </c>
      <c r="B11" s="392">
        <v>1</v>
      </c>
      <c r="C11" s="393">
        <v>0</v>
      </c>
      <c r="D11" s="409" t="s">
        <v>435</v>
      </c>
      <c r="E11" s="395" t="s">
        <v>479</v>
      </c>
      <c r="F11" s="284"/>
      <c r="G11" s="583">
        <v>7500</v>
      </c>
    </row>
    <row r="12" spans="1:7" ht="16.2" thickBot="1" x14ac:dyDescent="0.35">
      <c r="A12" s="398" t="s">
        <v>383</v>
      </c>
      <c r="B12" s="399">
        <v>2</v>
      </c>
      <c r="C12" s="400">
        <f>0.25*B12</f>
        <v>0.5</v>
      </c>
      <c r="D12" s="401"/>
      <c r="E12" s="402"/>
      <c r="F12" s="284"/>
      <c r="G12" s="411"/>
    </row>
    <row r="13" spans="1:7" ht="24" thickTop="1" thickBot="1" x14ac:dyDescent="0.35">
      <c r="A13" s="283" t="s">
        <v>385</v>
      </c>
      <c r="B13" s="283"/>
      <c r="C13" s="403"/>
      <c r="D13" s="283"/>
      <c r="E13" s="404"/>
      <c r="F13" s="284"/>
      <c r="G13" s="284"/>
    </row>
    <row r="14" spans="1:7" ht="16.8" thickTop="1" thickBot="1" x14ac:dyDescent="0.35">
      <c r="A14" s="380" t="s">
        <v>381</v>
      </c>
      <c r="B14" s="380" t="s">
        <v>353</v>
      </c>
      <c r="C14" s="381" t="s">
        <v>318</v>
      </c>
      <c r="D14" s="382" t="s">
        <v>382</v>
      </c>
      <c r="E14" s="383" t="s">
        <v>36</v>
      </c>
      <c r="G14" s="384" t="s">
        <v>320</v>
      </c>
    </row>
    <row r="15" spans="1:7" x14ac:dyDescent="0.3">
      <c r="A15" s="385" t="s">
        <v>473</v>
      </c>
      <c r="B15" s="405">
        <v>11</v>
      </c>
      <c r="C15" s="387">
        <f>2*B15</f>
        <v>22</v>
      </c>
      <c r="D15" s="388"/>
      <c r="E15" s="389"/>
      <c r="F15" s="284"/>
      <c r="G15" s="487">
        <f>50*B15</f>
        <v>550</v>
      </c>
    </row>
    <row r="16" spans="1:7" x14ac:dyDescent="0.3">
      <c r="A16" s="391" t="s">
        <v>430</v>
      </c>
      <c r="B16" s="406">
        <v>1</v>
      </c>
      <c r="C16" s="393">
        <v>3</v>
      </c>
      <c r="D16" s="409" t="s">
        <v>432</v>
      </c>
      <c r="E16" s="580" t="s">
        <v>448</v>
      </c>
      <c r="F16" s="284"/>
      <c r="G16" s="396">
        <v>2800</v>
      </c>
    </row>
    <row r="17" spans="1:7" x14ac:dyDescent="0.3">
      <c r="A17" s="391" t="s">
        <v>436</v>
      </c>
      <c r="B17" s="406">
        <v>1</v>
      </c>
      <c r="C17" s="393">
        <v>1</v>
      </c>
      <c r="D17" s="394" t="s">
        <v>437</v>
      </c>
      <c r="E17" s="395"/>
      <c r="F17" s="284"/>
      <c r="G17" s="487">
        <v>9000</v>
      </c>
    </row>
    <row r="18" spans="1:7" x14ac:dyDescent="0.3">
      <c r="A18" s="391" t="s">
        <v>387</v>
      </c>
      <c r="B18" s="406">
        <v>1</v>
      </c>
      <c r="C18" s="393">
        <v>5</v>
      </c>
      <c r="D18" s="394"/>
      <c r="E18" s="395"/>
      <c r="F18" s="284"/>
      <c r="G18" s="408"/>
    </row>
    <row r="19" spans="1:7" x14ac:dyDescent="0.3">
      <c r="A19" s="391" t="s">
        <v>389</v>
      </c>
      <c r="B19" s="406">
        <v>1</v>
      </c>
      <c r="C19" s="393">
        <v>0.5</v>
      </c>
      <c r="D19" s="409"/>
      <c r="E19" s="395"/>
      <c r="F19" s="284"/>
      <c r="G19" s="581"/>
    </row>
    <row r="20" spans="1:7" x14ac:dyDescent="0.3">
      <c r="A20" s="391" t="s">
        <v>386</v>
      </c>
      <c r="B20" s="406">
        <v>1</v>
      </c>
      <c r="C20" s="393">
        <f>B20</f>
        <v>1</v>
      </c>
      <c r="D20" s="394"/>
      <c r="E20" s="395"/>
      <c r="F20" s="284"/>
      <c r="G20" s="581"/>
    </row>
    <row r="21" spans="1:7" x14ac:dyDescent="0.3">
      <c r="A21" s="391" t="s">
        <v>431</v>
      </c>
      <c r="B21" s="406">
        <v>1</v>
      </c>
      <c r="C21" s="393">
        <v>1</v>
      </c>
      <c r="D21" s="394" t="s">
        <v>433</v>
      </c>
      <c r="E21" s="395"/>
      <c r="F21" s="284"/>
      <c r="G21" s="396">
        <v>1500</v>
      </c>
    </row>
    <row r="22" spans="1:7" x14ac:dyDescent="0.3">
      <c r="A22" s="391" t="s">
        <v>388</v>
      </c>
      <c r="B22" s="406">
        <v>10</v>
      </c>
      <c r="C22" s="393">
        <f>B22*0.5</f>
        <v>5</v>
      </c>
      <c r="D22" s="394"/>
      <c r="E22" s="395"/>
      <c r="F22" s="284"/>
      <c r="G22" s="397"/>
    </row>
    <row r="23" spans="1:7" ht="16.2" thickBot="1" x14ac:dyDescent="0.35">
      <c r="A23" s="398" t="s">
        <v>390</v>
      </c>
      <c r="B23" s="410">
        <v>1</v>
      </c>
      <c r="C23" s="400">
        <v>2</v>
      </c>
      <c r="D23" s="401"/>
      <c r="E23" s="402"/>
      <c r="F23" s="284"/>
      <c r="G23" s="411"/>
    </row>
    <row r="24" spans="1:7" ht="22.8" thickTop="1" thickBot="1" x14ac:dyDescent="0.35">
      <c r="A24" s="587"/>
      <c r="B24" s="587"/>
      <c r="C24" s="587"/>
      <c r="D24" s="589" t="s">
        <v>513</v>
      </c>
      <c r="E24" s="588"/>
      <c r="F24" s="308"/>
      <c r="G24" s="308">
        <v>2000</v>
      </c>
    </row>
    <row r="25" spans="1:7" ht="16.8" thickTop="1" thickBot="1" x14ac:dyDescent="0.35">
      <c r="A25" s="380" t="s">
        <v>381</v>
      </c>
      <c r="B25" s="380" t="s">
        <v>353</v>
      </c>
      <c r="C25" s="381" t="s">
        <v>318</v>
      </c>
      <c r="D25" s="382" t="s">
        <v>382</v>
      </c>
      <c r="E25" s="383" t="s">
        <v>36</v>
      </c>
      <c r="F25" s="308"/>
      <c r="G25" s="384" t="s">
        <v>320</v>
      </c>
    </row>
    <row r="26" spans="1:7" x14ac:dyDescent="0.3">
      <c r="A26" s="590" t="s">
        <v>519</v>
      </c>
      <c r="B26" s="591" t="s">
        <v>518</v>
      </c>
      <c r="C26" s="592">
        <v>8</v>
      </c>
      <c r="D26" s="593"/>
      <c r="E26" s="579"/>
      <c r="F26" s="308"/>
      <c r="G26" s="396" t="s">
        <v>514</v>
      </c>
    </row>
    <row r="27" spans="1:7" x14ac:dyDescent="0.3">
      <c r="A27" s="590" t="s">
        <v>516</v>
      </c>
      <c r="B27" s="591" t="s">
        <v>518</v>
      </c>
      <c r="C27" s="592">
        <v>16</v>
      </c>
      <c r="D27" s="593"/>
      <c r="E27" s="579"/>
      <c r="F27" s="308"/>
      <c r="G27" s="396" t="s">
        <v>514</v>
      </c>
    </row>
    <row r="28" spans="1:7" x14ac:dyDescent="0.3">
      <c r="A28" s="590" t="s">
        <v>515</v>
      </c>
      <c r="B28" s="591" t="s">
        <v>518</v>
      </c>
      <c r="C28" s="592">
        <v>22</v>
      </c>
      <c r="D28" s="593"/>
      <c r="E28" s="579"/>
      <c r="F28" s="308"/>
      <c r="G28" s="396" t="s">
        <v>514</v>
      </c>
    </row>
    <row r="29" spans="1:7" x14ac:dyDescent="0.3">
      <c r="A29" s="594" t="s">
        <v>520</v>
      </c>
      <c r="B29" s="591" t="s">
        <v>518</v>
      </c>
      <c r="C29" s="407">
        <v>6</v>
      </c>
      <c r="D29" s="485"/>
      <c r="E29" s="486"/>
      <c r="F29" s="308"/>
      <c r="G29" s="583" t="s">
        <v>514</v>
      </c>
    </row>
    <row r="30" spans="1:7" x14ac:dyDescent="0.3">
      <c r="A30" s="594" t="s">
        <v>522</v>
      </c>
      <c r="B30" s="591" t="s">
        <v>518</v>
      </c>
      <c r="C30" s="407">
        <v>10</v>
      </c>
      <c r="D30" s="485"/>
      <c r="E30" s="486"/>
      <c r="F30" s="308"/>
      <c r="G30" s="583" t="s">
        <v>514</v>
      </c>
    </row>
    <row r="31" spans="1:7" x14ac:dyDescent="0.3">
      <c r="A31" s="594" t="s">
        <v>521</v>
      </c>
      <c r="B31" s="591" t="s">
        <v>518</v>
      </c>
      <c r="C31" s="407">
        <v>1</v>
      </c>
      <c r="D31" s="485"/>
      <c r="E31" s="486"/>
      <c r="F31" s="308"/>
      <c r="G31" s="583" t="s">
        <v>514</v>
      </c>
    </row>
    <row r="32" spans="1:7" x14ac:dyDescent="0.3">
      <c r="A32" s="594" t="s">
        <v>517</v>
      </c>
      <c r="B32" s="591" t="s">
        <v>518</v>
      </c>
      <c r="C32" s="407">
        <v>2</v>
      </c>
      <c r="D32" s="485"/>
      <c r="E32" s="486"/>
      <c r="F32" s="308"/>
      <c r="G32" s="583" t="s">
        <v>514</v>
      </c>
    </row>
    <row r="33" spans="1:7" ht="16.2" thickBot="1" x14ac:dyDescent="0.35">
      <c r="A33" s="595" t="s">
        <v>523</v>
      </c>
      <c r="B33" s="596" t="s">
        <v>518</v>
      </c>
      <c r="C33" s="400">
        <v>12</v>
      </c>
      <c r="D33" s="597"/>
      <c r="E33" s="402"/>
      <c r="F33" s="308"/>
      <c r="G33" s="598" t="s">
        <v>514</v>
      </c>
    </row>
    <row r="34" spans="1:7" ht="24" thickTop="1" thickBot="1" x14ac:dyDescent="0.35">
      <c r="A34" s="143"/>
      <c r="B34" s="143"/>
      <c r="C34" s="316"/>
      <c r="D34" s="412" t="s">
        <v>407</v>
      </c>
      <c r="E34" s="404"/>
      <c r="F34" s="284"/>
      <c r="G34" s="284"/>
    </row>
    <row r="35" spans="1:7" ht="16.8" thickTop="1" thickBot="1" x14ac:dyDescent="0.35">
      <c r="A35" s="380" t="s">
        <v>381</v>
      </c>
      <c r="B35" s="380" t="s">
        <v>353</v>
      </c>
      <c r="C35" s="381" t="s">
        <v>318</v>
      </c>
      <c r="D35" s="382" t="s">
        <v>382</v>
      </c>
      <c r="E35" s="383" t="s">
        <v>36</v>
      </c>
      <c r="F35" s="284"/>
      <c r="G35" s="384" t="s">
        <v>320</v>
      </c>
    </row>
    <row r="36" spans="1:7" x14ac:dyDescent="0.3">
      <c r="A36" s="385" t="s">
        <v>391</v>
      </c>
      <c r="B36" s="386">
        <v>1</v>
      </c>
      <c r="C36" s="387">
        <v>2.5</v>
      </c>
      <c r="D36" s="388"/>
      <c r="E36" s="389"/>
      <c r="F36" s="284"/>
      <c r="G36" s="390"/>
    </row>
    <row r="37" spans="1:7" x14ac:dyDescent="0.3">
      <c r="A37" s="391" t="s">
        <v>392</v>
      </c>
      <c r="B37" s="392">
        <v>2</v>
      </c>
      <c r="C37" s="393">
        <v>0</v>
      </c>
      <c r="D37" s="394"/>
      <c r="E37" s="395"/>
      <c r="F37" s="284"/>
      <c r="G37" s="408"/>
    </row>
    <row r="38" spans="1:7" x14ac:dyDescent="0.3">
      <c r="A38" s="391" t="s">
        <v>393</v>
      </c>
      <c r="B38" s="392">
        <v>1</v>
      </c>
      <c r="C38" s="393">
        <v>0</v>
      </c>
      <c r="D38" s="394"/>
      <c r="E38" s="395"/>
      <c r="F38" s="284"/>
      <c r="G38" s="408"/>
    </row>
    <row r="39" spans="1:7" x14ac:dyDescent="0.3">
      <c r="A39" s="391" t="s">
        <v>394</v>
      </c>
      <c r="B39" s="392">
        <v>20</v>
      </c>
      <c r="C39" s="393">
        <f>B39*0.1</f>
        <v>2</v>
      </c>
      <c r="D39" s="394"/>
      <c r="E39" s="395"/>
      <c r="F39" s="284"/>
      <c r="G39" s="408"/>
    </row>
    <row r="40" spans="1:7" x14ac:dyDescent="0.3">
      <c r="A40" s="391" t="s">
        <v>395</v>
      </c>
      <c r="B40" s="392">
        <v>5</v>
      </c>
      <c r="C40" s="393">
        <v>0</v>
      </c>
      <c r="D40" s="394"/>
      <c r="E40" s="395"/>
      <c r="F40" s="284"/>
      <c r="G40" s="408"/>
    </row>
    <row r="41" spans="1:7" x14ac:dyDescent="0.3">
      <c r="A41" s="391" t="s">
        <v>396</v>
      </c>
      <c r="B41" s="392">
        <v>1</v>
      </c>
      <c r="C41" s="393">
        <v>0</v>
      </c>
      <c r="D41" s="409"/>
      <c r="E41" s="395"/>
      <c r="F41" s="284"/>
      <c r="G41" s="397"/>
    </row>
    <row r="42" spans="1:7" x14ac:dyDescent="0.3">
      <c r="A42" s="391" t="s">
        <v>397</v>
      </c>
      <c r="B42" s="392">
        <v>1</v>
      </c>
      <c r="C42" s="393">
        <v>0</v>
      </c>
      <c r="D42" s="394"/>
      <c r="E42" s="395"/>
      <c r="F42" s="284"/>
      <c r="G42" s="408"/>
    </row>
    <row r="43" spans="1:7" x14ac:dyDescent="0.3">
      <c r="A43" s="391" t="s">
        <v>398</v>
      </c>
      <c r="B43" s="392">
        <v>1</v>
      </c>
      <c r="C43" s="393">
        <v>0</v>
      </c>
      <c r="D43" s="394"/>
      <c r="E43" s="395"/>
      <c r="F43" s="284"/>
      <c r="G43" s="408"/>
    </row>
    <row r="44" spans="1:7" x14ac:dyDescent="0.3">
      <c r="A44" s="391" t="s">
        <v>399</v>
      </c>
      <c r="B44" s="392">
        <v>1</v>
      </c>
      <c r="C44" s="393">
        <v>7</v>
      </c>
      <c r="D44" s="394"/>
      <c r="E44" s="395"/>
      <c r="F44" s="284"/>
      <c r="G44" s="408"/>
    </row>
    <row r="45" spans="1:7" x14ac:dyDescent="0.3">
      <c r="A45" s="391" t="s">
        <v>400</v>
      </c>
      <c r="B45" s="392">
        <v>1</v>
      </c>
      <c r="C45" s="393">
        <v>0.5</v>
      </c>
      <c r="D45" s="409"/>
      <c r="E45" s="395"/>
      <c r="F45" s="284"/>
      <c r="G45" s="408"/>
    </row>
    <row r="46" spans="1:7" x14ac:dyDescent="0.3">
      <c r="A46" s="391" t="s">
        <v>401</v>
      </c>
      <c r="B46" s="392">
        <v>20</v>
      </c>
      <c r="C46" s="393">
        <f>B46/25</f>
        <v>0.8</v>
      </c>
      <c r="D46" s="394"/>
      <c r="E46" s="395"/>
      <c r="F46" s="284"/>
      <c r="G46" s="408"/>
    </row>
    <row r="47" spans="1:7" x14ac:dyDescent="0.3">
      <c r="A47" s="391" t="s">
        <v>402</v>
      </c>
      <c r="B47" s="392">
        <v>4</v>
      </c>
      <c r="C47" s="393">
        <f>2*B47</f>
        <v>8</v>
      </c>
      <c r="D47" s="394"/>
      <c r="E47" s="395"/>
      <c r="F47" s="284"/>
      <c r="G47" s="397"/>
    </row>
    <row r="48" spans="1:7" ht="16.2" thickBot="1" x14ac:dyDescent="0.35">
      <c r="A48" s="398" t="s">
        <v>390</v>
      </c>
      <c r="B48" s="399">
        <v>1</v>
      </c>
      <c r="C48" s="400">
        <v>2</v>
      </c>
      <c r="D48" s="401"/>
      <c r="E48" s="402"/>
      <c r="F48" s="284"/>
      <c r="G48" s="411"/>
    </row>
    <row r="49" spans="1:7" ht="24" thickTop="1" thickBot="1" x14ac:dyDescent="0.35">
      <c r="A49" s="143" t="s">
        <v>403</v>
      </c>
      <c r="B49" s="143"/>
      <c r="C49" s="316">
        <f>SUM(C36:C48)</f>
        <v>22.8</v>
      </c>
      <c r="D49" s="412" t="s">
        <v>409</v>
      </c>
      <c r="E49" s="404"/>
      <c r="F49" s="284"/>
      <c r="G49" s="413"/>
    </row>
    <row r="50" spans="1:7" ht="16.8" thickTop="1" thickBot="1" x14ac:dyDescent="0.35">
      <c r="A50" s="380" t="s">
        <v>381</v>
      </c>
      <c r="B50" s="380" t="s">
        <v>353</v>
      </c>
      <c r="C50" s="381" t="s">
        <v>318</v>
      </c>
      <c r="D50" s="382" t="s">
        <v>382</v>
      </c>
      <c r="E50" s="383" t="s">
        <v>36</v>
      </c>
      <c r="F50" s="308"/>
      <c r="G50" s="384" t="s">
        <v>320</v>
      </c>
    </row>
    <row r="51" spans="1:7" x14ac:dyDescent="0.3">
      <c r="A51" s="385"/>
      <c r="B51" s="386"/>
      <c r="C51" s="387"/>
      <c r="D51" s="388"/>
      <c r="E51" s="389"/>
      <c r="F51" s="284"/>
      <c r="G51" s="414"/>
    </row>
    <row r="52" spans="1:7" x14ac:dyDescent="0.3">
      <c r="A52" s="391"/>
      <c r="B52" s="392"/>
      <c r="C52" s="393"/>
      <c r="D52" s="394"/>
      <c r="E52" s="395"/>
      <c r="F52" s="284"/>
      <c r="G52" s="415"/>
    </row>
    <row r="53" spans="1:7" x14ac:dyDescent="0.3">
      <c r="A53" s="391"/>
      <c r="B53" s="392"/>
      <c r="C53" s="393"/>
      <c r="D53" s="394"/>
      <c r="E53" s="395"/>
      <c r="F53" s="284"/>
      <c r="G53" s="415"/>
    </row>
    <row r="54" spans="1:7" x14ac:dyDescent="0.3">
      <c r="A54" s="391"/>
      <c r="B54" s="392"/>
      <c r="C54" s="393"/>
      <c r="D54" s="394"/>
      <c r="E54" s="395"/>
      <c r="F54" s="284"/>
      <c r="G54" s="415"/>
    </row>
    <row r="55" spans="1:7" x14ac:dyDescent="0.3">
      <c r="A55" s="391"/>
      <c r="B55" s="392"/>
      <c r="C55" s="393"/>
      <c r="D55" s="394"/>
      <c r="E55" s="395"/>
      <c r="F55" s="284"/>
      <c r="G55" s="415"/>
    </row>
    <row r="56" spans="1:7" x14ac:dyDescent="0.3">
      <c r="A56" s="391"/>
      <c r="B56" s="392"/>
      <c r="C56" s="393"/>
      <c r="D56" s="394"/>
      <c r="E56" s="395"/>
      <c r="F56" s="284"/>
      <c r="G56" s="415"/>
    </row>
    <row r="57" spans="1:7" x14ac:dyDescent="0.3">
      <c r="A57" s="391"/>
      <c r="B57" s="392"/>
      <c r="C57" s="393"/>
      <c r="D57" s="394"/>
      <c r="E57" s="395"/>
      <c r="F57" s="284"/>
      <c r="G57" s="415"/>
    </row>
    <row r="58" spans="1:7" x14ac:dyDescent="0.3">
      <c r="A58" s="391"/>
      <c r="B58" s="392"/>
      <c r="C58" s="393"/>
      <c r="D58" s="394"/>
      <c r="E58" s="395"/>
      <c r="F58" s="284"/>
      <c r="G58" s="415"/>
    </row>
    <row r="59" spans="1:7" x14ac:dyDescent="0.3">
      <c r="A59" s="391"/>
      <c r="B59" s="392"/>
      <c r="C59" s="393"/>
      <c r="D59" s="394"/>
      <c r="E59" s="395"/>
      <c r="F59" s="284"/>
      <c r="G59" s="416"/>
    </row>
    <row r="60" spans="1:7" ht="16.2" thickBot="1" x14ac:dyDescent="0.35">
      <c r="A60" s="398"/>
      <c r="B60" s="399"/>
      <c r="C60" s="400"/>
      <c r="D60" s="401"/>
      <c r="E60" s="402"/>
      <c r="F60" s="284"/>
      <c r="G60" s="417"/>
    </row>
    <row r="61" spans="1:7" ht="16.2" thickTop="1" x14ac:dyDescent="0.3">
      <c r="A61" s="308"/>
      <c r="B61" s="308"/>
      <c r="C61" s="316"/>
      <c r="D61" s="284"/>
      <c r="E61" s="284"/>
      <c r="F61" s="284"/>
      <c r="G61" s="284"/>
    </row>
    <row r="62" spans="1:7" x14ac:dyDescent="0.3">
      <c r="A62" s="308"/>
      <c r="B62" s="308"/>
      <c r="C62" s="316"/>
      <c r="D62" s="284"/>
      <c r="E62" s="143" t="s">
        <v>404</v>
      </c>
      <c r="F62" s="284"/>
      <c r="G62" s="378">
        <f>SUM(Martial!M3:M53,Equipment!G3:G60)</f>
        <v>87669</v>
      </c>
    </row>
  </sheetData>
  <sortState xmlns:xlrd2="http://schemas.microsoft.com/office/spreadsheetml/2017/richdata2" ref="A26:E32">
    <sortCondition ref="A26:A32"/>
  </sortState>
  <conditionalFormatting sqref="G62">
    <cfRule type="cellIs" dxfId="2" priority="1" operator="lessThan">
      <formula>0</formula>
    </cfRule>
  </conditionalFormatting>
  <pageMargins left="0.7" right="0.7" top="0.75" bottom="0.75" header="0.3" footer="0.3"/>
  <pageSetup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showGridLines="0" workbookViewId="0"/>
  </sheetViews>
  <sheetFormatPr defaultColWidth="13" defaultRowHeight="15.6" x14ac:dyDescent="0.3"/>
  <cols>
    <col min="1" max="1" width="13.296875" style="475" bestFit="1" customWidth="1"/>
    <col min="2" max="2" width="10.69921875" style="476" customWidth="1"/>
    <col min="3" max="3" width="5.5" style="476" customWidth="1"/>
    <col min="4" max="4" width="13.69921875" style="475" bestFit="1" customWidth="1"/>
    <col min="5" max="5" width="9.59765625" style="476" bestFit="1" customWidth="1"/>
    <col min="6" max="6" width="11.8984375" style="475" customWidth="1"/>
    <col min="7" max="7" width="11.8984375" style="476" customWidth="1"/>
    <col min="8" max="16384" width="13" style="430"/>
  </cols>
  <sheetData>
    <row r="1" spans="1:7" ht="29.4" thickTop="1" thickBot="1" x14ac:dyDescent="0.35">
      <c r="A1" s="425" t="s">
        <v>423</v>
      </c>
      <c r="B1" s="426"/>
      <c r="C1" s="426"/>
      <c r="D1" s="427"/>
      <c r="E1" s="427"/>
      <c r="F1" s="428"/>
      <c r="G1" s="429" t="s">
        <v>410</v>
      </c>
    </row>
    <row r="2" spans="1:7" ht="17.399999999999999" thickTop="1" x14ac:dyDescent="0.3">
      <c r="A2" s="431" t="s">
        <v>3</v>
      </c>
      <c r="B2" s="432" t="s">
        <v>411</v>
      </c>
      <c r="C2" s="432"/>
      <c r="D2" s="433" t="s">
        <v>5</v>
      </c>
      <c r="E2" s="434" t="s">
        <v>6</v>
      </c>
      <c r="F2" s="433" t="s">
        <v>13</v>
      </c>
      <c r="G2" s="435" t="s">
        <v>412</v>
      </c>
    </row>
    <row r="3" spans="1:7" ht="17.399999999999999" thickBot="1" x14ac:dyDescent="0.35">
      <c r="A3" s="436"/>
      <c r="B3" s="437" t="s">
        <v>413</v>
      </c>
      <c r="C3" s="438"/>
      <c r="D3" s="439" t="s">
        <v>414</v>
      </c>
      <c r="E3" s="440" t="s">
        <v>415</v>
      </c>
      <c r="F3" s="439" t="s">
        <v>416</v>
      </c>
      <c r="G3" s="441" t="s">
        <v>124</v>
      </c>
    </row>
    <row r="4" spans="1:7" ht="17.399999999999999" thickTop="1" x14ac:dyDescent="0.3">
      <c r="A4" s="442" t="s">
        <v>15</v>
      </c>
      <c r="B4" s="443">
        <v>13</v>
      </c>
      <c r="C4" s="444" t="str">
        <f t="shared" ref="C4:C9" si="0">IF(B4&gt;9.9,CONCATENATE("+",ROUNDDOWN((B4-10)/2,0)),ROUNDUP((B4-10)/2,0))</f>
        <v>+1</v>
      </c>
      <c r="D4" s="445" t="s">
        <v>19</v>
      </c>
      <c r="E4" s="446">
        <v>13</v>
      </c>
      <c r="F4" s="447">
        <v>13</v>
      </c>
      <c r="G4" s="448"/>
    </row>
    <row r="5" spans="1:7" ht="16.8" x14ac:dyDescent="0.3">
      <c r="A5" s="449" t="s">
        <v>17</v>
      </c>
      <c r="B5" s="450">
        <v>17</v>
      </c>
      <c r="C5" s="451" t="str">
        <f t="shared" si="0"/>
        <v>+3</v>
      </c>
      <c r="D5" s="452" t="s">
        <v>23</v>
      </c>
      <c r="E5" s="453" t="s">
        <v>417</v>
      </c>
      <c r="F5" s="453" t="s">
        <v>418</v>
      </c>
      <c r="G5" s="454"/>
    </row>
    <row r="6" spans="1:7" ht="16.8" x14ac:dyDescent="0.3">
      <c r="A6" s="455" t="s">
        <v>18</v>
      </c>
      <c r="B6" s="450">
        <v>15</v>
      </c>
      <c r="C6" s="451" t="str">
        <f t="shared" si="0"/>
        <v>+2</v>
      </c>
      <c r="D6" s="445" t="s">
        <v>351</v>
      </c>
      <c r="E6" s="456">
        <v>1</v>
      </c>
      <c r="F6" s="457"/>
      <c r="G6" s="454"/>
    </row>
    <row r="7" spans="1:7" ht="16.8" x14ac:dyDescent="0.3">
      <c r="A7" s="458" t="s">
        <v>20</v>
      </c>
      <c r="B7" s="450">
        <v>2</v>
      </c>
      <c r="C7" s="451">
        <f t="shared" si="0"/>
        <v>-4</v>
      </c>
      <c r="D7" s="445" t="s">
        <v>419</v>
      </c>
      <c r="E7" s="456">
        <v>5</v>
      </c>
      <c r="F7" s="459"/>
      <c r="G7" s="454"/>
    </row>
    <row r="8" spans="1:7" ht="16.8" x14ac:dyDescent="0.3">
      <c r="A8" s="460" t="s">
        <v>21</v>
      </c>
      <c r="B8" s="450">
        <v>12</v>
      </c>
      <c r="C8" s="461" t="str">
        <f t="shared" si="0"/>
        <v>+1</v>
      </c>
      <c r="D8" s="462" t="s">
        <v>420</v>
      </c>
      <c r="E8" s="453" t="s">
        <v>421</v>
      </c>
      <c r="F8" s="459"/>
      <c r="G8" s="454"/>
    </row>
    <row r="9" spans="1:7" ht="17.399999999999999" thickBot="1" x14ac:dyDescent="0.35">
      <c r="A9" s="463" t="s">
        <v>22</v>
      </c>
      <c r="B9" s="464">
        <v>6</v>
      </c>
      <c r="C9" s="465">
        <f t="shared" si="0"/>
        <v>-2</v>
      </c>
      <c r="D9" s="466" t="s">
        <v>422</v>
      </c>
      <c r="E9" s="467">
        <v>1</v>
      </c>
      <c r="F9" s="459"/>
      <c r="G9" s="454"/>
    </row>
    <row r="10" spans="1:7" ht="17.399999999999999" thickTop="1" x14ac:dyDescent="0.3">
      <c r="A10" s="431"/>
      <c r="B10" s="468"/>
      <c r="C10" s="468"/>
      <c r="D10" s="468"/>
      <c r="E10" s="469"/>
      <c r="F10" s="459"/>
      <c r="G10" s="454"/>
    </row>
    <row r="11" spans="1:7" ht="16.8" x14ac:dyDescent="0.3">
      <c r="A11" s="431"/>
      <c r="B11" s="468"/>
      <c r="C11" s="468"/>
      <c r="D11" s="468"/>
      <c r="E11" s="469"/>
      <c r="F11" s="470"/>
      <c r="G11" s="454"/>
    </row>
    <row r="12" spans="1:7" ht="16.8" x14ac:dyDescent="0.3">
      <c r="A12" s="471"/>
      <c r="B12" s="468"/>
      <c r="C12" s="468"/>
      <c r="D12" s="468"/>
      <c r="E12" s="469"/>
      <c r="F12" s="468"/>
      <c r="G12" s="469"/>
    </row>
    <row r="13" spans="1:7" ht="17.399999999999999" thickBot="1" x14ac:dyDescent="0.35">
      <c r="A13" s="472"/>
      <c r="B13" s="473"/>
      <c r="C13" s="473"/>
      <c r="D13" s="473"/>
      <c r="E13" s="474"/>
      <c r="F13" s="473"/>
      <c r="G13" s="474"/>
    </row>
    <row r="14"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Personal File</vt:lpstr>
      <vt:lpstr>Skills</vt:lpstr>
      <vt:lpstr>Prayerbook</vt:lpstr>
      <vt:lpstr>Prayers</vt:lpstr>
      <vt:lpstr>Feats</vt:lpstr>
      <vt:lpstr>Martial</vt:lpstr>
      <vt:lpstr>Equipment</vt:lpstr>
      <vt:lpstr>Mount</vt:lpstr>
      <vt:lpstr>Mount!Print_Area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Álvarez</dc:creator>
  <cp:lastModifiedBy>Alexis Álvarez</cp:lastModifiedBy>
  <dcterms:created xsi:type="dcterms:W3CDTF">2017-07-27T14:49:21Z</dcterms:created>
  <dcterms:modified xsi:type="dcterms:W3CDTF">2024-04-07T20:16:20Z</dcterms:modified>
</cp:coreProperties>
</file>