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oL\NPCs\"/>
    </mc:Choice>
  </mc:AlternateContent>
  <xr:revisionPtr revIDLastSave="0" documentId="13_ncr:1_{4F95A8E4-0AD1-41B7-8BE5-6F17936C8B5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une" sheetId="21" r:id="rId3"/>
    <sheet name="Spells" sheetId="20" r:id="rId4"/>
    <sheet name="Feats" sheetId="23" r:id="rId5"/>
    <sheet name="Martial" sheetId="6" r:id="rId6"/>
    <sheet name="Equipment" sheetId="19" r:id="rId7"/>
    <sheet name="Mount" sheetId="22" r:id="rId8"/>
  </sheets>
  <externalReferences>
    <externalReference r:id="rId9"/>
  </externalReferences>
  <definedNames>
    <definedName name="NoShade">'[1]Spell Sheet'!$FH$1</definedName>
    <definedName name="OLE_LINK1" localSheetId="4">Feats!$C$3</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7">Mount!$A$1:$H$12</definedName>
    <definedName name="_xlnm.Print_Area" localSheetId="0">'Personal File'!$A$1:$H$14</definedName>
    <definedName name="_xlnm.Print_Area" localSheetId="1">Skills!$A$1:$K$28</definedName>
    <definedName name="_xlnm.Print_Area" localSheetId="3">Spells!#REF!</definedName>
    <definedName name="_xlnm.Print_Area" localSheetId="2">Sune!$A$1:$I$14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 l="1"/>
  <c r="B9" i="4"/>
  <c r="B12" i="4"/>
  <c r="B7" i="4"/>
  <c r="D3" i="6" l="1"/>
  <c r="I3" i="6"/>
  <c r="D4" i="6"/>
  <c r="I4" i="6"/>
  <c r="D5" i="6"/>
  <c r="I5" i="6"/>
  <c r="D6" i="6"/>
  <c r="I6" i="6"/>
  <c r="M36" i="6" l="1"/>
  <c r="B43" i="15" l="1"/>
  <c r="B5" i="15" l="1"/>
  <c r="B4" i="15"/>
  <c r="B3" i="15"/>
  <c r="B10" i="4"/>
  <c r="B13" i="4" l="1"/>
  <c r="I7" i="20" l="1"/>
  <c r="J7" i="20"/>
  <c r="G9" i="20" l="1"/>
  <c r="E7" i="4" l="1"/>
  <c r="G13" i="20" l="1"/>
  <c r="B14" i="4" l="1"/>
  <c r="H10" i="15" l="1"/>
  <c r="H13" i="15"/>
  <c r="H11" i="15"/>
  <c r="H9" i="15"/>
  <c r="H8" i="15"/>
  <c r="M38" i="6" l="1"/>
  <c r="I21" i="6" l="1"/>
  <c r="I20" i="6"/>
  <c r="I19" i="6"/>
  <c r="I14" i="6"/>
  <c r="I10" i="6"/>
  <c r="I13" i="6"/>
  <c r="I9" i="6"/>
  <c r="F40" i="15" l="1"/>
  <c r="F34" i="15"/>
  <c r="F27" i="15"/>
  <c r="F23" i="15"/>
  <c r="F21" i="15"/>
  <c r="F16" i="15"/>
  <c r="F7" i="15"/>
  <c r="B25" i="6"/>
  <c r="H20" i="15" l="1"/>
  <c r="G31" i="6" l="1"/>
  <c r="I18" i="6" l="1"/>
  <c r="M35" i="6" l="1"/>
  <c r="F9" i="15" l="1"/>
  <c r="G6" i="19" l="1"/>
  <c r="H7" i="20" l="1"/>
  <c r="G17" i="20" l="1"/>
  <c r="G15" i="20"/>
  <c r="I8" i="6" l="1"/>
  <c r="I7" i="6"/>
  <c r="I12" i="6" l="1"/>
  <c r="I11" i="6"/>
  <c r="H24" i="15" l="1"/>
  <c r="G7" i="20" l="1"/>
  <c r="I15" i="6" l="1"/>
  <c r="G24" i="19" l="1"/>
  <c r="E10" i="4"/>
  <c r="C9" i="22"/>
  <c r="C8" i="22"/>
  <c r="C7" i="22"/>
  <c r="C6" i="22"/>
  <c r="C5" i="22"/>
  <c r="C4" i="22"/>
  <c r="E58" i="15" l="1"/>
  <c r="H30" i="15"/>
  <c r="H29" i="15"/>
  <c r="H28" i="15"/>
  <c r="H27" i="15"/>
  <c r="H26" i="15"/>
  <c r="H25" i="15"/>
  <c r="H23" i="15"/>
  <c r="H22" i="15"/>
  <c r="H21" i="15"/>
  <c r="H19" i="15"/>
  <c r="H18" i="15"/>
  <c r="H17" i="15"/>
  <c r="H16" i="15"/>
  <c r="H15" i="15"/>
  <c r="H14" i="15"/>
  <c r="H12" i="15"/>
  <c r="H39" i="15"/>
  <c r="I22" i="6" l="1"/>
  <c r="H42" i="15" l="1"/>
  <c r="H41" i="15"/>
  <c r="H40" i="15"/>
  <c r="H38" i="15"/>
  <c r="H37" i="15"/>
  <c r="H36" i="15"/>
  <c r="H35" i="15"/>
  <c r="H34" i="15"/>
  <c r="H33" i="15"/>
  <c r="H32" i="15"/>
  <c r="H31" i="15"/>
  <c r="H5" i="15"/>
  <c r="H4" i="15"/>
  <c r="H3" i="15"/>
  <c r="H7" i="15"/>
  <c r="H6" i="15"/>
  <c r="C14" i="4" l="1"/>
  <c r="C3" i="23" s="1"/>
  <c r="C13" i="4"/>
  <c r="C12" i="4"/>
  <c r="C11" i="4"/>
  <c r="E11" i="4" s="1"/>
  <c r="C10" i="4"/>
  <c r="E12" i="4" s="1"/>
  <c r="C9" i="4"/>
  <c r="E50" i="15" l="1"/>
  <c r="E49" i="15"/>
  <c r="E57" i="15"/>
  <c r="E56" i="15"/>
  <c r="E55" i="15"/>
  <c r="C3" i="6"/>
  <c r="C4" i="6"/>
  <c r="C5" i="6"/>
  <c r="C6" i="6"/>
  <c r="H6" i="6"/>
  <c r="J6" i="6" s="1"/>
  <c r="H3" i="6"/>
  <c r="F3" i="15"/>
  <c r="F5" i="15"/>
  <c r="F4" i="15"/>
  <c r="C21" i="20"/>
  <c r="C7" i="20"/>
  <c r="C16" i="20"/>
  <c r="C19" i="20"/>
  <c r="C20" i="20"/>
  <c r="C17" i="20"/>
  <c r="C15" i="20"/>
  <c r="C14" i="20"/>
  <c r="C18" i="20"/>
  <c r="C6" i="20"/>
  <c r="H14" i="6"/>
  <c r="H10" i="6"/>
  <c r="B8" i="4"/>
  <c r="H18" i="6"/>
  <c r="C6" i="23"/>
  <c r="C4" i="20"/>
  <c r="C8" i="20"/>
  <c r="C5" i="20"/>
  <c r="C9" i="20"/>
  <c r="C10" i="20"/>
  <c r="C3" i="20"/>
  <c r="G14" i="20"/>
  <c r="G16" i="20"/>
  <c r="G18" i="20"/>
  <c r="C14" i="6"/>
  <c r="C10" i="6"/>
  <c r="C9" i="6"/>
  <c r="C13" i="6"/>
  <c r="C8" i="6"/>
  <c r="C7" i="6"/>
  <c r="E14" i="4"/>
  <c r="E13" i="4" s="1"/>
  <c r="H22" i="6"/>
  <c r="J22" i="6" s="1"/>
  <c r="C12" i="6"/>
  <c r="H15" i="6"/>
  <c r="J15" i="6" s="1"/>
  <c r="H7" i="6"/>
  <c r="H11" i="6"/>
  <c r="C11" i="6"/>
  <c r="E54" i="15"/>
  <c r="D24" i="15"/>
  <c r="E44" i="15"/>
  <c r="D6" i="15"/>
  <c r="G6" i="15" s="1"/>
  <c r="E52" i="15"/>
  <c r="E46" i="15"/>
  <c r="E51" i="15"/>
  <c r="E45" i="15"/>
  <c r="E53" i="15"/>
  <c r="D25" i="15"/>
  <c r="E48" i="15"/>
  <c r="E47" i="15"/>
  <c r="D4" i="15"/>
  <c r="D5" i="15"/>
  <c r="D3" i="15"/>
  <c r="D36" i="15"/>
  <c r="D38" i="15"/>
  <c r="D35" i="15"/>
  <c r="B23" i="19"/>
  <c r="D30" i="15"/>
  <c r="D40" i="15"/>
  <c r="D37" i="15"/>
  <c r="D39" i="15"/>
  <c r="D32" i="15"/>
  <c r="D19"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H4" i="6" l="1"/>
  <c r="J3" i="6"/>
  <c r="J18" i="6"/>
  <c r="H19" i="6"/>
  <c r="J11" i="6"/>
  <c r="H12" i="6"/>
  <c r="J7" i="6"/>
  <c r="H8" i="6"/>
  <c r="G24" i="15"/>
  <c r="I24" i="15" s="1"/>
  <c r="E24" i="15"/>
  <c r="E6" i="15"/>
  <c r="G25" i="15"/>
  <c r="I25" i="15" s="1"/>
  <c r="E25" i="15"/>
  <c r="E43" i="15"/>
  <c r="I6" i="15"/>
  <c r="E22" i="15"/>
  <c r="G22" i="15"/>
  <c r="E8" i="15"/>
  <c r="G8" i="15"/>
  <c r="E18" i="15"/>
  <c r="G18" i="15"/>
  <c r="E23" i="15"/>
  <c r="G23" i="15"/>
  <c r="E31" i="15"/>
  <c r="G31" i="15"/>
  <c r="E14" i="15"/>
  <c r="G14" i="15"/>
  <c r="E19" i="15"/>
  <c r="G19" i="15"/>
  <c r="E40" i="15"/>
  <c r="G40" i="15"/>
  <c r="E38" i="15"/>
  <c r="G38"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2" i="15"/>
  <c r="G42" i="15"/>
  <c r="E28" i="15"/>
  <c r="G28" i="15"/>
  <c r="E39" i="15"/>
  <c r="G39" i="15"/>
  <c r="E36" i="15"/>
  <c r="G36" i="15"/>
  <c r="E17" i="15"/>
  <c r="G17" i="15"/>
  <c r="E41" i="15"/>
  <c r="G41" i="15"/>
  <c r="E37" i="15"/>
  <c r="G37" i="15"/>
  <c r="E35" i="15"/>
  <c r="G35" i="15"/>
  <c r="E3" i="15"/>
  <c r="G3" i="15"/>
  <c r="E5" i="15"/>
  <c r="G5" i="15"/>
  <c r="H5" i="6" l="1"/>
  <c r="J5" i="6" s="1"/>
  <c r="J4" i="6"/>
  <c r="H20" i="6"/>
  <c r="J19" i="6"/>
  <c r="H13" i="6"/>
  <c r="J12" i="6"/>
  <c r="H9" i="6"/>
  <c r="J8" i="6"/>
  <c r="I3" i="15"/>
  <c r="I27" i="15"/>
  <c r="I16" i="15"/>
  <c r="I15" i="15"/>
  <c r="I29" i="15"/>
  <c r="I37" i="15"/>
  <c r="I17" i="15"/>
  <c r="I39" i="15"/>
  <c r="I42" i="15"/>
  <c r="I21" i="15"/>
  <c r="I10" i="15"/>
  <c r="I26" i="15"/>
  <c r="I13" i="15"/>
  <c r="I7" i="15"/>
  <c r="I30" i="15"/>
  <c r="I33" i="15"/>
  <c r="I9" i="15"/>
  <c r="I11" i="15"/>
  <c r="I38" i="15"/>
  <c r="I19" i="15"/>
  <c r="I31" i="15"/>
  <c r="I35" i="15"/>
  <c r="I36" i="15"/>
  <c r="I28" i="15"/>
  <c r="I34" i="15"/>
  <c r="I4" i="15"/>
  <c r="I32" i="15"/>
  <c r="I20" i="15"/>
  <c r="I12" i="15"/>
  <c r="I40" i="15"/>
  <c r="I14" i="15"/>
  <c r="I23" i="15"/>
  <c r="I5" i="15"/>
  <c r="I41" i="15"/>
  <c r="I8" i="15"/>
  <c r="I18" i="15"/>
  <c r="I22" i="15"/>
  <c r="H21" i="6" l="1"/>
  <c r="J21" i="6" s="1"/>
  <c r="J20" i="6"/>
  <c r="J9" i="6"/>
  <c r="J10" i="6"/>
  <c r="J13" i="6"/>
  <c r="J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bless +1   haste +1
inspired greatness +2
divine favor +2</t>
        </r>
      </text>
    </comment>
    <comment ref="E8" authorId="0" shapeId="0" xr:uid="{00000000-0006-0000-0000-000002000000}">
      <text>
        <r>
          <rPr>
            <sz val="12"/>
            <color indexed="81"/>
            <rFont val="Times New Roman"/>
            <family val="1"/>
          </rPr>
          <t>Next level at 105,000 XPs</t>
        </r>
      </text>
    </comment>
    <comment ref="B9" authorId="0" shapeId="0" xr:uid="{00000000-0006-0000-0000-000003000000}">
      <text>
        <r>
          <rPr>
            <i/>
            <sz val="12"/>
            <color indexed="81"/>
            <rFont val="Times New Roman"/>
            <family val="1"/>
          </rPr>
          <t>bull’s strength +4
righteous fury +4
enlarge person +2
incorporeal touch -2
elation +2</t>
        </r>
      </text>
    </comment>
    <comment ref="E9" authorId="0" shapeId="0" xr:uid="{00000000-0006-0000-0000-000004000000}">
      <text>
        <r>
          <rPr>
            <sz val="12"/>
            <color indexed="81"/>
            <rFont val="Times New Roman"/>
            <family val="1"/>
          </rPr>
          <t>See PHB 162</t>
        </r>
      </text>
    </comment>
    <comment ref="B10" authorId="0" shapeId="0" xr:uid="{00000000-0006-0000-0000-000005000000}">
      <text>
        <r>
          <rPr>
            <sz val="12"/>
            <color indexed="81"/>
            <rFont val="Times New Roman"/>
            <family val="1"/>
          </rPr>
          <t xml:space="preserve">Gloves of Dexterity +2
</t>
        </r>
        <r>
          <rPr>
            <i/>
            <sz val="12"/>
            <color indexed="81"/>
            <rFont val="Times New Roman"/>
            <family val="1"/>
          </rPr>
          <t>enlarge person -2
elation +2</t>
        </r>
      </text>
    </comment>
    <comment ref="B11" authorId="0" shapeId="0" xr:uid="{2F2A5241-B9A7-450C-8B4F-6117A9637D50}">
      <text>
        <r>
          <rPr>
            <i/>
            <sz val="12"/>
            <color indexed="81"/>
            <rFont val="Times New Roman"/>
            <family val="1"/>
          </rPr>
          <t>bear’s endurance +4</t>
        </r>
      </text>
    </comment>
    <comment ref="E11" authorId="0" shapeId="0" xr:uid="{00000000-0006-0000-0000-000006000000}">
      <text>
        <r>
          <rPr>
            <sz val="12"/>
            <color indexed="81"/>
            <rFont val="Times New Roman"/>
            <family val="1"/>
          </rPr>
          <t>[(7 * 10 Paladin) * 75%] +
[(7 * 10 Pious Templar) * 75%] +
(14 * 2 Con) + 14 Improved Toughness</t>
        </r>
      </text>
    </comment>
    <comment ref="E12" authorId="0" shapeId="0" xr:uid="{00000000-0006-0000-0000-000007000000}">
      <text>
        <r>
          <rPr>
            <i/>
            <sz val="12"/>
            <color indexed="81"/>
            <rFont val="Times New Roman"/>
            <family val="1"/>
          </rPr>
          <t>haste +1
protection from evil +2</t>
        </r>
      </text>
    </comment>
    <comment ref="B13" authorId="0" shapeId="0" xr:uid="{00000000-0006-0000-0000-000008000000}">
      <text>
        <r>
          <rPr>
            <sz val="12"/>
            <color indexed="81"/>
            <rFont val="Times New Roman"/>
            <family val="1"/>
          </rPr>
          <t xml:space="preserve">Amulet of Wisdom +2
</t>
        </r>
        <r>
          <rPr>
            <i/>
            <sz val="12"/>
            <color indexed="81"/>
            <rFont val="Times New Roman"/>
            <family val="1"/>
          </rPr>
          <t>Wisdom drain -5</t>
        </r>
      </text>
    </comment>
    <comment ref="E13" authorId="0" shapeId="0" xr:uid="{00000000-0006-0000-0000-000009000000}">
      <text>
        <r>
          <rPr>
            <i/>
            <sz val="12"/>
            <color indexed="81"/>
            <rFont val="Times New Roman"/>
            <family val="1"/>
          </rPr>
          <t>protection from evil +2</t>
        </r>
      </text>
    </comment>
    <comment ref="B14" authorId="0" shapeId="0" xr:uid="{00000000-0006-0000-0000-00000A000000}">
      <text>
        <r>
          <rPr>
            <sz val="12"/>
            <color indexed="81"/>
            <rFont val="Times New Roman"/>
            <family val="1"/>
          </rPr>
          <t>Cloak of Charisma +2</t>
        </r>
      </text>
    </comment>
    <comment ref="E14" authorId="0" shapeId="0" xr:uid="{00000000-0006-0000-0000-00000B000000}">
      <text>
        <r>
          <rPr>
            <i/>
            <sz val="12"/>
            <color indexed="81"/>
            <rFont val="Times New Roman"/>
            <family val="1"/>
          </rPr>
          <t>haste +1
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100-000001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F3" authorId="0" shapeId="0" xr:uid="{00000000-0006-0000-0100-000002000000}">
      <text>
        <r>
          <rPr>
            <i/>
            <sz val="12"/>
            <color indexed="81"/>
            <rFont val="Times New Roman"/>
            <family val="1"/>
          </rPr>
          <t>inspired greatness +1
vest of resistance +2
resistance +1</t>
        </r>
      </text>
    </comment>
    <comment ref="F4" authorId="0" shapeId="0" xr:uid="{00000000-0006-0000-0100-000003000000}">
      <text>
        <r>
          <rPr>
            <i/>
            <sz val="12"/>
            <color indexed="81"/>
            <rFont val="Times New Roman"/>
            <family val="1"/>
          </rPr>
          <t>vest of resistance +2
resistance +1</t>
        </r>
      </text>
    </comment>
    <comment ref="A5" authorId="0" shapeId="0" xr:uid="{00000000-0006-0000-0100-000004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F5" authorId="0" shapeId="0" xr:uid="{00000000-0006-0000-0100-000005000000}">
      <text>
        <r>
          <rPr>
            <i/>
            <sz val="12"/>
            <color indexed="81"/>
            <rFont val="Times New Roman"/>
            <family val="1"/>
          </rPr>
          <t>vest of resistance +2
resistance +1</t>
        </r>
      </text>
    </comment>
    <comment ref="F7" authorId="0" shapeId="0" xr:uid="{00000000-0006-0000-0100-000006000000}">
      <text>
        <r>
          <rPr>
            <sz val="12"/>
            <color indexed="81"/>
            <rFont val="Times New Roman"/>
            <family val="1"/>
          </rPr>
          <t>Full Plate +3</t>
        </r>
      </text>
    </comment>
    <comment ref="F9" authorId="0" shapeId="0" xr:uid="{00000000-0006-0000-0100-000007000000}">
      <text>
        <r>
          <rPr>
            <sz val="12"/>
            <color indexed="81"/>
            <rFont val="Times New Roman"/>
            <family val="1"/>
          </rPr>
          <t>Full Plate +3</t>
        </r>
      </text>
    </comment>
    <comment ref="F16" authorId="0" shapeId="0" xr:uid="{00000000-0006-0000-0100-000008000000}">
      <text>
        <r>
          <rPr>
            <sz val="12"/>
            <color indexed="81"/>
            <rFont val="Times New Roman"/>
            <family val="1"/>
          </rPr>
          <t>Full Plate +3</t>
        </r>
      </text>
    </comment>
    <comment ref="F20" authorId="0" shapeId="0" xr:uid="{00000000-0006-0000-0100-000009000000}">
      <text>
        <r>
          <rPr>
            <sz val="12"/>
            <color indexed="81"/>
            <rFont val="Times New Roman"/>
            <family val="1"/>
          </rPr>
          <t>Healing Belt +2</t>
        </r>
      </text>
    </comment>
    <comment ref="F21" authorId="0" shapeId="0" xr:uid="{00000000-0006-0000-0100-00000A000000}">
      <text>
        <r>
          <rPr>
            <sz val="12"/>
            <color indexed="81"/>
            <rFont val="Times New Roman"/>
            <family val="1"/>
          </rPr>
          <t>Full Plate +3</t>
        </r>
      </text>
    </comment>
    <comment ref="F23" authorId="0" shapeId="0" xr:uid="{00000000-0006-0000-0100-00000B000000}">
      <text>
        <r>
          <rPr>
            <sz val="12"/>
            <color indexed="81"/>
            <rFont val="Times New Roman"/>
            <family val="1"/>
          </rPr>
          <t>Full Plate +3</t>
        </r>
      </text>
    </comment>
    <comment ref="F27" authorId="0" shapeId="0" xr:uid="{00000000-0006-0000-0100-00000C000000}">
      <text>
        <r>
          <rPr>
            <sz val="12"/>
            <color indexed="81"/>
            <rFont val="Times New Roman"/>
            <family val="1"/>
          </rPr>
          <t>Full Plate +3</t>
        </r>
      </text>
    </comment>
    <comment ref="F34" authorId="0" shapeId="0" xr:uid="{00000000-0006-0000-0100-00000D000000}">
      <text>
        <r>
          <rPr>
            <sz val="12"/>
            <color indexed="81"/>
            <rFont val="Times New Roman"/>
            <family val="1"/>
          </rPr>
          <t>Full Plate +3</t>
        </r>
      </text>
    </comment>
    <comment ref="F40" authorId="0" shapeId="0" xr:uid="{00000000-0006-0000-0100-00000E000000}">
      <text>
        <r>
          <rPr>
            <sz val="12"/>
            <color indexed="81"/>
            <rFont val="Times New Roman"/>
            <family val="1"/>
          </rPr>
          <t>Full Plate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16"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2" authorId="0" shapeId="0" xr:uid="{00000000-0006-0000-0400-000002000000}">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00000000-0006-0000-0400-00000300000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C3" authorId="0" shapeId="0" xr:uid="{00000000-0006-0000-0400-00000400000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400-000006000000}">
      <text>
        <r>
          <rPr>
            <sz val="12"/>
            <color indexed="81"/>
            <rFont val="Times New Roman"/>
            <family val="1"/>
          </rPr>
          <t>A paladin of freedom must be of chaotic good alignment and loses all class abilities if he ever willingly commits an evil act. Additionally, a paladin of freedom’s code requires that he respect individual liberty, help those in need (provided they do not use the help for lawful or evil ends), and punish those who threaten or curtail personal liberty.
Unearthed Arcana 53</t>
        </r>
      </text>
    </comment>
    <comment ref="A5" authorId="0" shapeId="0" xr:uid="{00000000-0006-0000-0400-00000700000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C5" authorId="0" shapeId="0" xr:uid="{00000000-0006-0000-0400-000008000000}">
      <text>
        <r>
          <rPr>
            <sz val="12"/>
            <color indexed="81"/>
            <rFont val="Times New Roman"/>
            <family val="1"/>
          </rPr>
          <t>At will, a paladin can use detect evil, as the spell.
PHB 44</t>
        </r>
      </text>
    </comment>
    <comment ref="A6" authorId="0" shapeId="0" xr:uid="{00000000-0006-0000-0400-00000900000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Prerequisites:</t>
        </r>
        <r>
          <rPr>
            <sz val="12"/>
            <color indexed="81"/>
            <rFont val="Times New Roman"/>
            <family val="1"/>
          </rPr>
          <t xml:space="preserve">  Heal 8 ranks, ability to turn undead.
</t>
        </r>
        <r>
          <rPr>
            <b/>
            <sz val="12"/>
            <color indexed="81"/>
            <rFont val="Times New Roman"/>
            <family val="1"/>
          </rPr>
          <t>Benefit:</t>
        </r>
        <r>
          <rPr>
            <sz val="12"/>
            <color indexed="81"/>
            <rFont val="Times New Roman"/>
            <family val="1"/>
          </rPr>
          <t xml:space="preserve">  You can spend a turn attempt as a full-round action to grant fast healing 3 to all living creatures within a 60’ burst.  The fast healing lasts for a number of rounds equal to 1 + your Cha modifier (minimum 1 round).
Complete Divine 84</t>
        </r>
      </text>
    </comment>
    <comment ref="C6" authorId="0" shapeId="0" xr:uid="{00000000-0006-0000-0400-00000A00000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A7" authorId="0" shapeId="0" xr:uid="{00000000-0006-0000-0400-00000B000000}">
      <text>
        <r>
          <rPr>
            <sz val="12"/>
            <color indexed="81"/>
            <rFont val="Times New Roman"/>
            <family val="1"/>
          </rPr>
          <t xml:space="preserve">You know how to fight in melee without being able to see your foes.
</t>
        </r>
        <r>
          <rPr>
            <b/>
            <sz val="12"/>
            <color indexed="81"/>
            <rFont val="Times New Roman"/>
            <family val="1"/>
          </rPr>
          <t xml:space="preserve">Benefit:  </t>
        </r>
        <r>
          <rPr>
            <sz val="12"/>
            <color indexed="81"/>
            <rFont val="Times New Roman"/>
            <family val="1"/>
          </rPr>
          <t xml:space="preserve">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Regular attack roll modifiers for invisible attackers trying to hit you (see Table 8–5: Attack Roll Modifiers, page 151) apply, and you lose your Dexterity bonus to AC.  The speed reduction for darkness and poor visibility (see Table 9–4: Hampered Movement, page 163) also applies.
</t>
        </r>
        <r>
          <rPr>
            <b/>
            <sz val="12"/>
            <color indexed="81"/>
            <rFont val="Times New Roman"/>
            <family val="1"/>
          </rPr>
          <t xml:space="preserve">Special:  </t>
        </r>
        <r>
          <rPr>
            <sz val="12"/>
            <color indexed="81"/>
            <rFont val="Times New Roman"/>
            <family val="1"/>
          </rPr>
          <t>The Blind-Fight feat is of no use against a character who is the subject of a blink spell (see page 206).
A fighter may select Blind-Fight as one of his fighter bonus feats (see page 38).
PHB 89</t>
        </r>
      </text>
    </comment>
    <comment ref="C7" authorId="0" shapeId="0" xr:uid="{00000000-0006-0000-0400-00000C000000}">
      <text>
        <r>
          <rPr>
            <sz val="12"/>
            <color indexed="81"/>
            <rFont val="Times New Roman"/>
            <family val="1"/>
          </rPr>
          <t>At 2nd level, a paladin gains a bonus equal to her Charisma bonus (if any) on all saving throws.
PHB 44</t>
        </r>
      </text>
    </comment>
    <comment ref="C8" authorId="0" shapeId="0" xr:uid="{00000000-0006-0000-0400-00000D000000}">
      <text>
        <r>
          <rPr>
            <sz val="12"/>
            <color indexed="81"/>
            <rFont val="Times New Roman"/>
            <family val="1"/>
          </rPr>
          <t>At 3rd level, a paladin gains immunity to all diseases, including supernatural and magical diseases (such as mummy rot and lycanthropy).
PHB 44</t>
        </r>
      </text>
    </comment>
    <comment ref="C9" authorId="0" shapeId="0" xr:uid="{00000000-0006-0000-0400-00000E000000}">
      <text>
        <r>
          <rPr>
            <sz val="12"/>
            <color indexed="81"/>
            <rFont val="Times New Roman"/>
            <family val="1"/>
          </rPr>
          <t>Beginning at 3rd level, a paladin of freedom is immune to compulsion effects. Each ally within 10 feet of him gains a +4 morale bonus on saving throws against compulsion effects.  This ability otherwise functions identically to the paladin’s aura of courage class feature (see below).
UA 53
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A10" authorId="0" shapeId="0" xr:uid="{00000000-0006-0000-0400-00000F00000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C10" authorId="0" shapeId="0" xr:uid="{00000000-0006-0000-0400-000010000000}">
      <text>
        <r>
          <rPr>
            <sz val="12"/>
            <color indexed="81"/>
            <rFont val="Times New Roman"/>
            <family val="1"/>
          </rPr>
          <t xml:space="preserve">At 6th level, a paladin can produce a </t>
        </r>
        <r>
          <rPr>
            <i/>
            <sz val="12"/>
            <color indexed="81"/>
            <rFont val="Times New Roman"/>
            <family val="1"/>
          </rPr>
          <t xml:space="preserve">remove disease </t>
        </r>
        <r>
          <rPr>
            <sz val="12"/>
            <color indexed="81"/>
            <rFont val="Times New Roman"/>
            <family val="1"/>
          </rPr>
          <t>effect, as the spell, once per week.  She can use this ability one additional time per week for every three levels after 6th (twice per week at 9th, three times at 12th, and so forth).
PHB 44</t>
        </r>
      </text>
    </comment>
    <comment ref="A11" authorId="0" shapeId="0" xr:uid="{00000000-0006-0000-0400-00001100000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C11" authorId="0" shapeId="0" xr:uid="{00000000-0006-0000-0400-00001200000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A12" authorId="0" shapeId="0" xr:uid="{00000000-0006-0000-0400-000013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Prerequisites:</t>
        </r>
        <r>
          <rPr>
            <sz val="12"/>
            <color indexed="81"/>
            <rFont val="Times New Roman"/>
            <family val="1"/>
          </rPr>
          <t xml:space="preserve">  Proficiency with selected weapon, Weapon Focus with selected weapon, fighter level 4th.
</t>
        </r>
        <r>
          <rPr>
            <b/>
            <sz val="12"/>
            <color indexed="81"/>
            <rFont val="Times New Roman"/>
            <family val="1"/>
          </rPr>
          <t>Benefit:</t>
        </r>
        <r>
          <rPr>
            <sz val="12"/>
            <color indexed="81"/>
            <rFont val="Times New Roman"/>
            <family val="1"/>
          </rPr>
          <t xml:space="preserve">  You gain a +2 bonus on all damage rolls you make using the selected weapon.
</t>
        </r>
        <r>
          <rPr>
            <b/>
            <sz val="12"/>
            <color indexed="81"/>
            <rFont val="Times New Roman"/>
            <family val="1"/>
          </rPr>
          <t>Special:</t>
        </r>
        <r>
          <rPr>
            <sz val="12"/>
            <color indexed="81"/>
            <rFont val="Times New Roman"/>
            <family val="1"/>
          </rPr>
          <t xml:space="preserve">  You can gain this feat multiple times.  Its effects do not stack.  Each time you take the feat, it applies to a new type of weapon.
A fighter may select Weapon Specialization as one of his fighter bonus feats (see page 38).
PHB 102</t>
        </r>
      </text>
    </comment>
    <comment ref="C12" authorId="0" shapeId="0" xr:uid="{00000000-0006-0000-0400-00001400000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A13" authorId="0" shapeId="0" xr:uid="{00000000-0006-0000-0400-00001500000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 ref="A14" authorId="0" shapeId="0" xr:uid="{00000000-0006-0000-0400-00001600000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Prerequisite:</t>
        </r>
        <r>
          <rPr>
            <sz val="12"/>
            <color indexed="81"/>
            <rFont val="Times New Roman"/>
            <family val="1"/>
          </rPr>
          <t xml:space="preserve">  Proficient with weapon, base attack bonus +8.
</t>
        </r>
        <r>
          <rPr>
            <b/>
            <sz val="12"/>
            <color indexed="81"/>
            <rFont val="Times New Roman"/>
            <family val="1"/>
          </rPr>
          <t>Benefit:</t>
        </r>
        <r>
          <rPr>
            <sz val="12"/>
            <color indexed="81"/>
            <rFont val="Times New Roman"/>
            <family val="1"/>
          </rPr>
          <t xml:space="preserve">  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Special:</t>
        </r>
        <r>
          <rPr>
            <sz val="12"/>
            <color indexed="81"/>
            <rFont val="Times New Roman"/>
            <family val="1"/>
          </rPr>
          <t xml:space="preserve">  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00000000-0006-0000-0500-000001000000}">
      <text>
        <r>
          <rPr>
            <sz val="12"/>
            <color indexed="81"/>
            <rFont val="Times New Roman"/>
            <family val="1"/>
          </rPr>
          <t>Weapon Specialization +2 dmg</t>
        </r>
      </text>
    </comment>
    <comment ref="D3" authorId="0" shapeId="0" xr:uid="{00000000-0006-0000-0500-000002000000}">
      <text>
        <r>
          <rPr>
            <i/>
            <sz val="12"/>
            <color indexed="81"/>
            <rFont val="Times New Roman"/>
            <family val="1"/>
          </rPr>
          <t>Divine Favor +2</t>
        </r>
      </text>
    </comment>
    <comment ref="E3" authorId="0" shapeId="0" xr:uid="{00000000-0006-0000-0500-000003000000}">
      <text>
        <r>
          <rPr>
            <sz val="12"/>
            <color indexed="81"/>
            <rFont val="Times New Roman"/>
            <family val="1"/>
          </rPr>
          <t>Improved Critical</t>
        </r>
      </text>
    </comment>
    <comment ref="B4" authorId="0" shapeId="0" xr:uid="{00000000-0006-0000-0500-000004000000}">
      <text>
        <r>
          <rPr>
            <sz val="12"/>
            <color indexed="81"/>
            <rFont val="Times New Roman"/>
            <family val="1"/>
          </rPr>
          <t>Weapon Specialization +2 dmg</t>
        </r>
      </text>
    </comment>
    <comment ref="E4" authorId="0" shapeId="0" xr:uid="{00000000-0006-0000-0500-000005000000}">
      <text>
        <r>
          <rPr>
            <sz val="12"/>
            <color indexed="81"/>
            <rFont val="Times New Roman"/>
            <family val="1"/>
          </rPr>
          <t>Improved Critical</t>
        </r>
      </text>
    </comment>
    <comment ref="B5" authorId="0" shapeId="0" xr:uid="{00000000-0006-0000-0500-000006000000}">
      <text>
        <r>
          <rPr>
            <sz val="12"/>
            <color indexed="81"/>
            <rFont val="Times New Roman"/>
            <family val="1"/>
          </rPr>
          <t>Weapon Specialization +2 dmg</t>
        </r>
      </text>
    </comment>
    <comment ref="E5" authorId="0" shapeId="0" xr:uid="{00000000-0006-0000-0500-000007000000}">
      <text>
        <r>
          <rPr>
            <sz val="12"/>
            <color indexed="81"/>
            <rFont val="Times New Roman"/>
            <family val="1"/>
          </rPr>
          <t>Improved Critical</t>
        </r>
      </text>
    </comment>
    <comment ref="B6" authorId="0" shapeId="0" xr:uid="{00000000-0006-0000-0500-000008000000}">
      <text>
        <r>
          <rPr>
            <sz val="12"/>
            <color indexed="81"/>
            <rFont val="Times New Roman"/>
            <family val="1"/>
          </rPr>
          <t>Weapon Specialization +2 dmg</t>
        </r>
      </text>
    </comment>
    <comment ref="E6" authorId="0" shapeId="0" xr:uid="{00000000-0006-0000-0500-000009000000}">
      <text>
        <r>
          <rPr>
            <sz val="12"/>
            <color indexed="81"/>
            <rFont val="Times New Roman"/>
            <family val="1"/>
          </rPr>
          <t>Improved Critical</t>
        </r>
      </text>
    </comment>
    <comment ref="D24" authorId="0" shapeId="0" xr:uid="{00000000-0006-0000-0500-00000A000000}">
      <text>
        <r>
          <rPr>
            <sz val="12"/>
            <color indexed="81"/>
            <rFont val="Times New Roman"/>
            <family val="1"/>
          </rPr>
          <t>Balance, Climb, Escape Artist, Hide, Jump, Move Silently, Sleight of Hand, Tumble.</t>
        </r>
      </text>
    </comment>
    <comment ref="A26" authorId="0" shapeId="0" xr:uid="{00000000-0006-0000-0500-00000B00000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27" authorId="0" shapeId="0" xr:uid="{00000000-0006-0000-0500-00000C00000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 ref="A28" authorId="0" shapeId="0" xr:uid="{00000000-0006-0000-0500-00000D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00000000-0006-0000-0600-00000100000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7"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0" authorId="0" shapeId="0" xr:uid="{00000000-0006-0000-0600-000003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1" authorId="0" shapeId="0" xr:uid="{00000000-0006-0000-0600-00000400000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5" authorId="0" shapeId="0" xr:uid="{00000000-0006-0000-0600-000005000000}">
      <text>
        <r>
          <rPr>
            <sz val="12"/>
            <color indexed="81"/>
            <rFont val="Times New Roman"/>
            <family val="1"/>
          </rPr>
          <t>DMG 238</t>
        </r>
      </text>
    </comment>
  </commentList>
</comments>
</file>

<file path=xl/sharedStrings.xml><?xml version="1.0" encoding="utf-8"?>
<sst xmlns="http://schemas.openxmlformats.org/spreadsheetml/2006/main" count="1040" uniqueCount="415">
  <si>
    <t>Race:</t>
  </si>
  <si>
    <t>Sex:</t>
  </si>
  <si>
    <t>Strength:</t>
  </si>
  <si>
    <t>Dexterity:</t>
  </si>
  <si>
    <t>Level</t>
  </si>
  <si>
    <t>Properties</t>
  </si>
  <si>
    <t>Melee Weapon</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</si>
  <si>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</si>
  <si>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</si>
  <si>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</si>
  <si>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</si>
  <si>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</si>
  <si>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</si>
  <si>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</si>
  <si>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</si>
  <si>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</si>
  <si>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</si>
  <si>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</si>
  <si>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</si>
  <si>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</si>
  <si>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</si>
  <si>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</si>
  <si>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</si>
  <si>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</si>
  <si>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</si>
  <si>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</si>
  <si>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</si>
  <si>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</si>
  <si>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</si>
  <si>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</si>
  <si>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</si>
  <si>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</si>
  <si>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</si>
  <si>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</si>
  <si>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</si>
  <si>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</si>
  <si>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</si>
  <si>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</si>
  <si>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</si>
  <si>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</si>
  <si>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</si>
  <si>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</si>
  <si>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</si>
  <si>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</si>
  <si>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</si>
  <si>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</si>
  <si>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</si>
  <si>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</si>
  <si>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</si>
  <si>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</si>
  <si>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</si>
  <si>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</si>
  <si>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</si>
  <si>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</si>
  <si>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</si>
  <si>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</si>
  <si>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</si>
  <si>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</si>
  <si>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</si>
  <si>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</si>
  <si>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</si>
  <si>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</si>
  <si>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</si>
  <si>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</si>
  <si>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</si>
  <si>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</si>
  <si>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</si>
  <si>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</si>
  <si>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</si>
  <si>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</si>
  <si>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</si>
  <si>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</si>
  <si>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</si>
  <si>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</si>
  <si>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</si>
  <si>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</si>
  <si>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</si>
  <si>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</si>
  <si>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</si>
  <si>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</si>
  <si>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</si>
  <si>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</si>
  <si>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</si>
  <si>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</si>
  <si>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</si>
  <si>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</si>
  <si>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</si>
  <si>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</si>
  <si>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</si>
  <si>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Prepared Spells</t>
  </si>
  <si>
    <t>Divine Health</t>
  </si>
  <si>
    <t>General Feats</t>
  </si>
  <si>
    <t>DC</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</si>
  <si>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</si>
  <si>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</si>
  <si>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</si>
  <si>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</si>
  <si>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</si>
  <si>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</si>
  <si>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</si>
  <si>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</si>
  <si>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</si>
  <si>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</si>
  <si>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</si>
  <si>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</si>
  <si>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</si>
  <si>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</si>
  <si>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</si>
  <si>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</si>
  <si>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</si>
  <si>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</si>
  <si>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</si>
  <si>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</si>
  <si>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</si>
  <si>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</si>
  <si>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</si>
  <si>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</si>
  <si>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</si>
  <si>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</si>
  <si>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</si>
  <si>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</si>
  <si>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</si>
  <si>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</si>
  <si>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</si>
  <si>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</si>
  <si>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</si>
  <si>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</si>
  <si>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</si>
  <si>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</si>
  <si>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</si>
  <si>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</si>
  <si>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</si>
  <si>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</si>
  <si>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</si>
  <si>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</si>
  <si>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</si>
  <si>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</si>
  <si>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</si>
  <si>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</si>
  <si>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</si>
  <si>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</si>
  <si>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</si>
  <si>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</si>
  <si>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</si>
  <si>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Female</t>
  </si>
  <si>
    <t>Special Mount</t>
  </si>
  <si>
    <t>Divine Sacrifice</t>
  </si>
  <si>
    <t>Saddlebags</t>
  </si>
  <si>
    <t>Military Saddle</t>
  </si>
  <si>
    <t>Belt Pouch</t>
  </si>
  <si>
    <t>Whetstone</t>
  </si>
  <si>
    <t>Roll</t>
  </si>
  <si>
    <t>All Armor and Shields (not tower)</t>
  </si>
  <si>
    <t>Simple and Martial Weapons</t>
  </si>
  <si>
    <t>five</t>
  </si>
  <si>
    <t>Divine Grace</t>
  </si>
  <si>
    <t>Mount Encumbrance:</t>
  </si>
  <si>
    <t>19-20/x2</t>
  </si>
  <si>
    <t>Bludgeon</t>
  </si>
  <si>
    <t>Pious Templar</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</si>
  <si>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</si>
  <si>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Pious Templar 1</t>
  </si>
  <si>
    <t>Pious Templar 2</t>
  </si>
  <si>
    <t>Pious Templar 3</t>
  </si>
  <si>
    <t>Knowledge:  Nobility</t>
  </si>
  <si>
    <t>Aura of Good 1/day</t>
  </si>
  <si>
    <t>Turn Undead</t>
  </si>
  <si>
    <t>Silver Holy Symbol</t>
  </si>
  <si>
    <t>Lance</t>
  </si>
  <si>
    <t>Cloak of Charisma +2</t>
  </si>
  <si>
    <t>Gloves of Dexterity +2</t>
  </si>
  <si>
    <t>Crystal of Adaptation, Least</t>
  </si>
  <si>
    <t>Scrolls and Potions</t>
  </si>
  <si>
    <t>CLev</t>
  </si>
  <si>
    <t>Value</t>
  </si>
  <si>
    <t>1</t>
  </si>
  <si>
    <t>On Mount</t>
  </si>
  <si>
    <t>Lance (see Weapons)</t>
  </si>
  <si>
    <t>on mount</t>
  </si>
  <si>
    <t>Male</t>
  </si>
  <si>
    <t>Initiative:</t>
  </si>
  <si>
    <t>Size:</t>
  </si>
  <si>
    <t>Medium</t>
  </si>
  <si>
    <t>Wlk/Brw/Clm:</t>
  </si>
  <si>
    <t>TAC/AC:</t>
  </si>
  <si>
    <t>BAB:</t>
  </si>
  <si>
    <t>Fort:</t>
  </si>
  <si>
    <t>Ref:</t>
  </si>
  <si>
    <t>Will:</t>
  </si>
  <si>
    <t>Mount</t>
  </si>
  <si>
    <t>+1</t>
  </si>
  <si>
    <t>Heavy Warhorse</t>
  </si>
  <si>
    <t>MW Silver Heavy Flail</t>
  </si>
  <si>
    <t>x2</t>
  </si>
  <si>
    <t>30’</t>
  </si>
  <si>
    <t>x3</t>
  </si>
  <si>
    <t>Piercing</t>
  </si>
  <si>
    <t>Common</t>
  </si>
  <si>
    <t>Human:  Power Attack</t>
  </si>
  <si>
    <t>Slashing</t>
  </si>
  <si>
    <t>Total Equity:</t>
  </si>
  <si>
    <t>bypasses lycanthropes’ DR</t>
  </si>
  <si>
    <t>20’</t>
  </si>
  <si>
    <t>Animated Heavy Darkwood Shield +1</t>
  </si>
  <si>
    <t>-</t>
  </si>
  <si>
    <t>1st</t>
  </si>
  <si>
    <t>2nd</t>
  </si>
  <si>
    <t>3rd</t>
  </si>
  <si>
    <t>4th</t>
  </si>
  <si>
    <t>Total Daily Spells</t>
  </si>
  <si>
    <t>Spells by Level</t>
  </si>
  <si>
    <t>Paladin Spells</t>
  </si>
  <si>
    <t>Pious Templar Spells</t>
  </si>
  <si>
    <t>Wisdom Bonus 1</t>
  </si>
  <si>
    <t>Wisdom Bonus 2</t>
  </si>
  <si>
    <t>Bless Weapon</t>
  </si>
  <si>
    <t>Transmutation</t>
  </si>
  <si>
    <t>Enchantment</t>
  </si>
  <si>
    <t>Paladin Features</t>
  </si>
  <si>
    <t>Pious Templar Features</t>
  </si>
  <si>
    <t>Mettle</t>
  </si>
  <si>
    <t>True Believer bonus +2 when invoked</t>
  </si>
  <si>
    <t>40’</t>
  </si>
  <si>
    <t>0’</t>
  </si>
  <si>
    <t>1st:  True Believer</t>
  </si>
  <si>
    <t>3rd:  Weapon Focus:  Greatsword</t>
  </si>
  <si>
    <t>Brant</t>
  </si>
  <si>
    <t>Rhino’s Rush</t>
  </si>
  <si>
    <t>Swift</t>
  </si>
  <si>
    <t>Bull’s Strength</t>
  </si>
  <si>
    <t>6th:  Improved Toughness</t>
  </si>
  <si>
    <t>Weapon Specialization:  Greatsword</t>
  </si>
  <si>
    <t>Grapple</t>
  </si>
  <si>
    <t>Skill/Save</t>
  </si>
  <si>
    <t>9th:  Sacred Healing</t>
  </si>
  <si>
    <t>Improved Critical:  Greatsword</t>
  </si>
  <si>
    <t>Pious Templar 4</t>
  </si>
  <si>
    <t>Javelins, 3</t>
  </si>
  <si>
    <t>17-20/x2</t>
  </si>
  <si>
    <t>Turning Undead</t>
  </si>
  <si>
    <t>Max HD Turned</t>
  </si>
  <si>
    <t>Turns/Day</t>
  </si>
  <si>
    <t>1d20 Roll</t>
  </si>
  <si>
    <t>Turn Check</t>
  </si>
  <si>
    <t>2d6 Roll</t>
  </si>
  <si>
    <t>Turns Used</t>
  </si>
  <si>
    <t>Pious Templar 5</t>
  </si>
  <si>
    <t>Vest of Resistance +2</t>
  </si>
  <si>
    <t xml:space="preserve">Protection from Evil </t>
  </si>
  <si>
    <r>
      <t xml:space="preserve">Potion of </t>
    </r>
    <r>
      <rPr>
        <i/>
        <sz val="12"/>
        <rFont val="Times New Roman"/>
        <family val="1"/>
      </rPr>
      <t>enlarge person</t>
    </r>
  </si>
  <si>
    <t>Restful Crystal</t>
  </si>
  <si>
    <r>
      <t xml:space="preserve">Wand of </t>
    </r>
    <r>
      <rPr>
        <i/>
        <sz val="12"/>
        <rFont val="Times New Roman"/>
        <family val="1"/>
      </rPr>
      <t>cure light wounds</t>
    </r>
  </si>
  <si>
    <t>50 charges</t>
  </si>
  <si>
    <t>110’</t>
  </si>
  <si>
    <t>Arrows</t>
  </si>
  <si>
    <t>Weapons and Armor</t>
  </si>
  <si>
    <t>Tomorrow’s Spells</t>
  </si>
  <si>
    <t>Righteous Fury</t>
  </si>
  <si>
    <t>Reference</t>
  </si>
  <si>
    <t>Page</t>
  </si>
  <si>
    <t>PHB</t>
  </si>
  <si>
    <t>Complete Divine</t>
  </si>
  <si>
    <t>Complete Champion</t>
  </si>
  <si>
    <t>Spell Compendium</t>
  </si>
  <si>
    <t>Amulet of Wisdom +2</t>
  </si>
  <si>
    <t>Lesser Metamagic Rod of Extend</t>
  </si>
  <si>
    <t>MW Composite Longbow, Str +3</t>
  </si>
  <si>
    <t>3rd Attack</t>
  </si>
  <si>
    <r>
      <t xml:space="preserve">4th Attack, </t>
    </r>
    <r>
      <rPr>
        <i/>
        <sz val="12"/>
        <rFont val="Times New Roman"/>
        <family val="1"/>
      </rPr>
      <t>haste</t>
    </r>
  </si>
  <si>
    <t>3</t>
  </si>
  <si>
    <r>
      <t xml:space="preserve">Potion of </t>
    </r>
    <r>
      <rPr>
        <i/>
        <sz val="12"/>
        <rFont val="Times New Roman"/>
        <family val="1"/>
      </rPr>
      <t>cure moderate wounds</t>
    </r>
  </si>
  <si>
    <t>Weapon Proficiency</t>
  </si>
  <si>
    <t>+2 to stay on saddle (Military Saddle)</t>
  </si>
  <si>
    <t>Seal of the Serpent King</t>
  </si>
  <si>
    <t>?</t>
  </si>
  <si>
    <t>Aura of Resolve</t>
  </si>
  <si>
    <t>Protection from Law</t>
  </si>
  <si>
    <t>Protection from Evil</t>
  </si>
  <si>
    <t>Magic Circle vs. Law</t>
  </si>
  <si>
    <t>Remove Curse</t>
  </si>
  <si>
    <t>Smite +1/day (see Smite Evil above)</t>
  </si>
  <si>
    <t>Pious Templar 6</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</si>
  <si>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</si>
  <si>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</si>
  <si>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</si>
  <si>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</si>
  <si>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</si>
  <si>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</si>
  <si>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</si>
  <si>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</si>
  <si>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</si>
  <si>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</si>
  <si>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</si>
  <si>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</si>
  <si>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</si>
  <si>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</si>
  <si>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</si>
  <si>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</si>
  <si>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</si>
  <si>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</si>
  <si>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</si>
  <si>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</si>
  <si>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</si>
  <si>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</si>
  <si>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</si>
  <si>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</si>
  <si>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</si>
  <si>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</si>
  <si>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</si>
  <si>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</si>
  <si>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</si>
  <si>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</si>
  <si>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</si>
  <si>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</si>
  <si>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</si>
  <si>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</si>
  <si>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</si>
  <si>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</si>
  <si>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</si>
  <si>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</si>
  <si>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</si>
  <si>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</si>
  <si>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</si>
  <si>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</si>
  <si>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</si>
  <si>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</si>
  <si>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</si>
  <si>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</si>
  <si>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</si>
  <si>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</si>
  <si>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</si>
  <si>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</si>
  <si>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</si>
  <si>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</si>
  <si>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</si>
  <si>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Traveler’s Outfit</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</si>
  <si>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</si>
  <si>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</si>
  <si>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</si>
  <si>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</si>
  <si>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</si>
  <si>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</si>
  <si>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</si>
  <si>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</si>
  <si>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</si>
  <si>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</si>
  <si>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</si>
  <si>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</si>
  <si>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</si>
  <si>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</si>
  <si>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Sune</t>
  </si>
  <si>
    <t>Chaotic Good</t>
  </si>
  <si>
    <t>Paladin of Freedom</t>
  </si>
  <si>
    <t>Code of Conduct:  Liberator</t>
  </si>
  <si>
    <t>Pearls of Power, 1st level</t>
  </si>
  <si>
    <t>Spells Granted by Sune</t>
  </si>
  <si>
    <t>Full Plate of the Dove +3</t>
  </si>
  <si>
    <t>Affixed to Full Plate</t>
  </si>
  <si>
    <t>Adamantine Illuminating Holy Greatsword +1</t>
  </si>
  <si>
    <t>Detect Evil</t>
  </si>
  <si>
    <r>
      <t xml:space="preserve">Wings (stats as </t>
    </r>
    <r>
      <rPr>
        <i/>
        <sz val="12"/>
        <rFont val="Times New Roman"/>
        <family val="1"/>
      </rPr>
      <t xml:space="preserve">fly </t>
    </r>
    <r>
      <rPr>
        <sz val="12"/>
        <rFont val="Times New Roman"/>
        <family val="1"/>
      </rPr>
      <t>spell, CL 8) 1/day</t>
    </r>
  </si>
  <si>
    <t>q</t>
  </si>
  <si>
    <t>Caster Level:</t>
  </si>
  <si>
    <t>Damage Reduction 2/—</t>
  </si>
  <si>
    <t>Paladin of Freedom 1</t>
  </si>
  <si>
    <t>Paladin of Freedom 2</t>
  </si>
  <si>
    <t>Paladin of Freedom 3</t>
  </si>
  <si>
    <t>Paladin of Freedom 4</t>
  </si>
  <si>
    <t>Paladin of Freedom 5</t>
  </si>
  <si>
    <t>Pious Templar 7</t>
  </si>
  <si>
    <t>+4 to Cha vs. Serpentine NPCs</t>
  </si>
  <si>
    <t>Turn Damage</t>
  </si>
  <si>
    <t>+2d6 to evil</t>
  </si>
  <si>
    <t>ignores 20 hardness</t>
  </si>
  <si>
    <r>
      <t xml:space="preserve">+1 </t>
    </r>
    <r>
      <rPr>
        <i/>
        <sz val="13"/>
        <rFont val="Times New Roman"/>
        <family val="1"/>
      </rPr>
      <t>haste</t>
    </r>
  </si>
  <si>
    <t>Healing Belt</t>
  </si>
  <si>
    <t>1d8[2d6]</t>
  </si>
  <si>
    <t>1d10[2d8]</t>
  </si>
  <si>
    <t>1d6[1d8]</t>
  </si>
  <si>
    <t>2nd Attack [damage while Large]</t>
  </si>
  <si>
    <t>12th:  Blind-Fight</t>
  </si>
  <si>
    <t>Bear’s Endurance</t>
  </si>
  <si>
    <t>NPC</t>
  </si>
  <si>
    <t>Remove Disease 2/week</t>
  </si>
  <si>
    <t>Smite Heretic</t>
  </si>
  <si>
    <t>Paladin of Freedom 6</t>
  </si>
  <si>
    <t>Paladin of Freedom 7</t>
  </si>
  <si>
    <t>þ</t>
  </si>
  <si>
    <t>2d6[3d6]+2</t>
  </si>
  <si>
    <t>Dmg[Large]</t>
  </si>
  <si>
    <r>
      <t xml:space="preserve">Potion of </t>
    </r>
    <r>
      <rPr>
        <i/>
        <sz val="12"/>
        <rFont val="Times New Roman"/>
        <family val="1"/>
      </rPr>
      <t>owl’s wisdom</t>
    </r>
  </si>
  <si>
    <t>Race</t>
  </si>
  <si>
    <t>Sex</t>
  </si>
  <si>
    <t>Class</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</si>
  <si>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</si>
  <si>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</si>
  <si>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</si>
  <si>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</si>
  <si>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</si>
  <si>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</si>
  <si>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</si>
  <si>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</si>
  <si>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</si>
  <si>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</si>
  <si>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</si>
  <si>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</si>
  <si>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</si>
  <si>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</si>
  <si>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</si>
  <si>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</si>
  <si>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</si>
  <si>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Liberté</t>
  </si>
  <si>
    <t>Region</t>
  </si>
  <si>
    <t>Age</t>
  </si>
  <si>
    <r>
      <t xml:space="preserve">+1 to AB &amp; dmg., </t>
    </r>
    <r>
      <rPr>
        <i/>
        <sz val="12"/>
        <rFont val="Times New Roman"/>
        <family val="1"/>
      </rPr>
      <t>divine favor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</si>
</sst>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3C0A]\ #,##0"/>
  </numFmts>
  <fonts count="7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7"/>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
      <i/>
      <sz val="22"/>
      <color rgb="FFFF0000"/>
      <name val="Times New Roman"/>
      <family val="1"/>
    </font>
    <font>
      <sz val="13"/>
      <color rgb="FFFFFF00"/>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
      <patternFill patternType="solid">
        <fgColor theme="0"/>
        <bgColor indexed="64"/>
      </patternFill>
    </fill>
    <fill>
      <patternFill patternType="solid">
        <fgColor rgb="FFFFCCFF"/>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73">
    <xf numFmtId="0" fontId="0" fillId="0" borderId="0" xfId="0"/>
    <xf numFmtId="0" fontId="5" fillId="0" borderId="0" xfId="0" applyFont="1"/>
    <xf numFmtId="0" fontId="4" fillId="0" borderId="0" xfId="0" applyFont="1" applyAlignment="1">
      <alignment horizontal="right"/>
    </xf>
    <xf numFmtId="0" fontId="5" fillId="0" borderId="0" xfId="0" applyFont="1" applyAlignment="1">
      <alignment horizontal="left"/>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46" fillId="11"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20" xfId="0" applyFont="1" applyFill="1" applyBorder="1" applyAlignment="1">
      <alignment horizontal="centerContinuous" vertical="center" wrapText="1"/>
    </xf>
    <xf numFmtId="0" fontId="12" fillId="3" borderId="21" xfId="0" applyFont="1" applyFill="1" applyBorder="1" applyAlignment="1">
      <alignment horizontal="center" vertical="center" wrapText="1"/>
    </xf>
    <xf numFmtId="0" fontId="4" fillId="0" borderId="0" xfId="0" applyFont="1" applyAlignment="1">
      <alignment vertical="center" wrapText="1"/>
    </xf>
    <xf numFmtId="0" fontId="2" fillId="0" borderId="44"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vertical="center"/>
    </xf>
    <xf numFmtId="0" fontId="21" fillId="13" borderId="14" xfId="0" applyFont="1" applyFill="1" applyBorder="1" applyAlignment="1">
      <alignment horizontal="center" vertical="center"/>
    </xf>
    <xf numFmtId="0" fontId="21" fillId="13" borderId="15" xfId="0" applyFont="1" applyFill="1" applyBorder="1" applyAlignment="1">
      <alignment horizontal="center" vertical="center"/>
    </xf>
    <xf numFmtId="49" fontId="21" fillId="13" borderId="15" xfId="0" applyNumberFormat="1" applyFont="1" applyFill="1" applyBorder="1" applyAlignment="1">
      <alignment horizontal="center" vertical="center"/>
    </xf>
    <xf numFmtId="0" fontId="21" fillId="13" borderId="19" xfId="0" applyFont="1" applyFill="1" applyBorder="1" applyAlignment="1">
      <alignment horizontal="center" vertical="center"/>
    </xf>
    <xf numFmtId="0" fontId="49" fillId="11" borderId="19" xfId="0" applyFont="1" applyFill="1" applyBorder="1" applyAlignment="1">
      <alignment horizontal="center" vertical="center"/>
    </xf>
    <xf numFmtId="0" fontId="21" fillId="13" borderId="16"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Fill="1" applyBorder="1" applyAlignment="1">
      <alignment horizontal="center" vertical="center"/>
    </xf>
    <xf numFmtId="164" fontId="2" fillId="0" borderId="50" xfId="0" applyNumberFormat="1" applyFont="1" applyBorder="1" applyAlignment="1">
      <alignment horizontal="center" vertical="center"/>
    </xf>
    <xf numFmtId="164" fontId="5" fillId="0" borderId="50" xfId="0" applyNumberFormat="1" applyFont="1" applyBorder="1" applyAlignment="1">
      <alignment horizontal="center" vertical="center"/>
    </xf>
    <xf numFmtId="0" fontId="2" fillId="0" borderId="52" xfId="0" applyFont="1" applyBorder="1" applyAlignment="1">
      <alignment horizontal="center" vertical="center"/>
    </xf>
    <xf numFmtId="0" fontId="5" fillId="0" borderId="0" xfId="0" applyFont="1" applyAlignment="1">
      <alignment horizontal="center" vertical="center"/>
    </xf>
    <xf numFmtId="0" fontId="5" fillId="0" borderId="55" xfId="0" applyFont="1" applyBorder="1" applyAlignment="1">
      <alignment horizontal="center" vertical="center"/>
    </xf>
    <xf numFmtId="164" fontId="5" fillId="0" borderId="55"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13" borderId="19" xfId="0" applyFont="1" applyFill="1" applyBorder="1" applyAlignment="1">
      <alignment horizontal="centerContinuous" vertical="center"/>
    </xf>
    <xf numFmtId="0" fontId="21" fillId="13" borderId="60" xfId="0" applyFont="1" applyFill="1" applyBorder="1" applyAlignment="1">
      <alignment horizontal="centerContinuous" vertical="center"/>
    </xf>
    <xf numFmtId="0" fontId="21" fillId="13" borderId="61" xfId="0" applyFont="1" applyFill="1" applyBorder="1" applyAlignment="1">
      <alignment horizontal="centerContinuous" vertical="center"/>
    </xf>
    <xf numFmtId="164" fontId="5" fillId="0" borderId="63" xfId="0" applyNumberFormat="1" applyFont="1" applyBorder="1" applyAlignment="1">
      <alignment horizontal="centerContinuous" vertical="center"/>
    </xf>
    <xf numFmtId="9" fontId="5" fillId="0" borderId="55" xfId="0" applyNumberFormat="1" applyFont="1" applyBorder="1" applyAlignment="1">
      <alignment horizontal="center" vertical="center"/>
    </xf>
    <xf numFmtId="164" fontId="5" fillId="0" borderId="9" xfId="0" applyNumberFormat="1" applyFont="1" applyBorder="1" applyAlignment="1">
      <alignment horizontal="centerContinuous" vertical="center"/>
    </xf>
    <xf numFmtId="0" fontId="5" fillId="0" borderId="10" xfId="0" applyFont="1" applyBorder="1" applyAlignment="1">
      <alignment horizontal="centerContinuous" vertical="center"/>
    </xf>
    <xf numFmtId="0" fontId="18" fillId="0" borderId="0" xfId="0" applyFont="1" applyAlignment="1">
      <alignment horizontal="right" vertical="center"/>
    </xf>
    <xf numFmtId="0" fontId="21" fillId="13" borderId="17" xfId="0" applyFont="1" applyFill="1" applyBorder="1" applyAlignment="1">
      <alignment horizontal="centerContinuous" vertical="center"/>
    </xf>
    <xf numFmtId="0" fontId="21" fillId="13" borderId="18" xfId="0" applyFont="1" applyFill="1" applyBorder="1" applyAlignment="1">
      <alignment horizontal="centerContinuous" vertical="center"/>
    </xf>
    <xf numFmtId="0" fontId="21" fillId="13" borderId="61" xfId="0" applyFont="1" applyFill="1" applyBorder="1" applyAlignment="1">
      <alignment horizontal="center" vertical="center"/>
    </xf>
    <xf numFmtId="0" fontId="5" fillId="0" borderId="63" xfId="0" applyFont="1" applyBorder="1" applyAlignment="1">
      <alignment horizontal="centerContinuous" vertical="center"/>
    </xf>
    <xf numFmtId="0" fontId="5" fillId="0" borderId="77" xfId="0" applyFont="1" applyBorder="1" applyAlignment="1">
      <alignment horizontal="centerContinuous" vertical="center"/>
    </xf>
    <xf numFmtId="0" fontId="5" fillId="0" borderId="76" xfId="0" applyFont="1" applyBorder="1" applyAlignment="1">
      <alignment horizontal="center" vertical="center"/>
    </xf>
    <xf numFmtId="49" fontId="2" fillId="0" borderId="77" xfId="0" applyNumberFormat="1" applyFont="1" applyBorder="1" applyAlignment="1">
      <alignment horizontal="center" vertical="center"/>
    </xf>
    <xf numFmtId="0" fontId="5" fillId="0" borderId="64" xfId="0" applyFont="1" applyBorder="1" applyAlignment="1">
      <alignment horizontal="center" vertical="center"/>
    </xf>
    <xf numFmtId="0" fontId="5" fillId="0" borderId="49" xfId="0" applyFont="1" applyBorder="1" applyAlignment="1">
      <alignment horizontal="centerContinuous" vertical="center"/>
    </xf>
    <xf numFmtId="0" fontId="5" fillId="0" borderId="80" xfId="0" applyFont="1" applyBorder="1" applyAlignment="1">
      <alignment horizontal="centerContinuous" vertical="center"/>
    </xf>
    <xf numFmtId="0" fontId="5" fillId="0" borderId="78" xfId="0" applyFont="1" applyBorder="1" applyAlignment="1">
      <alignment horizontal="centerContinuous" vertical="center"/>
    </xf>
    <xf numFmtId="164" fontId="5" fillId="0" borderId="79" xfId="0" applyNumberFormat="1" applyFont="1" applyBorder="1" applyAlignment="1">
      <alignment horizontal="center" vertical="center"/>
    </xf>
    <xf numFmtId="49" fontId="5" fillId="0" borderId="78" xfId="0" applyNumberFormat="1" applyFont="1" applyBorder="1" applyAlignment="1">
      <alignment horizontal="center" vertical="center"/>
    </xf>
    <xf numFmtId="164" fontId="5" fillId="0" borderId="81" xfId="0" applyNumberFormat="1" applyFont="1" applyBorder="1" applyAlignment="1">
      <alignment horizontal="centerContinuous" vertical="center"/>
    </xf>
    <xf numFmtId="0" fontId="5" fillId="0" borderId="82" xfId="0" applyFont="1" applyBorder="1" applyAlignment="1">
      <alignment horizontal="center" vertical="center"/>
    </xf>
    <xf numFmtId="164" fontId="3" fillId="0" borderId="0" xfId="0" applyNumberFormat="1" applyFont="1" applyAlignment="1">
      <alignment horizontal="centerContinuous" vertical="center"/>
    </xf>
    <xf numFmtId="0" fontId="21" fillId="3" borderId="41" xfId="0" applyFont="1" applyFill="1" applyBorder="1" applyAlignment="1">
      <alignment horizontal="center" vertical="center"/>
    </xf>
    <xf numFmtId="164" fontId="21" fillId="3" borderId="42" xfId="0" applyNumberFormat="1" applyFont="1" applyFill="1" applyBorder="1" applyAlignment="1">
      <alignment horizontal="center" vertical="center"/>
    </xf>
    <xf numFmtId="0" fontId="21" fillId="3" borderId="41" xfId="0" applyFont="1" applyFill="1" applyBorder="1" applyAlignment="1">
      <alignment horizontal="right" vertical="center"/>
    </xf>
    <xf numFmtId="0" fontId="21" fillId="3" borderId="43" xfId="0" applyFont="1" applyFill="1" applyBorder="1" applyAlignment="1">
      <alignment vertical="center"/>
    </xf>
    <xf numFmtId="0" fontId="2" fillId="0" borderId="68"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0" fontId="5" fillId="0" borderId="68"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34" fillId="0" borderId="31" xfId="0" applyFont="1" applyBorder="1" applyAlignment="1">
      <alignment horizontal="centerContinuous" vertical="center" wrapText="1"/>
    </xf>
    <xf numFmtId="0" fontId="15" fillId="0" borderId="32" xfId="0" applyFont="1" applyBorder="1" applyAlignment="1">
      <alignment horizontal="centerContinuous" vertical="center" wrapText="1"/>
    </xf>
    <xf numFmtId="0" fontId="15" fillId="0" borderId="33" xfId="0" applyFont="1" applyBorder="1" applyAlignment="1">
      <alignment horizontal="centerContinuous" vertical="center" wrapText="1"/>
    </xf>
    <xf numFmtId="0" fontId="5" fillId="0" borderId="0" xfId="0" applyFont="1" applyAlignment="1">
      <alignment vertical="center" wrapText="1"/>
    </xf>
    <xf numFmtId="0" fontId="12" fillId="10" borderId="35" xfId="0" applyFont="1" applyFill="1" applyBorder="1" applyAlignment="1">
      <alignment horizontal="centerContinuous"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5" fillId="0" borderId="0" xfId="0" applyFont="1" applyAlignment="1">
      <alignment horizontal="left" vertical="center"/>
    </xf>
    <xf numFmtId="0" fontId="47" fillId="0" borderId="40" xfId="0" applyFont="1" applyBorder="1" applyAlignment="1">
      <alignment horizontal="centerContinuous" vertical="center" shrinkToFit="1"/>
    </xf>
    <xf numFmtId="0" fontId="2" fillId="0" borderId="0" xfId="0" applyFont="1" applyAlignment="1">
      <alignment vertical="center" wrapText="1"/>
    </xf>
    <xf numFmtId="0" fontId="35" fillId="9" borderId="38" xfId="2" applyNumberFormat="1" applyFont="1" applyFill="1" applyBorder="1" applyAlignment="1">
      <alignment horizontal="center" vertical="center" shrinkToFit="1"/>
    </xf>
    <xf numFmtId="0" fontId="17" fillId="0" borderId="40" xfId="0" applyFont="1" applyBorder="1" applyAlignment="1">
      <alignment horizontal="center" vertical="center" shrinkToFit="1"/>
    </xf>
    <xf numFmtId="0" fontId="27" fillId="0" borderId="40" xfId="0" applyFont="1" applyBorder="1" applyAlignment="1">
      <alignment horizontal="centerContinuous" vertical="center"/>
    </xf>
    <xf numFmtId="0" fontId="5" fillId="0" borderId="0" xfId="0" applyFont="1" applyAlignment="1">
      <alignment horizontal="left" vertical="center" wrapText="1"/>
    </xf>
    <xf numFmtId="0" fontId="4" fillId="0" borderId="0" xfId="0" applyFont="1" applyAlignment="1">
      <alignment horizontal="right" vertical="center" wrapText="1"/>
    </xf>
    <xf numFmtId="0" fontId="7" fillId="0" borderId="59" xfId="0" applyFont="1" applyBorder="1" applyAlignment="1">
      <alignment horizontal="center" vertical="center" shrinkToFit="1"/>
    </xf>
    <xf numFmtId="0" fontId="25" fillId="0" borderId="23" xfId="0" applyFont="1" applyBorder="1" applyAlignment="1">
      <alignment horizontal="centerContinuous" vertical="center"/>
    </xf>
    <xf numFmtId="0" fontId="15" fillId="0" borderId="0" xfId="0" applyFont="1" applyAlignment="1">
      <alignment horizontal="centerContinuous" vertical="center"/>
    </xf>
    <xf numFmtId="0" fontId="7" fillId="0" borderId="25" xfId="0" applyFont="1" applyBorder="1" applyAlignment="1">
      <alignment horizontal="center" vertical="center"/>
    </xf>
    <xf numFmtId="0" fontId="27" fillId="0" borderId="26" xfId="0" applyFont="1" applyBorder="1" applyAlignment="1">
      <alignment horizontal="center" vertical="center"/>
    </xf>
    <xf numFmtId="49" fontId="7" fillId="0" borderId="25" xfId="0" applyNumberFormat="1" applyFont="1" applyBorder="1" applyAlignment="1">
      <alignment horizontal="center" vertical="center"/>
    </xf>
    <xf numFmtId="1" fontId="7" fillId="0" borderId="25" xfId="0" applyNumberFormat="1" applyFont="1" applyBorder="1" applyAlignment="1">
      <alignment horizontal="center" vertical="center" wrapText="1"/>
    </xf>
    <xf numFmtId="0" fontId="44" fillId="11" borderId="26" xfId="0" applyFont="1" applyFill="1" applyBorder="1" applyAlignment="1">
      <alignment horizontal="center" vertical="center"/>
    </xf>
    <xf numFmtId="0" fontId="45" fillId="0" borderId="1" xfId="0" applyFont="1" applyBorder="1" applyAlignment="1">
      <alignment vertical="center"/>
    </xf>
    <xf numFmtId="0" fontId="24" fillId="0" borderId="26" xfId="0" applyFont="1" applyBorder="1" applyAlignment="1">
      <alignment horizontal="center" vertical="center"/>
    </xf>
    <xf numFmtId="0" fontId="13" fillId="0" borderId="26" xfId="0" applyFont="1" applyBorder="1" applyAlignment="1">
      <alignment horizontal="center" vertical="center"/>
    </xf>
    <xf numFmtId="49" fontId="7" fillId="0" borderId="25" xfId="0" applyNumberFormat="1" applyFont="1" applyBorder="1" applyAlignment="1">
      <alignment horizontal="center" vertical="center" wrapText="1"/>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28" fillId="0" borderId="12" xfId="0" applyFont="1" applyBorder="1" applyAlignment="1">
      <alignment horizontal="center" vertical="center"/>
    </xf>
    <xf numFmtId="0" fontId="28" fillId="0" borderId="54" xfId="0" applyFont="1" applyBorder="1" applyAlignment="1">
      <alignment horizontal="center" vertical="center"/>
    </xf>
    <xf numFmtId="49" fontId="7" fillId="0" borderId="54" xfId="0" applyNumberFormat="1"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1" borderId="54" xfId="0" applyFont="1" applyFill="1" applyBorder="1" applyAlignment="1">
      <alignment horizontal="center" vertical="center"/>
    </xf>
    <xf numFmtId="0" fontId="11"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7"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13" fillId="0" borderId="1" xfId="0" applyFont="1" applyBorder="1" applyAlignment="1">
      <alignment vertical="center"/>
    </xf>
    <xf numFmtId="49" fontId="24" fillId="0" borderId="25" xfId="0" applyNumberFormat="1" applyFont="1" applyBorder="1" applyAlignment="1">
      <alignment horizontal="center" vertical="center"/>
    </xf>
    <xf numFmtId="0" fontId="14"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4" fillId="0" borderId="26" xfId="0" applyFont="1" applyBorder="1" applyAlignment="1">
      <alignment horizontal="center" vertical="center"/>
    </xf>
    <xf numFmtId="0" fontId="8"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7" fillId="14" borderId="25" xfId="0" applyFont="1" applyFill="1" applyBorder="1" applyAlignment="1">
      <alignment horizontal="center" vertical="center"/>
    </xf>
    <xf numFmtId="49" fontId="7" fillId="14" borderId="26" xfId="0" applyNumberFormat="1" applyFont="1" applyFill="1" applyBorder="1" applyAlignment="1">
      <alignment horizontal="center" vertical="center"/>
    </xf>
    <xf numFmtId="0" fontId="7" fillId="14" borderId="27" xfId="0" applyFont="1" applyFill="1" applyBorder="1" applyAlignment="1">
      <alignment horizontal="center" vertical="center"/>
    </xf>
    <xf numFmtId="0" fontId="11" fillId="5" borderId="1" xfId="0" applyFont="1" applyFill="1" applyBorder="1" applyAlignment="1">
      <alignment vertical="center"/>
    </xf>
    <xf numFmtId="0" fontId="7" fillId="5" borderId="25" xfId="0" applyFont="1" applyFill="1" applyBorder="1" applyAlignment="1">
      <alignment horizontal="center" vertical="center"/>
    </xf>
    <xf numFmtId="49" fontId="16" fillId="5" borderId="25" xfId="0" applyNumberFormat="1" applyFont="1" applyFill="1" applyBorder="1" applyAlignment="1">
      <alignment horizontal="center" vertical="center"/>
    </xf>
    <xf numFmtId="0" fontId="16" fillId="5" borderId="26" xfId="0" applyFont="1" applyFill="1" applyBorder="1" applyAlignment="1">
      <alignment horizontal="center" vertical="center"/>
    </xf>
    <xf numFmtId="49" fontId="7" fillId="5" borderId="26" xfId="0" applyNumberFormat="1" applyFont="1" applyFill="1" applyBorder="1" applyAlignment="1">
      <alignment horizontal="center" vertical="center"/>
    </xf>
    <xf numFmtId="0" fontId="7" fillId="5" borderId="27" xfId="0" applyFont="1" applyFill="1" applyBorder="1" applyAlignment="1">
      <alignment horizontal="center" vertical="center"/>
    </xf>
    <xf numFmtId="0" fontId="14" fillId="14" borderId="1" xfId="0" applyFont="1" applyFill="1" applyBorder="1" applyAlignment="1">
      <alignment vertical="center"/>
    </xf>
    <xf numFmtId="49" fontId="23" fillId="14" borderId="25" xfId="0" applyNumberFormat="1" applyFont="1" applyFill="1" applyBorder="1" applyAlignment="1">
      <alignment horizontal="center" vertical="center"/>
    </xf>
    <xf numFmtId="0" fontId="23" fillId="14" borderId="26" xfId="0" applyFont="1" applyFill="1" applyBorder="1" applyAlignment="1">
      <alignment horizontal="center" vertical="center"/>
    </xf>
    <xf numFmtId="0" fontId="14" fillId="14" borderId="26" xfId="0" applyFont="1" applyFill="1" applyBorder="1" applyAlignment="1">
      <alignment horizontal="center" vertical="center"/>
    </xf>
    <xf numFmtId="0" fontId="7" fillId="0" borderId="27" xfId="0" applyFont="1" applyBorder="1" applyAlignment="1">
      <alignment horizontal="center" vertical="center" wrapText="1"/>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22" fillId="0" borderId="1" xfId="0" applyFont="1" applyBorder="1" applyAlignment="1">
      <alignment vertical="center"/>
    </xf>
    <xf numFmtId="49" fontId="28" fillId="0" borderId="25" xfId="0" applyNumberFormat="1" applyFont="1" applyBorder="1" applyAlignment="1">
      <alignment horizontal="center" vertical="center"/>
    </xf>
    <xf numFmtId="0" fontId="28" fillId="0" borderId="26" xfId="0" applyFont="1" applyBorder="1" applyAlignment="1">
      <alignment horizontal="center" vertical="center"/>
    </xf>
    <xf numFmtId="0" fontId="14" fillId="6" borderId="1" xfId="0" applyFont="1" applyFill="1" applyBorder="1" applyAlignment="1">
      <alignment vertical="center"/>
    </xf>
    <xf numFmtId="49" fontId="23" fillId="7" borderId="25" xfId="0" applyNumberFormat="1" applyFont="1" applyFill="1" applyBorder="1" applyAlignment="1">
      <alignment horizontal="center" vertical="center"/>
    </xf>
    <xf numFmtId="0" fontId="23" fillId="7" borderId="26" xfId="0" applyFont="1" applyFill="1" applyBorder="1" applyAlignment="1">
      <alignment horizontal="center" vertical="center"/>
    </xf>
    <xf numFmtId="0" fontId="23" fillId="6" borderId="26" xfId="0" applyFont="1" applyFill="1" applyBorder="1" applyAlignment="1">
      <alignment horizontal="center" vertical="center"/>
    </xf>
    <xf numFmtId="0" fontId="11" fillId="14" borderId="1" xfId="0" applyFont="1" applyFill="1" applyBorder="1" applyAlignment="1">
      <alignment vertical="center"/>
    </xf>
    <xf numFmtId="49" fontId="16" fillId="14" borderId="25" xfId="0" applyNumberFormat="1" applyFont="1" applyFill="1" applyBorder="1" applyAlignment="1">
      <alignment horizontal="center" vertical="center"/>
    </xf>
    <xf numFmtId="0" fontId="16" fillId="14" borderId="26" xfId="0" applyFont="1" applyFill="1" applyBorder="1" applyAlignment="1">
      <alignment horizontal="center" vertical="center"/>
    </xf>
    <xf numFmtId="0" fontId="22" fillId="0" borderId="26" xfId="0" applyFont="1" applyBorder="1" applyAlignment="1">
      <alignment horizontal="center" vertical="center"/>
    </xf>
    <xf numFmtId="0" fontId="13" fillId="5" borderId="1" xfId="0" applyFont="1" applyFill="1" applyBorder="1" applyAlignment="1">
      <alignment vertical="center"/>
    </xf>
    <xf numFmtId="49" fontId="24" fillId="5" borderId="25"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14"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Font="1" applyFill="1" applyBorder="1" applyAlignment="1">
      <alignment horizontal="center" vertical="center"/>
    </xf>
    <xf numFmtId="0" fontId="13" fillId="8" borderId="1" xfId="0" applyFont="1" applyFill="1" applyBorder="1" applyAlignment="1">
      <alignment vertical="center"/>
    </xf>
    <xf numFmtId="0" fontId="7" fillId="8" borderId="25" xfId="0"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Font="1" applyFill="1" applyBorder="1" applyAlignment="1">
      <alignment horizontal="center" vertical="center"/>
    </xf>
    <xf numFmtId="0" fontId="13" fillId="8" borderId="26" xfId="0"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Font="1" applyFill="1" applyBorder="1" applyAlignment="1">
      <alignment horizontal="center" vertical="center"/>
    </xf>
    <xf numFmtId="0" fontId="22" fillId="8" borderId="1" xfId="0" applyFont="1" applyFill="1" applyBorder="1" applyAlignment="1">
      <alignment vertical="center"/>
    </xf>
    <xf numFmtId="49" fontId="28" fillId="8" borderId="25" xfId="0" applyNumberFormat="1" applyFont="1" applyFill="1" applyBorder="1" applyAlignment="1">
      <alignment horizontal="center" vertical="center"/>
    </xf>
    <xf numFmtId="0" fontId="28" fillId="8" borderId="26" xfId="0" applyFont="1" applyFill="1" applyBorder="1" applyAlignment="1">
      <alignment horizontal="center" vertical="center"/>
    </xf>
    <xf numFmtId="0" fontId="11" fillId="4" borderId="1" xfId="0" applyFont="1" applyFill="1" applyBorder="1" applyAlignment="1">
      <alignment vertical="center"/>
    </xf>
    <xf numFmtId="0" fontId="7" fillId="4" borderId="25" xfId="0"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Font="1" applyFill="1" applyBorder="1" applyAlignment="1">
      <alignment horizontal="center" vertical="center"/>
    </xf>
    <xf numFmtId="49" fontId="7" fillId="4" borderId="26"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7" fillId="0" borderId="27" xfId="0" quotePrefix="1" applyFont="1" applyBorder="1" applyAlignment="1">
      <alignment horizontal="center" vertical="center"/>
    </xf>
    <xf numFmtId="0" fontId="13"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3" fillId="6" borderId="8" xfId="0" applyFont="1" applyFill="1" applyBorder="1" applyAlignment="1">
      <alignment vertical="center"/>
    </xf>
    <xf numFmtId="0" fontId="7" fillId="6" borderId="55" xfId="0" applyFont="1" applyFill="1" applyBorder="1" applyAlignment="1">
      <alignment horizontal="center" vertical="center"/>
    </xf>
    <xf numFmtId="49" fontId="24" fillId="6" borderId="55" xfId="0" applyNumberFormat="1" applyFont="1" applyFill="1" applyBorder="1" applyAlignment="1">
      <alignment horizontal="center" vertical="center"/>
    </xf>
    <xf numFmtId="0" fontId="24" fillId="6" borderId="56" xfId="0" applyFont="1" applyFill="1" applyBorder="1" applyAlignment="1">
      <alignment horizontal="center" vertical="center"/>
    </xf>
    <xf numFmtId="49" fontId="7" fillId="6" borderId="56" xfId="0" applyNumberFormat="1" applyFont="1" applyFill="1" applyBorder="1" applyAlignment="1">
      <alignment horizontal="center" vertical="center"/>
    </xf>
    <xf numFmtId="0" fontId="44" fillId="11" borderId="56" xfId="0" applyFont="1" applyFill="1" applyBorder="1" applyAlignment="1">
      <alignment horizontal="center" vertical="center"/>
    </xf>
    <xf numFmtId="0" fontId="7" fillId="6" borderId="39" xfId="0" applyFont="1" applyFill="1" applyBorder="1" applyAlignment="1">
      <alignment horizontal="center" vertical="center"/>
    </xf>
    <xf numFmtId="0" fontId="4" fillId="0" borderId="0" xfId="0" applyFont="1" applyAlignment="1">
      <alignment horizontal="right" vertical="center"/>
    </xf>
    <xf numFmtId="0" fontId="15" fillId="0" borderId="0" xfId="0" applyFont="1" applyAlignment="1">
      <alignment horizontal="centerContinuous" vertical="center" wrapText="1"/>
    </xf>
    <xf numFmtId="0" fontId="12" fillId="10" borderId="20" xfId="0" applyFont="1" applyFill="1" applyBorder="1" applyAlignment="1">
      <alignment horizontal="centerContinuous" vertical="center" wrapText="1"/>
    </xf>
    <xf numFmtId="0" fontId="12" fillId="10" borderId="21" xfId="0" applyFont="1" applyFill="1" applyBorder="1" applyAlignment="1">
      <alignment horizontal="center" vertical="center" wrapText="1"/>
    </xf>
    <xf numFmtId="0" fontId="21" fillId="10" borderId="21" xfId="0" applyFont="1" applyFill="1" applyBorder="1" applyAlignment="1">
      <alignment horizontal="center" vertical="center" wrapText="1"/>
    </xf>
    <xf numFmtId="0" fontId="12" fillId="10" borderId="22" xfId="0" applyFont="1" applyFill="1" applyBorder="1" applyAlignment="1">
      <alignment horizontal="centerContinuous" vertical="center" wrapText="1"/>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40" fillId="2" borderId="7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7" xfId="0" applyFont="1" applyFill="1" applyBorder="1" applyAlignment="1">
      <alignment horizontal="right" vertical="center"/>
    </xf>
    <xf numFmtId="0" fontId="7" fillId="0" borderId="0" xfId="0" applyFont="1" applyAlignment="1">
      <alignment horizontal="left" vertical="center"/>
    </xf>
    <xf numFmtId="0" fontId="8" fillId="2" borderId="11" xfId="0" applyFont="1" applyFill="1" applyBorder="1" applyAlignment="1">
      <alignment horizontal="right" vertical="center"/>
    </xf>
    <xf numFmtId="0" fontId="26" fillId="0" borderId="12" xfId="0" applyFont="1" applyBorder="1" applyAlignment="1">
      <alignment horizontal="center" vertical="center"/>
    </xf>
    <xf numFmtId="0" fontId="10" fillId="4" borderId="7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2" xfId="0" applyNumberFormat="1" applyFont="1" applyBorder="1" applyAlignment="1">
      <alignment horizontal="center" vertical="center"/>
    </xf>
    <xf numFmtId="0" fontId="10" fillId="4" borderId="65" xfId="0" applyFont="1" applyFill="1" applyBorder="1" applyAlignment="1">
      <alignment horizontal="right" vertical="center"/>
    </xf>
    <xf numFmtId="164" fontId="6" fillId="9" borderId="30"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8" fillId="4" borderId="65" xfId="0" applyFont="1" applyFill="1" applyBorder="1" applyAlignment="1">
      <alignment horizontal="right" vertical="center"/>
    </xf>
    <xf numFmtId="0" fontId="41"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14" fillId="2" borderId="13" xfId="0" applyFont="1" applyFill="1" applyBorder="1" applyAlignment="1">
      <alignment horizontal="right" vertical="center"/>
    </xf>
    <xf numFmtId="0" fontId="11" fillId="4" borderId="66" xfId="0" applyFont="1" applyFill="1" applyBorder="1" applyAlignment="1">
      <alignment horizontal="right" vertical="center"/>
    </xf>
    <xf numFmtId="0" fontId="7" fillId="0" borderId="1"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5" fillId="0" borderId="44" xfId="0" applyFont="1" applyBorder="1" applyAlignment="1">
      <alignment horizontal="left" vertical="center"/>
    </xf>
    <xf numFmtId="0" fontId="5" fillId="0" borderId="69" xfId="0" applyFont="1" applyBorder="1" applyAlignment="1">
      <alignment horizontal="center" vertical="center" shrinkToFit="1"/>
    </xf>
    <xf numFmtId="0" fontId="5" fillId="0" borderId="50" xfId="0" applyFont="1" applyBorder="1" applyAlignment="1">
      <alignment horizontal="left" vertical="center"/>
    </xf>
    <xf numFmtId="0" fontId="3" fillId="0" borderId="0" xfId="0" applyFont="1" applyAlignment="1">
      <alignment vertical="center"/>
    </xf>
    <xf numFmtId="0" fontId="5" fillId="0" borderId="67" xfId="0" applyFont="1" applyBorder="1" applyAlignment="1">
      <alignment horizontal="center" vertical="center" shrinkToFit="1"/>
    </xf>
    <xf numFmtId="164" fontId="5" fillId="0" borderId="53" xfId="0" applyNumberFormat="1" applyFont="1" applyBorder="1" applyAlignment="1">
      <alignment horizontal="center" vertical="center" shrinkToFit="1"/>
    </xf>
    <xf numFmtId="0" fontId="2" fillId="0" borderId="44" xfId="0" applyFont="1" applyBorder="1" applyAlignment="1">
      <alignment horizontal="left" vertical="center"/>
    </xf>
    <xf numFmtId="0" fontId="39" fillId="0" borderId="0" xfId="0" applyFont="1" applyAlignment="1">
      <alignment vertical="center"/>
    </xf>
    <xf numFmtId="1" fontId="6" fillId="0" borderId="28" xfId="0" applyNumberFormat="1" applyFont="1" applyBorder="1" applyAlignment="1">
      <alignment horizontal="center" vertical="center"/>
    </xf>
    <xf numFmtId="49" fontId="16" fillId="0" borderId="38" xfId="0" applyNumberFormat="1" applyFont="1" applyBorder="1" applyAlignment="1">
      <alignment horizontal="center" shrinkToFit="1"/>
    </xf>
    <xf numFmtId="0" fontId="6" fillId="4" borderId="84" xfId="0" applyFont="1" applyFill="1" applyBorder="1" applyAlignment="1">
      <alignment horizontal="right" vertical="center"/>
    </xf>
    <xf numFmtId="1" fontId="4" fillId="0" borderId="0" xfId="0" applyNumberFormat="1"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1" fontId="5" fillId="0" borderId="0" xfId="0" applyNumberFormat="1" applyFont="1" applyAlignment="1">
      <alignment horizontal="center" vertical="center"/>
    </xf>
    <xf numFmtId="1" fontId="4" fillId="0" borderId="0" xfId="0" applyNumberFormat="1" applyFont="1" applyAlignment="1">
      <alignment horizontal="left"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4" fillId="0" borderId="0" xfId="0" applyNumberFormat="1" applyFont="1" applyAlignment="1">
      <alignment horizontal="right"/>
    </xf>
    <xf numFmtId="1" fontId="5" fillId="0" borderId="0" xfId="0" applyNumberFormat="1" applyFont="1" applyAlignment="1">
      <alignment horizontal="left"/>
    </xf>
    <xf numFmtId="0" fontId="8" fillId="14" borderId="1" xfId="0" applyFont="1" applyFill="1" applyBorder="1" applyAlignment="1">
      <alignment vertical="center"/>
    </xf>
    <xf numFmtId="49" fontId="17" fillId="14" borderId="25" xfId="0" applyNumberFormat="1" applyFont="1" applyFill="1" applyBorder="1" applyAlignment="1">
      <alignment horizontal="center" vertical="center"/>
    </xf>
    <xf numFmtId="0" fontId="17" fillId="14" borderId="26" xfId="0" applyFont="1" applyFill="1" applyBorder="1" applyAlignment="1">
      <alignment horizontal="center" vertical="center"/>
    </xf>
    <xf numFmtId="0" fontId="7" fillId="0" borderId="25" xfId="0" applyFont="1" applyBorder="1" applyAlignment="1">
      <alignment horizontal="center" vertical="center" wrapText="1"/>
    </xf>
    <xf numFmtId="9" fontId="7" fillId="0" borderId="25" xfId="2"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7" xfId="0" quotePrefix="1" applyFont="1" applyBorder="1" applyAlignment="1">
      <alignment horizontal="center" vertical="center" wrapText="1"/>
    </xf>
    <xf numFmtId="0" fontId="7" fillId="0" borderId="54" xfId="0" applyFont="1" applyBorder="1" applyAlignment="1">
      <alignment horizontal="center" vertical="center" wrapText="1"/>
    </xf>
    <xf numFmtId="9" fontId="7" fillId="0" borderId="54" xfId="2" applyFont="1" applyFill="1" applyBorder="1" applyAlignment="1">
      <alignment horizontal="center" vertical="center" shrinkToFit="1"/>
    </xf>
    <xf numFmtId="9" fontId="7" fillId="0" borderId="12" xfId="2" applyFont="1" applyFill="1" applyBorder="1" applyAlignment="1">
      <alignment horizontal="center" vertical="center" shrinkToFit="1"/>
    </xf>
    <xf numFmtId="0" fontId="7" fillId="0" borderId="12" xfId="2" applyNumberFormat="1" applyFont="1" applyFill="1" applyBorder="1" applyAlignment="1">
      <alignment horizontal="center" vertical="center" shrinkToFit="1"/>
    </xf>
    <xf numFmtId="49" fontId="7" fillId="0" borderId="38" xfId="0" applyNumberFormat="1" applyFont="1" applyBorder="1" applyAlignment="1">
      <alignment horizontal="center" vertical="center" wrapText="1"/>
    </xf>
    <xf numFmtId="0" fontId="7" fillId="0" borderId="35" xfId="0" applyFont="1" applyBorder="1" applyAlignment="1">
      <alignment horizontal="center" vertical="center" shrinkToFit="1"/>
    </xf>
    <xf numFmtId="0" fontId="36" fillId="0" borderId="40" xfId="0" applyFont="1" applyBorder="1" applyAlignment="1">
      <alignment horizontal="centerContinuous" vertical="center"/>
    </xf>
    <xf numFmtId="0" fontId="27" fillId="0" borderId="40" xfId="0" applyFont="1" applyBorder="1" applyAlignment="1">
      <alignment horizontal="center" vertical="center" shrinkToFit="1"/>
    </xf>
    <xf numFmtId="0" fontId="34" fillId="0" borderId="23" xfId="0" applyFont="1" applyBorder="1" applyAlignment="1">
      <alignment horizontal="centerContinuous" vertical="center" wrapText="1"/>
    </xf>
    <xf numFmtId="0" fontId="2" fillId="0" borderId="13" xfId="0" applyFont="1" applyBorder="1" applyAlignment="1">
      <alignment horizontal="center" vertical="center"/>
    </xf>
    <xf numFmtId="0" fontId="2" fillId="0" borderId="69" xfId="0" applyFont="1" applyBorder="1" applyAlignment="1">
      <alignment horizontal="center" vertical="center"/>
    </xf>
    <xf numFmtId="164" fontId="5" fillId="0" borderId="83" xfId="0" applyNumberFormat="1" applyFont="1" applyBorder="1" applyAlignment="1">
      <alignment horizontal="center" vertical="center" shrinkToFit="1"/>
    </xf>
    <xf numFmtId="0" fontId="21" fillId="13" borderId="85" xfId="0" applyFont="1" applyFill="1" applyBorder="1" applyAlignment="1">
      <alignment horizontal="center" vertical="center"/>
    </xf>
    <xf numFmtId="0" fontId="2" fillId="0" borderId="0" xfId="0" applyFont="1" applyAlignment="1">
      <alignment vertical="center"/>
    </xf>
    <xf numFmtId="1" fontId="21" fillId="13" borderId="34" xfId="0" applyNumberFormat="1" applyFont="1" applyFill="1" applyBorder="1" applyAlignment="1">
      <alignment horizontal="center" vertical="center"/>
    </xf>
    <xf numFmtId="0" fontId="2" fillId="0" borderId="62" xfId="0" applyFont="1" applyBorder="1" applyAlignment="1">
      <alignment horizontal="centerContinuous" vertical="center" shrinkToFit="1"/>
    </xf>
    <xf numFmtId="0" fontId="21" fillId="0" borderId="63" xfId="0" applyFont="1" applyBorder="1" applyAlignment="1">
      <alignment horizontal="centerContinuous" vertical="center"/>
    </xf>
    <xf numFmtId="0" fontId="21" fillId="0" borderId="86" xfId="0" applyFont="1" applyBorder="1" applyAlignment="1">
      <alignment horizontal="centerContinuous" vertical="center"/>
    </xf>
    <xf numFmtId="0" fontId="2" fillId="0" borderId="87" xfId="0" applyFont="1" applyBorder="1" applyAlignment="1">
      <alignment horizontal="center" vertical="center"/>
    </xf>
    <xf numFmtId="0" fontId="2" fillId="0" borderId="53" xfId="0" applyFont="1" applyBorder="1" applyAlignment="1">
      <alignment horizontal="center" vertical="center"/>
    </xf>
    <xf numFmtId="0" fontId="2" fillId="0" borderId="64" xfId="0" applyFont="1" applyBorder="1" applyAlignment="1">
      <alignment horizontal="centerContinuous" vertical="center"/>
    </xf>
    <xf numFmtId="1" fontId="2" fillId="0" borderId="88" xfId="0" applyNumberFormat="1" applyFont="1" applyBorder="1" applyAlignment="1">
      <alignment horizontal="center" vertical="center"/>
    </xf>
    <xf numFmtId="0" fontId="2" fillId="0" borderId="89" xfId="0" applyFont="1" applyBorder="1" applyAlignment="1">
      <alignment horizontal="centerContinuous" vertical="center" shrinkToFit="1"/>
    </xf>
    <xf numFmtId="0" fontId="21" fillId="0" borderId="90" xfId="0" applyFont="1" applyBorder="1" applyAlignment="1">
      <alignment horizontal="centerContinuous" vertical="center"/>
    </xf>
    <xf numFmtId="0" fontId="21" fillId="0" borderId="91" xfId="0" applyFont="1" applyBorder="1" applyAlignment="1">
      <alignment horizontal="centerContinuous" vertical="center"/>
    </xf>
    <xf numFmtId="0" fontId="2" fillId="0" borderId="45" xfId="0" applyFont="1" applyBorder="1" applyAlignment="1">
      <alignment horizontal="center" vertical="center"/>
    </xf>
    <xf numFmtId="0" fontId="2" fillId="0" borderId="92" xfId="0" applyFont="1" applyBorder="1" applyAlignment="1">
      <alignment horizontal="centerContinuous" vertical="center"/>
    </xf>
    <xf numFmtId="1" fontId="2" fillId="0" borderId="93" xfId="0" applyNumberFormat="1" applyFont="1" applyBorder="1" applyAlignment="1">
      <alignment horizontal="center" vertical="center"/>
    </xf>
    <xf numFmtId="0" fontId="2" fillId="0" borderId="49" xfId="0" applyFont="1" applyBorder="1" applyAlignment="1">
      <alignment horizontal="centerContinuous" vertical="center" shrinkToFit="1"/>
    </xf>
    <xf numFmtId="0" fontId="2" fillId="0" borderId="81" xfId="0" applyFont="1" applyBorder="1" applyAlignment="1">
      <alignment horizontal="centerContinuous" vertical="center"/>
    </xf>
    <xf numFmtId="0" fontId="2" fillId="0" borderId="94" xfId="0" applyFont="1" applyBorder="1" applyAlignment="1">
      <alignment horizontal="centerContinuous" vertical="center"/>
    </xf>
    <xf numFmtId="49" fontId="2" fillId="0" borderId="51"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2" fillId="0" borderId="82" xfId="0" applyFont="1" applyBorder="1" applyAlignment="1">
      <alignment horizontal="centerContinuous" vertical="center"/>
    </xf>
    <xf numFmtId="1" fontId="2" fillId="0" borderId="59" xfId="0" applyNumberFormat="1" applyFont="1" applyBorder="1" applyAlignment="1">
      <alignment horizontal="center" vertical="center"/>
    </xf>
    <xf numFmtId="164" fontId="21" fillId="3" borderId="34" xfId="0" applyNumberFormat="1" applyFont="1" applyFill="1" applyBorder="1" applyAlignment="1">
      <alignment horizontal="center" vertical="center"/>
    </xf>
    <xf numFmtId="1" fontId="2" fillId="0" borderId="40" xfId="0" applyNumberFormat="1" applyFont="1" applyBorder="1" applyAlignment="1">
      <alignment horizontal="center" vertical="center" shrinkToFit="1"/>
    </xf>
    <xf numFmtId="1" fontId="2" fillId="0" borderId="59" xfId="0" applyNumberFormat="1" applyFont="1" applyBorder="1" applyAlignment="1">
      <alignment horizontal="center" vertical="center" shrinkToFit="1"/>
    </xf>
    <xf numFmtId="0" fontId="52" fillId="2" borderId="95" xfId="0" applyFont="1" applyFill="1" applyBorder="1" applyAlignment="1">
      <alignment horizontal="right" vertical="center"/>
    </xf>
    <xf numFmtId="0" fontId="20" fillId="2" borderId="96" xfId="0" applyFont="1" applyFill="1" applyBorder="1" applyAlignment="1">
      <alignment horizontal="left" vertical="center"/>
    </xf>
    <xf numFmtId="0" fontId="53" fillId="2" borderId="96" xfId="0" applyFont="1" applyFill="1" applyBorder="1" applyAlignment="1">
      <alignment horizontal="centerContinuous" vertical="center"/>
    </xf>
    <xf numFmtId="0" fontId="2" fillId="2" borderId="96" xfId="0" applyFont="1" applyFill="1" applyBorder="1" applyAlignment="1">
      <alignment horizontal="left" vertical="center"/>
    </xf>
    <xf numFmtId="0" fontId="4" fillId="2" borderId="96" xfId="0" applyFont="1" applyFill="1" applyBorder="1" applyAlignment="1">
      <alignment horizontal="centerContinuous" vertical="center"/>
    </xf>
    <xf numFmtId="0" fontId="54" fillId="2" borderId="97" xfId="0" applyFont="1" applyFill="1" applyBorder="1" applyAlignment="1">
      <alignment horizontal="right" vertical="center"/>
    </xf>
    <xf numFmtId="0" fontId="55" fillId="0" borderId="0" xfId="0" applyFont="1" applyAlignment="1">
      <alignment horizontal="centerContinuous" vertical="center"/>
    </xf>
    <xf numFmtId="49" fontId="7" fillId="0" borderId="2" xfId="0" quotePrefix="1" applyNumberFormat="1" applyFont="1" applyBorder="1" applyAlignment="1">
      <alignment horizontal="center" vertical="center"/>
    </xf>
    <xf numFmtId="0" fontId="6" fillId="0" borderId="8" xfId="0" applyFont="1" applyBorder="1" applyAlignment="1">
      <alignment horizontal="right" vertical="center"/>
    </xf>
    <xf numFmtId="0" fontId="55" fillId="0" borderId="9" xfId="0" applyFont="1" applyBorder="1" applyAlignment="1">
      <alignment horizontal="centerContinuous" vertical="center"/>
    </xf>
    <xf numFmtId="0" fontId="7" fillId="0" borderId="9" xfId="0" applyFont="1" applyBorder="1" applyAlignment="1">
      <alignment horizontal="centerContinuous"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6" fillId="0" borderId="58" xfId="3" applyFont="1" applyBorder="1" applyAlignment="1">
      <alignment horizontal="center" vertical="center"/>
    </xf>
    <xf numFmtId="0" fontId="8" fillId="4" borderId="98" xfId="3" applyFont="1" applyFill="1" applyBorder="1" applyAlignment="1">
      <alignment horizontal="right" vertical="center"/>
    </xf>
    <xf numFmtId="1" fontId="7" fillId="0" borderId="6" xfId="3" applyNumberFormat="1" applyFont="1" applyBorder="1" applyAlignment="1">
      <alignment horizontal="center" vertical="center"/>
    </xf>
    <xf numFmtId="0" fontId="6" fillId="16" borderId="75" xfId="3" applyFont="1" applyFill="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26" fillId="0" borderId="99" xfId="3" applyFont="1" applyBorder="1" applyAlignment="1">
      <alignment horizontal="center" vertical="center"/>
    </xf>
    <xf numFmtId="0" fontId="11" fillId="4" borderId="89" xfId="3" applyFont="1" applyFill="1" applyBorder="1" applyAlignment="1">
      <alignment horizontal="right" vertical="center"/>
    </xf>
    <xf numFmtId="0" fontId="7" fillId="0" borderId="100" xfId="3" applyFont="1" applyBorder="1" applyAlignment="1">
      <alignment horizontal="center" vertical="center"/>
    </xf>
    <xf numFmtId="1" fontId="7" fillId="0" borderId="29" xfId="3" applyNumberFormat="1" applyFont="1" applyBorder="1" applyAlignment="1">
      <alignment horizontal="center" vertical="center"/>
    </xf>
    <xf numFmtId="0" fontId="7" fillId="0" borderId="2" xfId="0" applyFont="1" applyBorder="1" applyAlignment="1">
      <alignment horizontal="center" vertical="center"/>
    </xf>
    <xf numFmtId="0" fontId="8" fillId="4" borderId="89" xfId="3" applyFont="1" applyFill="1" applyBorder="1" applyAlignment="1">
      <alignment horizontal="right" vertical="center"/>
    </xf>
    <xf numFmtId="0" fontId="7" fillId="0" borderId="101" xfId="3" quotePrefix="1" applyFont="1" applyBorder="1" applyAlignment="1">
      <alignment horizontal="center" vertical="center"/>
    </xf>
    <xf numFmtId="0" fontId="8" fillId="0" borderId="1" xfId="3" applyFont="1" applyBorder="1" applyAlignment="1">
      <alignment horizontal="right" vertical="center"/>
    </xf>
    <xf numFmtId="0" fontId="11" fillId="2" borderId="4" xfId="0" applyFont="1" applyFill="1" applyBorder="1" applyAlignment="1">
      <alignment horizontal="right" vertical="center"/>
    </xf>
    <xf numFmtId="0" fontId="7" fillId="0" borderId="101" xfId="3" applyFont="1" applyBorder="1" applyAlignment="1">
      <alignment horizontal="center" vertical="center"/>
    </xf>
    <xf numFmtId="0" fontId="11" fillId="0" borderId="1" xfId="3" applyFont="1" applyBorder="1" applyAlignment="1">
      <alignment horizontal="right" vertical="center"/>
    </xf>
    <xf numFmtId="0" fontId="26" fillId="0" borderId="3" xfId="3" applyFont="1" applyBorder="1" applyAlignment="1">
      <alignment horizontal="center" vertical="center"/>
    </xf>
    <xf numFmtId="0" fontId="56" fillId="4" borderId="102" xfId="3" applyFont="1" applyFill="1" applyBorder="1" applyAlignment="1">
      <alignment horizontal="right" vertical="center"/>
    </xf>
    <xf numFmtId="0" fontId="7" fillId="0" borderId="24" xfId="0" applyFont="1" applyBorder="1" applyAlignment="1">
      <alignment horizontal="center" vertical="center"/>
    </xf>
    <xf numFmtId="0" fontId="26" fillId="0" borderId="24" xfId="3" applyFont="1" applyBorder="1" applyAlignment="1">
      <alignment horizontal="center" vertical="center"/>
    </xf>
    <xf numFmtId="0" fontId="10" fillId="4" borderId="13" xfId="3" applyFont="1" applyFill="1" applyBorder="1" applyAlignment="1">
      <alignment horizontal="right" vertical="center"/>
    </xf>
    <xf numFmtId="0" fontId="7" fillId="0" borderId="39" xfId="3" applyFont="1" applyBorder="1" applyAlignment="1">
      <alignment horizontal="center" vertical="center"/>
    </xf>
    <xf numFmtId="0" fontId="11" fillId="0" borderId="1" xfId="0" applyFont="1" applyBorder="1" applyAlignment="1">
      <alignment horizontal="right" vertical="center"/>
    </xf>
    <xf numFmtId="0" fontId="2" fillId="0" borderId="0" xfId="0" applyFont="1" applyAlignment="1">
      <alignment horizontal="left" vertical="center"/>
    </xf>
    <xf numFmtId="0" fontId="55" fillId="0" borderId="0" xfId="0" applyFont="1" applyAlignment="1">
      <alignment vertical="center"/>
    </xf>
    <xf numFmtId="0" fontId="2" fillId="0" borderId="69" xfId="0" applyFont="1" applyBorder="1" applyAlignment="1">
      <alignment horizontal="center" vertical="center" shrinkToFit="1"/>
    </xf>
    <xf numFmtId="1" fontId="2" fillId="12" borderId="40" xfId="0" applyNumberFormat="1" applyFont="1" applyFill="1" applyBorder="1" applyAlignment="1">
      <alignment horizontal="center" vertical="center" shrinkToFit="1"/>
    </xf>
    <xf numFmtId="165" fontId="5" fillId="0" borderId="0" xfId="0" applyNumberFormat="1" applyFont="1" applyAlignment="1">
      <alignment vertical="center"/>
    </xf>
    <xf numFmtId="164" fontId="2" fillId="0" borderId="40" xfId="0" applyNumberFormat="1" applyFont="1" applyBorder="1" applyAlignment="1">
      <alignment horizontal="center" vertical="center" shrinkToFit="1"/>
    </xf>
    <xf numFmtId="0" fontId="2" fillId="0" borderId="55" xfId="0" applyFont="1" applyBorder="1" applyAlignment="1">
      <alignment horizontal="center" vertical="center"/>
    </xf>
    <xf numFmtId="0" fontId="4" fillId="0" borderId="103" xfId="0" applyFont="1" applyBorder="1" applyAlignment="1">
      <alignment horizontal="right" vertical="center"/>
    </xf>
    <xf numFmtId="0" fontId="2" fillId="0" borderId="104" xfId="0" applyFont="1" applyBorder="1" applyAlignment="1">
      <alignment horizontal="center" vertical="center" wrapText="1"/>
    </xf>
    <xf numFmtId="0" fontId="4" fillId="0" borderId="40" xfId="0" applyFont="1" applyBorder="1" applyAlignment="1">
      <alignment horizontal="right" vertical="center"/>
    </xf>
    <xf numFmtId="0" fontId="2" fillId="0" borderId="91" xfId="0" applyFont="1" applyBorder="1" applyAlignment="1">
      <alignment horizontal="center" vertical="center" wrapText="1"/>
    </xf>
    <xf numFmtId="0" fontId="4" fillId="0" borderId="59" xfId="0" applyFont="1" applyBorder="1" applyAlignment="1">
      <alignment horizontal="right" vertical="center"/>
    </xf>
    <xf numFmtId="0" fontId="61" fillId="0" borderId="5" xfId="0" applyFont="1" applyBorder="1" applyAlignment="1">
      <alignment horizontal="centerContinuous" vertical="center"/>
    </xf>
    <xf numFmtId="0" fontId="62" fillId="0" borderId="6" xfId="0" applyFont="1" applyBorder="1" applyAlignment="1">
      <alignment horizontal="centerContinuous" vertical="center" wrapText="1"/>
    </xf>
    <xf numFmtId="0" fontId="62" fillId="0" borderId="7" xfId="0" applyFont="1" applyBorder="1" applyAlignment="1">
      <alignment horizontal="centerContinuous" vertical="center" wrapTex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0" fillId="17" borderId="94" xfId="0" applyFont="1" applyFill="1" applyBorder="1" applyAlignment="1">
      <alignment horizontal="center" vertical="center" wrapTex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xf>
    <xf numFmtId="0" fontId="35" fillId="9" borderId="109" xfId="2" applyNumberFormat="1" applyFont="1" applyFill="1" applyBorder="1" applyAlignment="1">
      <alignment horizontal="center" vertical="center" shrinkToFit="1"/>
    </xf>
    <xf numFmtId="0" fontId="7" fillId="0" borderId="37" xfId="0" applyFont="1" applyBorder="1" applyAlignment="1">
      <alignment horizontal="center" vertical="center"/>
    </xf>
    <xf numFmtId="0" fontId="2" fillId="0" borderId="44" xfId="0" applyFont="1" applyBorder="1" applyAlignment="1">
      <alignment horizontal="center" vertical="center" wrapText="1"/>
    </xf>
    <xf numFmtId="0" fontId="60" fillId="17" borderId="50" xfId="0" applyFont="1" applyFill="1" applyBorder="1" applyAlignment="1">
      <alignment horizontal="center" vertical="center" wrapText="1"/>
    </xf>
    <xf numFmtId="0" fontId="2" fillId="18" borderId="105" xfId="0" applyFont="1" applyFill="1" applyBorder="1" applyAlignment="1">
      <alignment horizontal="center" vertical="center" wrapText="1"/>
    </xf>
    <xf numFmtId="0" fontId="2" fillId="18" borderId="44" xfId="0" applyFont="1" applyFill="1" applyBorder="1" applyAlignment="1">
      <alignment horizontal="center" vertical="center" wrapText="1"/>
    </xf>
    <xf numFmtId="0" fontId="2" fillId="18" borderId="106" xfId="0" applyFont="1" applyFill="1" applyBorder="1" applyAlignment="1">
      <alignment horizontal="center" vertical="center" wrapText="1"/>
    </xf>
    <xf numFmtId="0" fontId="2" fillId="18" borderId="46" xfId="0" applyFont="1" applyFill="1" applyBorder="1" applyAlignment="1">
      <alignment horizontal="center" vertical="center" wrapText="1"/>
    </xf>
    <xf numFmtId="0" fontId="4" fillId="18" borderId="52" xfId="0" applyFont="1" applyFill="1" applyBorder="1" applyAlignment="1">
      <alignment horizontal="center" vertical="center" wrapText="1"/>
    </xf>
    <xf numFmtId="0" fontId="7" fillId="0" borderId="89" xfId="0" applyFont="1" applyBorder="1" applyAlignment="1">
      <alignment horizontal="center" vertical="center" shrinkToFit="1"/>
    </xf>
    <xf numFmtId="0" fontId="7" fillId="0" borderId="100" xfId="0" applyFont="1" applyBorder="1" applyAlignment="1">
      <alignment horizontal="center" vertical="center"/>
    </xf>
    <xf numFmtId="0" fontId="35" fillId="9" borderId="101" xfId="2" applyNumberFormat="1" applyFont="1" applyFill="1" applyBorder="1" applyAlignment="1">
      <alignment horizontal="center" vertical="center" shrinkToFit="1"/>
    </xf>
    <xf numFmtId="0" fontId="47" fillId="0" borderId="40" xfId="0" applyFont="1" applyBorder="1" applyAlignment="1">
      <alignment horizontal="centerContinuous" vertical="center"/>
    </xf>
    <xf numFmtId="0" fontId="47" fillId="0" borderId="40" xfId="0" applyFont="1" applyBorder="1" applyAlignment="1">
      <alignment horizontal="center" vertical="center" shrinkToFit="1"/>
    </xf>
    <xf numFmtId="1" fontId="7" fillId="0" borderId="108" xfId="0" applyNumberFormat="1" applyFont="1" applyBorder="1" applyAlignment="1">
      <alignment horizontal="center" vertical="center"/>
    </xf>
    <xf numFmtId="1" fontId="7" fillId="0" borderId="100" xfId="0" applyNumberFormat="1" applyFont="1" applyBorder="1" applyAlignment="1">
      <alignment horizontal="center" vertical="center"/>
    </xf>
    <xf numFmtId="1" fontId="7" fillId="0" borderId="54" xfId="0" applyNumberFormat="1" applyFont="1" applyBorder="1" applyAlignment="1">
      <alignment horizontal="center" vertical="center"/>
    </xf>
    <xf numFmtId="1" fontId="50" fillId="11" borderId="50"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48" fillId="0" borderId="59" xfId="0" applyFont="1" applyBorder="1" applyAlignment="1">
      <alignment horizontal="centerContinuous" vertical="center"/>
    </xf>
    <xf numFmtId="0" fontId="7" fillId="0" borderId="26" xfId="0" applyFont="1" applyBorder="1" applyAlignment="1">
      <alignment horizontal="center" vertical="center" shrinkToFit="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49" fontId="2" fillId="0" borderId="112" xfId="2" applyNumberFormat="1" applyFont="1" applyFill="1" applyBorder="1" applyAlignment="1">
      <alignment horizontal="center" vertical="center"/>
    </xf>
    <xf numFmtId="0" fontId="2" fillId="0" borderId="112" xfId="0" applyFont="1" applyBorder="1" applyAlignment="1">
      <alignment horizontal="center" vertical="center" shrinkToFit="1"/>
    </xf>
    <xf numFmtId="1" fontId="50" fillId="11"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83" xfId="0" applyFont="1" applyBorder="1" applyAlignment="1">
      <alignment horizontal="center" vertical="center"/>
    </xf>
    <xf numFmtId="49" fontId="2" fillId="0" borderId="83" xfId="2" applyNumberFormat="1" applyFont="1" applyFill="1" applyBorder="1" applyAlignment="1">
      <alignment horizontal="center" vertical="center"/>
    </xf>
    <xf numFmtId="0" fontId="2" fillId="0" borderId="83" xfId="0" applyFont="1" applyBorder="1" applyAlignment="1">
      <alignment horizontal="center" vertical="center" shrinkToFit="1"/>
    </xf>
    <xf numFmtId="164" fontId="5" fillId="0" borderId="83" xfId="0" applyNumberFormat="1" applyFont="1" applyBorder="1" applyAlignment="1">
      <alignment horizontal="center" vertical="center"/>
    </xf>
    <xf numFmtId="1" fontId="50" fillId="11" borderId="83"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48"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6" xfId="0" applyFont="1" applyBorder="1" applyAlignment="1">
      <alignment horizontal="center" vertical="center" shrinkToFit="1"/>
    </xf>
    <xf numFmtId="1" fontId="50" fillId="11" borderId="116" xfId="0" applyNumberFormat="1" applyFont="1" applyFill="1" applyBorder="1" applyAlignment="1">
      <alignment horizontal="center" vertical="center"/>
    </xf>
    <xf numFmtId="1" fontId="2" fillId="0" borderId="116" xfId="0" applyNumberFormat="1" applyFont="1" applyBorder="1" applyAlignment="1">
      <alignment horizontal="center" vertical="center"/>
    </xf>
    <xf numFmtId="1" fontId="2" fillId="0" borderId="118" xfId="0" applyNumberFormat="1" applyFont="1" applyBorder="1" applyAlignment="1">
      <alignment horizontal="center" vertical="center"/>
    </xf>
    <xf numFmtId="1" fontId="2" fillId="12" borderId="119" xfId="0" applyNumberFormat="1" applyFont="1" applyFill="1" applyBorder="1" applyAlignment="1">
      <alignment horizontal="center" vertical="center"/>
    </xf>
    <xf numFmtId="1" fontId="2" fillId="12" borderId="59" xfId="0" applyNumberFormat="1" applyFont="1" applyFill="1" applyBorder="1" applyAlignment="1">
      <alignment horizontal="center" vertical="center"/>
    </xf>
    <xf numFmtId="164" fontId="5" fillId="12" borderId="112" xfId="0" applyNumberFormat="1" applyFont="1" applyFill="1" applyBorder="1" applyAlignment="1">
      <alignment horizontal="center" vertical="center"/>
    </xf>
    <xf numFmtId="164" fontId="2" fillId="0" borderId="112" xfId="0" applyNumberFormat="1" applyFont="1" applyBorder="1" applyAlignment="1">
      <alignment horizontal="center" vertical="center"/>
    </xf>
    <xf numFmtId="164" fontId="2" fillId="12" borderId="112" xfId="0" applyNumberFormat="1" applyFont="1" applyFill="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49" fontId="2" fillId="0" borderId="121" xfId="2" applyNumberFormat="1" applyFont="1" applyFill="1" applyBorder="1" applyAlignment="1">
      <alignment horizontal="center" vertical="center"/>
    </xf>
    <xf numFmtId="0" fontId="2" fillId="0" borderId="121" xfId="0" applyFont="1" applyBorder="1" applyAlignment="1">
      <alignment horizontal="center" vertical="center" shrinkToFit="1"/>
    </xf>
    <xf numFmtId="164" fontId="5" fillId="0" borderId="121" xfId="0" applyNumberFormat="1" applyFont="1" applyBorder="1" applyAlignment="1">
      <alignment horizontal="center" vertical="center"/>
    </xf>
    <xf numFmtId="1" fontId="50" fillId="11"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0" fontId="2" fillId="0" borderId="122" xfId="0" applyFont="1" applyBorder="1" applyAlignment="1">
      <alignment horizontal="center" vertical="center"/>
    </xf>
    <xf numFmtId="164" fontId="2" fillId="0" borderId="116" xfId="0" applyNumberFormat="1" applyFont="1" applyBorder="1" applyAlignment="1">
      <alignment horizontal="center" vertical="center"/>
    </xf>
    <xf numFmtId="1" fontId="2" fillId="0" borderId="123" xfId="0" applyNumberFormat="1" applyFont="1" applyBorder="1" applyAlignment="1">
      <alignment horizontal="center" vertical="center"/>
    </xf>
    <xf numFmtId="0" fontId="47" fillId="0" borderId="59" xfId="0" applyFont="1" applyBorder="1" applyAlignment="1">
      <alignment horizontal="centerContinuous" vertical="center"/>
    </xf>
    <xf numFmtId="49" fontId="2" fillId="15" borderId="116" xfId="2" applyNumberFormat="1" applyFont="1" applyFill="1" applyBorder="1" applyAlignment="1">
      <alignment horizontal="center" vertical="center"/>
    </xf>
    <xf numFmtId="49" fontId="2" fillId="15" borderId="112" xfId="2" applyNumberFormat="1" applyFont="1" applyFill="1" applyBorder="1" applyAlignment="1">
      <alignment horizontal="center" vertical="center"/>
    </xf>
    <xf numFmtId="0" fontId="63" fillId="0" borderId="124" xfId="0" applyFont="1" applyBorder="1" applyAlignment="1">
      <alignment horizontal="centerContinuous" vertical="center"/>
    </xf>
    <xf numFmtId="0" fontId="62" fillId="0" borderId="125" xfId="0" applyFont="1" applyBorder="1" applyAlignment="1">
      <alignment horizontal="centerContinuous" vertical="center"/>
    </xf>
    <xf numFmtId="1" fontId="2" fillId="0" borderId="101" xfId="0" applyNumberFormat="1" applyFont="1" applyBorder="1" applyAlignment="1">
      <alignment horizontal="centerContinuous" vertical="center"/>
    </xf>
    <xf numFmtId="1" fontId="2" fillId="0" borderId="109" xfId="0" applyNumberFormat="1" applyFont="1" applyBorder="1" applyAlignment="1">
      <alignment horizontal="centerContinuous" vertical="center"/>
    </xf>
    <xf numFmtId="1" fontId="50" fillId="17" borderId="128" xfId="0" applyNumberFormat="1" applyFont="1" applyFill="1" applyBorder="1" applyAlignment="1">
      <alignment horizontal="centerContinuous" vertical="center"/>
    </xf>
    <xf numFmtId="1" fontId="50" fillId="17" borderId="101" xfId="0" applyNumberFormat="1" applyFont="1" applyFill="1" applyBorder="1" applyAlignment="1">
      <alignment horizontal="centerContinuous" vertical="center"/>
    </xf>
    <xf numFmtId="1" fontId="2" fillId="20" borderId="129" xfId="0" applyNumberFormat="1" applyFont="1" applyFill="1" applyBorder="1" applyAlignment="1">
      <alignment horizontal="centerContinuous" vertical="center"/>
    </xf>
    <xf numFmtId="0" fontId="7" fillId="5" borderId="27" xfId="0" quotePrefix="1" applyFont="1" applyFill="1" applyBorder="1" applyAlignment="1">
      <alignment horizontal="center" vertical="center"/>
    </xf>
    <xf numFmtId="0" fontId="7" fillId="14" borderId="27" xfId="0" quotePrefix="1" applyFont="1" applyFill="1" applyBorder="1" applyAlignment="1">
      <alignment horizontal="center" vertical="center"/>
    </xf>
    <xf numFmtId="0" fontId="7" fillId="6" borderId="27" xfId="0" quotePrefix="1" applyFont="1" applyFill="1" applyBorder="1" applyAlignment="1">
      <alignment horizontal="center" vertical="center"/>
    </xf>
    <xf numFmtId="0" fontId="21" fillId="13" borderId="130" xfId="0" applyFont="1" applyFill="1" applyBorder="1" applyAlignment="1">
      <alignment horizontal="center" vertical="center"/>
    </xf>
    <xf numFmtId="0" fontId="21" fillId="13" borderId="131" xfId="0" applyFont="1" applyFill="1" applyBorder="1" applyAlignment="1">
      <alignment horizontal="center" vertical="center"/>
    </xf>
    <xf numFmtId="49" fontId="21" fillId="13" borderId="131" xfId="0" applyNumberFormat="1" applyFont="1" applyFill="1" applyBorder="1" applyAlignment="1">
      <alignment horizontal="center" vertical="center"/>
    </xf>
    <xf numFmtId="0" fontId="21" fillId="13" borderId="132" xfId="0" applyFont="1" applyFill="1" applyBorder="1" applyAlignment="1">
      <alignment horizontal="center" vertical="center"/>
    </xf>
    <xf numFmtId="0" fontId="49" fillId="11" borderId="132" xfId="0" applyFont="1" applyFill="1" applyBorder="1" applyAlignment="1">
      <alignment horizontal="center" vertical="center"/>
    </xf>
    <xf numFmtId="0" fontId="21" fillId="13" borderId="133" xfId="0" applyFont="1" applyFill="1" applyBorder="1" applyAlignment="1">
      <alignment horizontal="center" vertical="center"/>
    </xf>
    <xf numFmtId="49" fontId="64" fillId="0" borderId="50" xfId="0" applyNumberFormat="1" applyFont="1" applyBorder="1" applyAlignment="1">
      <alignment horizontal="center" vertical="center"/>
    </xf>
    <xf numFmtId="0" fontId="5" fillId="0" borderId="50" xfId="0" applyFont="1" applyBorder="1" applyAlignment="1">
      <alignment horizontal="center" vertical="center"/>
    </xf>
    <xf numFmtId="49" fontId="5" fillId="0" borderId="50" xfId="0" applyNumberFormat="1" applyFont="1" applyBorder="1" applyAlignment="1">
      <alignment horizontal="center" vertical="center"/>
    </xf>
    <xf numFmtId="0" fontId="2" fillId="0" borderId="91" xfId="0" applyFont="1" applyBorder="1" applyAlignment="1">
      <alignment horizontal="center" vertical="center" shrinkToFit="1"/>
    </xf>
    <xf numFmtId="0" fontId="5" fillId="0" borderId="91" xfId="0" applyFont="1" applyBorder="1" applyAlignment="1">
      <alignment horizontal="center" vertical="center" shrinkToFit="1"/>
    </xf>
    <xf numFmtId="0" fontId="2" fillId="0" borderId="94"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94" xfId="0" applyFont="1" applyBorder="1" applyAlignment="1">
      <alignment horizontal="center" vertical="center" shrinkToFit="1"/>
    </xf>
    <xf numFmtId="1" fontId="7" fillId="0" borderId="26" xfId="0" applyNumberFormat="1" applyFont="1" applyBorder="1" applyAlignment="1">
      <alignment horizontal="center" vertical="center"/>
    </xf>
    <xf numFmtId="0" fontId="2" fillId="0" borderId="117" xfId="0" quotePrefix="1" applyFont="1" applyBorder="1" applyAlignment="1">
      <alignment horizontal="center" vertical="center"/>
    </xf>
    <xf numFmtId="49" fontId="2" fillId="0" borderId="121" xfId="0" applyNumberFormat="1" applyFont="1" applyBorder="1" applyAlignment="1">
      <alignment horizontal="center" vertical="center"/>
    </xf>
    <xf numFmtId="164" fontId="2" fillId="0" borderId="121" xfId="0" applyNumberFormat="1" applyFont="1" applyBorder="1" applyAlignment="1">
      <alignment horizontal="center" vertical="center"/>
    </xf>
    <xf numFmtId="0" fontId="5" fillId="0" borderId="122" xfId="0" applyFont="1" applyBorder="1" applyAlignment="1">
      <alignment horizontal="center" vertical="center"/>
    </xf>
    <xf numFmtId="0" fontId="2" fillId="0" borderId="62" xfId="0" applyFont="1" applyBorder="1" applyAlignment="1">
      <alignment horizontal="centerContinuous" vertical="center"/>
    </xf>
    <xf numFmtId="0" fontId="6" fillId="4" borderId="134" xfId="0" applyFont="1" applyFill="1" applyBorder="1" applyAlignment="1">
      <alignment horizontal="right" vertical="center"/>
    </xf>
    <xf numFmtId="1" fontId="7" fillId="0" borderId="24" xfId="0" applyNumberFormat="1" applyFont="1" applyBorder="1" applyAlignment="1">
      <alignment horizontal="centerContinuous" vertical="center"/>
    </xf>
    <xf numFmtId="1" fontId="2" fillId="0" borderId="135" xfId="0" applyNumberFormat="1" applyFont="1" applyBorder="1" applyAlignment="1">
      <alignment horizontal="centerContinuous" vertical="center"/>
    </xf>
    <xf numFmtId="0" fontId="22" fillId="14" borderId="1" xfId="0" applyFont="1" applyFill="1" applyBorder="1" applyAlignment="1">
      <alignment vertical="center"/>
    </xf>
    <xf numFmtId="49" fontId="28" fillId="14" borderId="25" xfId="0" applyNumberFormat="1" applyFont="1" applyFill="1" applyBorder="1" applyAlignment="1">
      <alignment horizontal="center" vertical="center"/>
    </xf>
    <xf numFmtId="0" fontId="28" fillId="14" borderId="26" xfId="0" applyFont="1" applyFill="1" applyBorder="1" applyAlignment="1">
      <alignment horizontal="center" vertical="center"/>
    </xf>
    <xf numFmtId="0" fontId="7" fillId="0" borderId="88" xfId="0" applyFont="1" applyBorder="1" applyAlignment="1">
      <alignment horizontal="centerContinuous" vertical="center"/>
    </xf>
    <xf numFmtId="0" fontId="7" fillId="0" borderId="137" xfId="0" applyFont="1" applyBorder="1" applyAlignment="1">
      <alignment horizontal="centerContinuous" vertical="center"/>
    </xf>
    <xf numFmtId="0" fontId="7" fillId="0" borderId="55" xfId="0" applyFont="1" applyBorder="1" applyAlignment="1">
      <alignment horizontal="center" vertical="center" wrapText="1"/>
    </xf>
    <xf numFmtId="9" fontId="7" fillId="0" borderId="55" xfId="2" applyFont="1" applyFill="1" applyBorder="1" applyAlignment="1">
      <alignment horizontal="center" vertical="center" shrinkToFit="1"/>
    </xf>
    <xf numFmtId="9" fontId="7" fillId="0" borderId="56" xfId="2" applyFont="1" applyFill="1" applyBorder="1" applyAlignment="1">
      <alignment horizontal="center" vertical="center" shrinkToFit="1"/>
    </xf>
    <xf numFmtId="0" fontId="7" fillId="0" borderId="56" xfId="2" applyNumberFormat="1" applyFont="1" applyFill="1" applyBorder="1" applyAlignment="1">
      <alignment horizontal="center" vertical="center" shrinkToFit="1"/>
    </xf>
    <xf numFmtId="0" fontId="7" fillId="0" borderId="39"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6"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56" xfId="0" applyFont="1" applyBorder="1" applyAlignment="1">
      <alignment horizontal="center" vertical="center" wrapText="1"/>
    </xf>
    <xf numFmtId="0" fontId="5" fillId="0" borderId="138" xfId="0" applyFont="1" applyBorder="1" applyAlignment="1">
      <alignment horizontal="center" vertical="center" shrinkToFit="1"/>
    </xf>
    <xf numFmtId="0" fontId="5" fillId="0" borderId="83" xfId="0" applyFont="1" applyBorder="1" applyAlignment="1">
      <alignment horizontal="left" vertical="center"/>
    </xf>
    <xf numFmtId="1" fontId="2" fillId="0" borderId="93"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49" fontId="2" fillId="15" borderId="121" xfId="2" applyNumberFormat="1" applyFont="1" applyFill="1" applyBorder="1" applyAlignment="1">
      <alignment horizontal="center" vertical="center"/>
    </xf>
    <xf numFmtId="0" fontId="2" fillId="0" borderId="122" xfId="0" quotePrefix="1" applyFont="1" applyBorder="1" applyAlignment="1">
      <alignment horizontal="center" vertical="center"/>
    </xf>
    <xf numFmtId="164" fontId="2" fillId="12" borderId="121" xfId="0" applyNumberFormat="1" applyFont="1" applyFill="1" applyBorder="1" applyAlignment="1">
      <alignment horizontal="center" vertical="center"/>
    </xf>
    <xf numFmtId="164" fontId="5" fillId="12" borderId="121" xfId="0" applyNumberFormat="1" applyFont="1" applyFill="1" applyBorder="1" applyAlignment="1">
      <alignment horizontal="center" vertical="center"/>
    </xf>
    <xf numFmtId="1" fontId="2" fillId="12" borderId="123" xfId="0" applyNumberFormat="1" applyFont="1" applyFill="1" applyBorder="1" applyAlignment="1">
      <alignment horizontal="center" vertical="center"/>
    </xf>
    <xf numFmtId="0" fontId="2" fillId="0" borderId="116" xfId="0" quotePrefix="1" applyFont="1" applyBorder="1" applyAlignment="1">
      <alignment horizontal="center" vertical="center" wrapText="1"/>
    </xf>
    <xf numFmtId="0" fontId="2" fillId="0" borderId="121" xfId="0" quotePrefix="1" applyFont="1" applyBorder="1" applyAlignment="1">
      <alignment horizontal="center" vertical="center" wrapText="1"/>
    </xf>
    <xf numFmtId="0" fontId="2" fillId="0" borderId="112" xfId="0" quotePrefix="1" applyFont="1" applyBorder="1" applyAlignment="1">
      <alignment horizontal="center" vertical="center" wrapText="1"/>
    </xf>
    <xf numFmtId="0" fontId="2" fillId="0" borderId="83" xfId="0" quotePrefix="1" applyFont="1" applyBorder="1" applyAlignment="1">
      <alignment horizontal="center" vertical="center" wrapText="1"/>
    </xf>
    <xf numFmtId="1" fontId="2" fillId="0" borderId="40" xfId="0" applyNumberFormat="1" applyFont="1" applyBorder="1" applyAlignment="1">
      <alignment horizontal="center" vertical="center"/>
    </xf>
    <xf numFmtId="0" fontId="7" fillId="0" borderId="49" xfId="0" applyFont="1" applyBorder="1" applyAlignment="1">
      <alignment horizontal="center" vertical="center" shrinkToFit="1"/>
    </xf>
    <xf numFmtId="0" fontId="7" fillId="0" borderId="79" xfId="0" applyFont="1" applyBorder="1" applyAlignment="1">
      <alignment horizontal="center" vertical="center"/>
    </xf>
    <xf numFmtId="1" fontId="7" fillId="0" borderId="79" xfId="0" applyNumberFormat="1" applyFont="1" applyBorder="1" applyAlignment="1">
      <alignment horizontal="center" vertical="center"/>
    </xf>
    <xf numFmtId="0" fontId="35" fillId="9" borderId="129" xfId="2" applyNumberFormat="1" applyFont="1" applyFill="1" applyBorder="1" applyAlignment="1">
      <alignment horizontal="center" vertical="center" shrinkToFit="1"/>
    </xf>
    <xf numFmtId="0" fontId="65" fillId="0" borderId="34" xfId="0" applyFont="1" applyBorder="1" applyAlignment="1">
      <alignment horizontal="centerContinuous" vertical="center"/>
    </xf>
    <xf numFmtId="0" fontId="66" fillId="0" borderId="34" xfId="0" applyFont="1" applyBorder="1" applyAlignment="1">
      <alignment horizontal="centerContinuous"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5" xfId="0" quotePrefix="1" applyFont="1" applyBorder="1" applyAlignment="1">
      <alignment horizontal="center" vertical="center"/>
    </xf>
    <xf numFmtId="9" fontId="2" fillId="0" borderId="25"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26" xfId="0" applyNumberFormat="1" applyFont="1" applyBorder="1" applyAlignment="1">
      <alignment horizontal="centerContinuous" vertical="center"/>
    </xf>
    <xf numFmtId="164" fontId="5"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164" fontId="2" fillId="0" borderId="56" xfId="0" applyNumberFormat="1" applyFont="1" applyBorder="1" applyAlignment="1">
      <alignment horizontal="centerContinuous" vertical="center"/>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0" xfId="0" quotePrefix="1" applyFont="1" applyBorder="1" applyAlignment="1">
      <alignment horizontal="center" vertical="center"/>
    </xf>
    <xf numFmtId="9" fontId="2" fillId="0" borderId="140" xfId="0" applyNumberFormat="1" applyFont="1" applyBorder="1" applyAlignment="1">
      <alignment horizontal="center" vertical="center"/>
    </xf>
    <xf numFmtId="164" fontId="2" fillId="0" borderId="140" xfId="0" applyNumberFormat="1"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5" xfId="0" quotePrefix="1" applyFont="1" applyBorder="1" applyAlignment="1">
      <alignment horizontal="center" vertical="center"/>
    </xf>
    <xf numFmtId="9" fontId="2" fillId="0" borderId="145" xfId="0" applyNumberFormat="1" applyFont="1" applyBorder="1" applyAlignment="1">
      <alignment horizontal="center" vertical="center"/>
    </xf>
    <xf numFmtId="164" fontId="2" fillId="0" borderId="145" xfId="0" applyNumberFormat="1" applyFont="1" applyBorder="1" applyAlignment="1">
      <alignment horizontal="center" vertical="center"/>
    </xf>
    <xf numFmtId="164" fontId="2" fillId="0" borderId="146" xfId="0" applyNumberFormat="1" applyFont="1" applyBorder="1" applyAlignment="1">
      <alignment horizontal="centerContinuous" vertical="center"/>
    </xf>
    <xf numFmtId="164" fontId="5" fillId="0" borderId="127" xfId="0" applyNumberFormat="1" applyFont="1" applyBorder="1" applyAlignment="1">
      <alignment horizontal="centerContinuous" vertical="center"/>
    </xf>
    <xf numFmtId="0" fontId="5" fillId="0" borderId="147" xfId="0" quotePrefix="1" applyFont="1" applyBorder="1" applyAlignment="1">
      <alignment horizontal="centerContinuous" vertical="center"/>
    </xf>
    <xf numFmtId="0" fontId="67" fillId="0" borderId="34" xfId="0" applyFont="1" applyBorder="1" applyAlignment="1">
      <alignment horizontal="centerContinuous" vertical="center" wrapText="1"/>
    </xf>
    <xf numFmtId="0" fontId="7" fillId="8" borderId="27" xfId="0" quotePrefix="1" applyFont="1" applyFill="1" applyBorder="1" applyAlignment="1">
      <alignment horizontal="center" vertical="center"/>
    </xf>
    <xf numFmtId="0" fontId="68" fillId="21" borderId="24" xfId="0" quotePrefix="1" applyFont="1" applyFill="1" applyBorder="1" applyAlignment="1">
      <alignment horizontal="center" vertical="center"/>
    </xf>
    <xf numFmtId="0" fontId="50" fillId="21" borderId="44" xfId="0" applyFont="1" applyFill="1" applyBorder="1" applyAlignment="1">
      <alignment horizontal="center" vertical="center" wrapText="1"/>
    </xf>
    <xf numFmtId="1" fontId="44" fillId="21" borderId="25" xfId="0" applyNumberFormat="1" applyFont="1" applyFill="1" applyBorder="1" applyAlignment="1">
      <alignment horizontal="center" vertical="center" wrapText="1"/>
    </xf>
    <xf numFmtId="1" fontId="44" fillId="21" borderId="54" xfId="0" applyNumberFormat="1" applyFont="1" applyFill="1" applyBorder="1" applyAlignment="1">
      <alignment horizontal="center" vertical="center" wrapText="1"/>
    </xf>
    <xf numFmtId="49" fontId="7" fillId="14" borderId="25" xfId="0" applyNumberFormat="1" applyFont="1" applyFill="1" applyBorder="1" applyAlignment="1">
      <alignment horizontal="center" vertical="center" wrapText="1"/>
    </xf>
    <xf numFmtId="0" fontId="14" fillId="22" borderId="1" xfId="0" applyFont="1" applyFill="1" applyBorder="1" applyAlignment="1">
      <alignment vertical="center"/>
    </xf>
    <xf numFmtId="0" fontId="7" fillId="22" borderId="25" xfId="0" applyFont="1" applyFill="1" applyBorder="1" applyAlignment="1">
      <alignment horizontal="center" vertical="center"/>
    </xf>
    <xf numFmtId="49" fontId="23" fillId="22" borderId="25" xfId="0" applyNumberFormat="1" applyFont="1" applyFill="1" applyBorder="1" applyAlignment="1">
      <alignment horizontal="center" vertical="center"/>
    </xf>
    <xf numFmtId="0" fontId="23" fillId="22" borderId="26" xfId="0" applyFont="1" applyFill="1" applyBorder="1" applyAlignment="1">
      <alignment horizontal="center" vertical="center"/>
    </xf>
    <xf numFmtId="0" fontId="14" fillId="22" borderId="26" xfId="0" applyFont="1" applyFill="1" applyBorder="1" applyAlignment="1">
      <alignment horizontal="center" vertical="center"/>
    </xf>
    <xf numFmtId="49" fontId="7" fillId="22" borderId="26" xfId="0" applyNumberFormat="1" applyFont="1" applyFill="1" applyBorder="1" applyAlignment="1">
      <alignment horizontal="center" vertical="center"/>
    </xf>
    <xf numFmtId="0" fontId="7" fillId="22" borderId="27" xfId="0" quotePrefix="1" applyFont="1" applyFill="1" applyBorder="1" applyAlignment="1">
      <alignment horizontal="center" vertical="center"/>
    </xf>
    <xf numFmtId="0" fontId="10" fillId="14" borderId="1" xfId="0" applyFont="1" applyFill="1" applyBorder="1" applyAlignment="1">
      <alignment vertical="center"/>
    </xf>
    <xf numFmtId="49" fontId="27" fillId="14" borderId="25" xfId="0" applyNumberFormat="1" applyFont="1" applyFill="1" applyBorder="1" applyAlignment="1">
      <alignment horizontal="center" vertical="center"/>
    </xf>
    <xf numFmtId="0" fontId="27" fillId="14" borderId="26" xfId="0" applyFont="1" applyFill="1" applyBorder="1" applyAlignment="1">
      <alignment horizontal="center" vertical="center"/>
    </xf>
    <xf numFmtId="9" fontId="7" fillId="0" borderId="25" xfId="7" applyFont="1" applyFill="1" applyBorder="1" applyAlignment="1">
      <alignment horizontal="center" vertical="center" shrinkToFit="1"/>
    </xf>
    <xf numFmtId="9" fontId="7" fillId="0" borderId="26" xfId="7" applyFont="1" applyFill="1" applyBorder="1" applyAlignment="1">
      <alignment horizontal="center" vertical="center" shrinkToFit="1"/>
    </xf>
    <xf numFmtId="0" fontId="7" fillId="0" borderId="26" xfId="7" applyNumberFormat="1" applyFont="1" applyFill="1" applyBorder="1" applyAlignment="1">
      <alignment horizontal="center" vertical="center" shrinkToFit="1"/>
    </xf>
    <xf numFmtId="0" fontId="7" fillId="0" borderId="27" xfId="6" applyFont="1" applyBorder="1" applyAlignment="1">
      <alignment horizontal="center" vertical="center" wrapText="1"/>
    </xf>
    <xf numFmtId="0" fontId="7" fillId="0" borderId="27" xfId="0" applyFont="1" applyBorder="1" applyAlignment="1">
      <alignment horizontal="center" vertical="center" shrinkToFit="1"/>
    </xf>
    <xf numFmtId="0" fontId="7" fillId="0" borderId="38" xfId="0" applyFont="1" applyBorder="1" applyAlignment="1">
      <alignment horizontal="center" vertical="center" wrapText="1"/>
    </xf>
    <xf numFmtId="0" fontId="7" fillId="0" borderId="26" xfId="6" applyFont="1" applyBorder="1" applyAlignment="1">
      <alignment horizontal="center" vertical="center"/>
    </xf>
    <xf numFmtId="0" fontId="7" fillId="0" borderId="25" xfId="6"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27" fillId="0" borderId="40" xfId="0" applyFont="1" applyBorder="1" applyAlignment="1">
      <alignment horizontal="centerContinuous"/>
    </xf>
    <xf numFmtId="164" fontId="2" fillId="0" borderId="141" xfId="0" applyNumberFormat="1" applyFont="1" applyBorder="1" applyAlignment="1">
      <alignment horizontal="centerContinuous" vertical="center"/>
    </xf>
    <xf numFmtId="164" fontId="5" fillId="0" borderId="142" xfId="0" applyNumberFormat="1" applyFont="1" applyBorder="1" applyAlignment="1">
      <alignment horizontal="centerContinuous" vertical="center"/>
    </xf>
    <xf numFmtId="0" fontId="5" fillId="0" borderId="143" xfId="0" quotePrefix="1" applyFont="1" applyBorder="1" applyAlignment="1">
      <alignment horizontal="centerContinuous" vertical="center"/>
    </xf>
    <xf numFmtId="0" fontId="6" fillId="4" borderId="136" xfId="0" applyFont="1" applyFill="1" applyBorder="1" applyAlignment="1">
      <alignment horizontal="right" vertical="center"/>
    </xf>
    <xf numFmtId="3" fontId="7" fillId="0" borderId="29" xfId="0" applyNumberFormat="1" applyFont="1" applyBorder="1" applyAlignment="1">
      <alignment horizontal="center" vertical="center"/>
    </xf>
    <xf numFmtId="49" fontId="26" fillId="0" borderId="24" xfId="0" applyNumberFormat="1" applyFont="1" applyBorder="1" applyAlignment="1">
      <alignment horizontal="center" vertical="center"/>
    </xf>
    <xf numFmtId="0" fontId="4" fillId="0" borderId="89" xfId="0" applyFont="1" applyBorder="1" applyAlignment="1">
      <alignment horizontal="center" vertical="center"/>
    </xf>
    <xf numFmtId="49" fontId="49" fillId="17" borderId="126" xfId="0" applyNumberFormat="1" applyFont="1" applyFill="1" applyBorder="1" applyAlignment="1">
      <alignment horizontal="center" vertical="center"/>
    </xf>
    <xf numFmtId="49" fontId="4" fillId="0" borderId="89" xfId="0" applyNumberFormat="1" applyFont="1" applyBorder="1" applyAlignment="1">
      <alignment horizontal="center" vertical="center"/>
    </xf>
    <xf numFmtId="0" fontId="49" fillId="17" borderId="89" xfId="0" applyFont="1" applyFill="1" applyBorder="1" applyAlignment="1">
      <alignment horizontal="center" vertical="center"/>
    </xf>
    <xf numFmtId="49" fontId="4" fillId="0" borderId="49" xfId="0" applyNumberFormat="1" applyFont="1" applyBorder="1" applyAlignment="1">
      <alignment horizontal="center" vertical="center"/>
    </xf>
    <xf numFmtId="0" fontId="7" fillId="0" borderId="75" xfId="0" applyFont="1" applyBorder="1" applyAlignment="1">
      <alignment horizontal="center" vertical="center"/>
    </xf>
    <xf numFmtId="0" fontId="69" fillId="2" borderId="73" xfId="0" applyFont="1" applyFill="1" applyBorder="1" applyAlignment="1">
      <alignment horizontal="right" vertical="center"/>
    </xf>
    <xf numFmtId="0" fontId="69" fillId="2" borderId="71" xfId="0" applyFont="1" applyFill="1" applyBorder="1" applyAlignment="1">
      <alignment horizontal="left" vertical="center"/>
    </xf>
    <xf numFmtId="0" fontId="5" fillId="0" borderId="0" xfId="0" applyFont="1" applyAlignment="1">
      <alignment horizontal="center" vertical="center" wrapText="1"/>
    </xf>
    <xf numFmtId="0" fontId="7" fillId="0" borderId="126" xfId="0" applyFont="1" applyBorder="1" applyAlignment="1">
      <alignment horizontal="center" vertical="center" shrinkToFit="1"/>
    </xf>
    <xf numFmtId="0" fontId="2" fillId="0" borderId="50" xfId="0" quotePrefix="1" applyFont="1" applyBorder="1" applyAlignment="1">
      <alignment horizontal="left" vertical="center"/>
    </xf>
    <xf numFmtId="0" fontId="2" fillId="0" borderId="46" xfId="0" applyFont="1" applyBorder="1" applyAlignment="1">
      <alignment horizontal="center" vertical="center" wrapText="1"/>
    </xf>
    <xf numFmtId="1" fontId="7" fillId="0" borderId="28" xfId="0" applyNumberFormat="1" applyFont="1" applyBorder="1" applyAlignment="1">
      <alignment horizontal="center" vertical="center"/>
    </xf>
    <xf numFmtId="1" fontId="7" fillId="0" borderId="29" xfId="0" applyNumberFormat="1" applyFont="1" applyBorder="1" applyAlignment="1">
      <alignment horizontal="center" vertical="center"/>
    </xf>
    <xf numFmtId="0" fontId="2" fillId="0" borderId="44" xfId="0" applyFont="1" applyBorder="1" applyAlignment="1">
      <alignment horizontal="center" vertical="center" shrinkToFit="1"/>
    </xf>
    <xf numFmtId="0" fontId="2" fillId="0" borderId="46" xfId="0" applyFont="1" applyBorder="1" applyAlignment="1">
      <alignment horizontal="left" vertical="center" shrinkToFit="1"/>
    </xf>
    <xf numFmtId="0" fontId="2" fillId="0" borderId="0" xfId="0" applyFont="1" applyAlignment="1">
      <alignment horizontal="center" vertical="center"/>
    </xf>
    <xf numFmtId="1" fontId="2" fillId="0" borderId="119" xfId="0" applyNumberFormat="1" applyFont="1" applyBorder="1" applyAlignment="1">
      <alignment horizontal="center" vertical="center" shrinkToFit="1"/>
    </xf>
    <xf numFmtId="0" fontId="70" fillId="21" borderId="3" xfId="0" quotePrefix="1" applyFont="1" applyFill="1" applyBorder="1" applyAlignment="1">
      <alignment horizontal="center" vertical="center"/>
    </xf>
    <xf numFmtId="0" fontId="47" fillId="0" borderId="59" xfId="0" quotePrefix="1" applyFont="1" applyBorder="1" applyAlignment="1">
      <alignment horizontal="centerContinuous" vertical="center" shrinkToFit="1"/>
    </xf>
    <xf numFmtId="0" fontId="43" fillId="23" borderId="35" xfId="0" applyFont="1" applyFill="1" applyBorder="1" applyAlignment="1">
      <alignment vertical="center"/>
    </xf>
    <xf numFmtId="0" fontId="42" fillId="23" borderId="1" xfId="0" applyFont="1" applyFill="1" applyBorder="1" applyAlignment="1">
      <alignment vertical="center"/>
    </xf>
    <xf numFmtId="0" fontId="2" fillId="0" borderId="121" xfId="2" applyNumberFormat="1" applyFont="1" applyBorder="1" applyAlignment="1">
      <alignment horizontal="center" vertical="center"/>
    </xf>
    <xf numFmtId="0" fontId="2" fillId="0" borderId="112" xfId="2" applyNumberFormat="1" applyFont="1" applyBorder="1" applyAlignment="1">
      <alignment horizontal="center" vertical="center"/>
    </xf>
    <xf numFmtId="0" fontId="2" fillId="0" borderId="83" xfId="2" applyNumberFormat="1" applyFont="1" applyBorder="1" applyAlignment="1">
      <alignment horizontal="center" vertical="center"/>
    </xf>
    <xf numFmtId="0" fontId="2" fillId="19" borderId="116" xfId="2" applyNumberFormat="1" applyFont="1" applyFill="1" applyBorder="1" applyAlignment="1">
      <alignment horizontal="center" vertical="center"/>
    </xf>
    <xf numFmtId="0" fontId="2" fillId="19" borderId="121" xfId="2" applyNumberFormat="1" applyFont="1" applyFill="1" applyBorder="1" applyAlignment="1">
      <alignment horizontal="center" vertical="center"/>
    </xf>
    <xf numFmtId="0" fontId="2" fillId="19" borderId="112" xfId="2" applyNumberFormat="1" applyFont="1" applyFill="1" applyBorder="1" applyAlignment="1">
      <alignment horizontal="center" vertical="center"/>
    </xf>
    <xf numFmtId="0" fontId="2" fillId="0" borderId="126" xfId="0" applyFont="1" applyBorder="1" applyAlignment="1">
      <alignment horizontal="centerContinuous" vertical="center" shrinkToFit="1"/>
    </xf>
    <xf numFmtId="0" fontId="21" fillId="0" borderId="127" xfId="0" applyFont="1" applyBorder="1" applyAlignment="1">
      <alignment horizontal="centerContinuous" vertical="center"/>
    </xf>
    <xf numFmtId="0" fontId="21" fillId="0" borderId="148" xfId="0" applyFont="1" applyBorder="1" applyAlignment="1">
      <alignment horizontal="centerContinuous" vertical="center"/>
    </xf>
    <xf numFmtId="0" fontId="2" fillId="0" borderId="149" xfId="0" applyFont="1" applyBorder="1" applyAlignment="1">
      <alignment horizontal="center" vertical="center"/>
    </xf>
    <xf numFmtId="0" fontId="2" fillId="0" borderId="147" xfId="0" applyFont="1" applyBorder="1" applyAlignment="1">
      <alignment horizontal="centerContinuous" vertical="center"/>
    </xf>
    <xf numFmtId="1" fontId="7" fillId="0" borderId="58" xfId="0" applyNumberFormat="1" applyFont="1" applyBorder="1" applyAlignment="1">
      <alignment horizontal="centerContinuous" vertical="center"/>
    </xf>
    <xf numFmtId="0" fontId="64" fillId="0" borderId="110" xfId="0" applyFont="1" applyBorder="1" applyAlignment="1">
      <alignment horizontal="centerContinuous" vertical="center"/>
    </xf>
    <xf numFmtId="0" fontId="7" fillId="19" borderId="12" xfId="0" applyFont="1" applyFill="1" applyBorder="1" applyAlignment="1">
      <alignment horizontal="center" vertical="center"/>
    </xf>
    <xf numFmtId="0" fontId="9" fillId="19" borderId="3" xfId="0" quotePrefix="1"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10">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9BCC8718-B6F0-4DCF-ABFA-A378CB00C76B}"/>
  </tableStyles>
  <colors>
    <mruColors>
      <color rgb="FFFFCCFF"/>
      <color rgb="FF9933FF"/>
      <color rgb="FF9966FF"/>
      <color rgb="FFCC99FF"/>
      <color rgb="FF0000FF"/>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17</xdr:row>
      <xdr:rowOff>30480</xdr:rowOff>
    </xdr:from>
    <xdr:to>
      <xdr:col>7</xdr:col>
      <xdr:colOff>0</xdr:colOff>
      <xdr:row>28</xdr:row>
      <xdr:rowOff>106680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3413760"/>
          <a:ext cx="672084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a:latin typeface="Times New Roman" panose="02020603050405020304" pitchFamily="18" charset="0"/>
              <a:cs typeface="Times New Roman" panose="02020603050405020304" pitchFamily="18" charset="0"/>
            </a:rPr>
            <a:t>Faith is a human woman with blond hair often tied back in a braid and intense blue eyes that seem to see more than you would like. She is well muscled, and usually armored in full plate.  She even sleeps in her armor and it does not seem to bother her.  A shield floats</a:t>
          </a:r>
          <a:r>
            <a:rPr lang="en-US" sz="1200" baseline="0">
              <a:latin typeface="Times New Roman" panose="02020603050405020304" pitchFamily="18" charset="0"/>
              <a:cs typeface="Times New Roman" panose="02020603050405020304" pitchFamily="18" charset="0"/>
            </a:rPr>
            <a:t> </a:t>
          </a:r>
          <a:r>
            <a:rPr lang="en-US" sz="1200">
              <a:latin typeface="Times New Roman" panose="02020603050405020304" pitchFamily="18" charset="0"/>
              <a:cs typeface="Times New Roman" panose="02020603050405020304" pitchFamily="18" charset="0"/>
            </a:rPr>
            <a:t>by her right arm, emblazoned with the red silhouette</a:t>
          </a:r>
          <a:r>
            <a:rPr lang="en-US" sz="1200" baseline="0">
              <a:latin typeface="Times New Roman" panose="02020603050405020304" pitchFamily="18" charset="0"/>
              <a:cs typeface="Times New Roman" panose="02020603050405020304" pitchFamily="18" charset="0"/>
            </a:rPr>
            <a:t> of a long-haired woman</a:t>
          </a:r>
          <a:r>
            <a:rPr lang="en-US" sz="1200">
              <a:latin typeface="Times New Roman" panose="02020603050405020304" pitchFamily="18" charset="0"/>
              <a:cs typeface="Times New Roman" panose="02020603050405020304" pitchFamily="18" charset="0"/>
            </a:rPr>
            <a:t> facing out.  She wears a silver holy symbol around her neck with a similar, redhaired crest upon it.  The greatsword on her back seems polished and well cared for.  She also carries a bow and heavy flail made of silver.  Her backpack seems to hold much more than it ought to.</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Faith does not hide the fact that she is a Templar of Sune.  She does not remember how she got to the Gauntlet, but has found her way free and found her footing in this strange new place.  She is content to travel around helping those who need it and she works hard to put down evil outsiders when she can.  She is mostly serious, seldom laughing or joking, but knows how to speak well and convincing others of doing the right thing.</a:t>
          </a:r>
        </a:p>
      </xdr:txBody>
    </xdr:sp>
    <xdr:clientData/>
  </xdr:twoCellAnchor>
  <xdr:twoCellAnchor>
    <xdr:from>
      <xdr:col>0</xdr:col>
      <xdr:colOff>45720</xdr:colOff>
      <xdr:row>14</xdr:row>
      <xdr:rowOff>45720</xdr:rowOff>
    </xdr:from>
    <xdr:to>
      <xdr:col>6</xdr:col>
      <xdr:colOff>1242060</xdr:colOff>
      <xdr:row>16</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Protection from Evil +2</a:t>
          </a:r>
        </a:p>
      </xdr:txBody>
    </xdr:sp>
    <xdr:clientData/>
  </xdr:twoCellAnchor>
  <xdr:twoCellAnchor editAs="oneCell">
    <xdr:from>
      <xdr:col>5</xdr:col>
      <xdr:colOff>15241</xdr:colOff>
      <xdr:row>2</xdr:row>
      <xdr:rowOff>7621</xdr:rowOff>
    </xdr:from>
    <xdr:to>
      <xdr:col>6</xdr:col>
      <xdr:colOff>1226821</xdr:colOff>
      <xdr:row>12</xdr:row>
      <xdr:rowOff>192129</xdr:rowOff>
    </xdr:to>
    <xdr:pic>
      <xdr:nvPicPr>
        <xdr:cNvPr id="5" name="Picture 4">
          <a:extLst>
            <a:ext uri="{FF2B5EF4-FFF2-40B4-BE49-F238E27FC236}">
              <a16:creationId xmlns:a16="http://schemas.microsoft.com/office/drawing/2014/main" id="{4DCC28B8-1863-4964-8F76-BD0EB181F8B5}"/>
            </a:ext>
          </a:extLst>
        </xdr:cNvPr>
        <xdr:cNvPicPr>
          <a:picLocks noChangeAspect="1"/>
        </xdr:cNvPicPr>
      </xdr:nvPicPr>
      <xdr:blipFill>
        <a:blip xmlns:r="http://schemas.openxmlformats.org/officeDocument/2006/relationships" r:embed="rId1"/>
        <a:stretch>
          <a:fillRect/>
        </a:stretch>
      </xdr:blipFill>
      <xdr:spPr>
        <a:xfrm>
          <a:off x="4411981" y="601981"/>
          <a:ext cx="2461260" cy="2348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2</xdr:row>
      <xdr:rowOff>7620</xdr:rowOff>
    </xdr:from>
    <xdr:to>
      <xdr:col>11</xdr:col>
      <xdr:colOff>22860</xdr:colOff>
      <xdr:row>4</xdr:row>
      <xdr:rowOff>198120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581900" y="739140"/>
          <a:ext cx="975360" cy="61722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200" b="0" i="1" baseline="0">
              <a:solidFill>
                <a:schemeClr val="bg1"/>
              </a:solidFill>
              <a:latin typeface="Times New Roman" panose="02020603050405020304" pitchFamily="18" charset="0"/>
              <a:cs typeface="Times New Roman" panose="02020603050405020304" pitchFamily="18" charset="0"/>
            </a:rPr>
            <a:t>Protection from Evil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8457" name="Rectangle 1">
          <a:extLst>
            <a:ext uri="{FF2B5EF4-FFF2-40B4-BE49-F238E27FC236}">
              <a16:creationId xmlns:a16="http://schemas.microsoft.com/office/drawing/2014/main" id="{00000000-0008-0000-0300-000019480000}"/>
            </a:ext>
          </a:extLst>
        </xdr:cNvPr>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291465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 military saddle, bit and bridle.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showGridLines="0" tabSelected="1" workbookViewId="0"/>
  </sheetViews>
  <sheetFormatPr defaultColWidth="13" defaultRowHeight="15.6" x14ac:dyDescent="0.3"/>
  <cols>
    <col min="1" max="1" width="14.3984375" style="184" bestFit="1" customWidth="1"/>
    <col min="2" max="2" width="12" style="77" customWidth="1"/>
    <col min="3" max="3" width="6.69921875" style="77" customWidth="1"/>
    <col min="4" max="4" width="13.69921875" style="184" bestFit="1" customWidth="1"/>
    <col min="5" max="5" width="10.8984375" style="77" bestFit="1" customWidth="1"/>
    <col min="6" max="6" width="16.3984375" style="184" customWidth="1"/>
    <col min="7" max="7" width="16.3984375" style="77" customWidth="1"/>
    <col min="8" max="16384" width="13" style="17"/>
  </cols>
  <sheetData>
    <row r="1" spans="1:7" ht="29.4" thickTop="1" thickBot="1" x14ac:dyDescent="0.35">
      <c r="A1" s="542" t="s">
        <v>411</v>
      </c>
      <c r="B1" s="543"/>
      <c r="C1" s="190"/>
      <c r="D1" s="191"/>
      <c r="E1" s="192"/>
      <c r="F1" s="191"/>
      <c r="G1" s="193" t="s">
        <v>382</v>
      </c>
    </row>
    <row r="2" spans="1:7" ht="17.399999999999999" thickTop="1" x14ac:dyDescent="0.3">
      <c r="A2" s="194" t="s">
        <v>391</v>
      </c>
      <c r="B2" s="195" t="s">
        <v>82</v>
      </c>
      <c r="C2" s="195"/>
      <c r="D2" s="196" t="s">
        <v>392</v>
      </c>
      <c r="E2" s="197" t="s">
        <v>144</v>
      </c>
      <c r="F2" s="198"/>
      <c r="G2" s="199"/>
    </row>
    <row r="3" spans="1:7" ht="16.8" x14ac:dyDescent="0.3">
      <c r="A3" s="194" t="s">
        <v>393</v>
      </c>
      <c r="B3" s="195" t="s">
        <v>352</v>
      </c>
      <c r="C3" s="195"/>
      <c r="D3" s="196" t="s">
        <v>4</v>
      </c>
      <c r="E3" s="197">
        <v>7</v>
      </c>
      <c r="F3" s="196"/>
      <c r="G3" s="199"/>
    </row>
    <row r="4" spans="1:7" ht="16.8" x14ac:dyDescent="0.3">
      <c r="A4" s="194" t="s">
        <v>393</v>
      </c>
      <c r="B4" s="195" t="s">
        <v>159</v>
      </c>
      <c r="C4" s="195"/>
      <c r="D4" s="196" t="s">
        <v>4</v>
      </c>
      <c r="E4" s="197">
        <v>7</v>
      </c>
      <c r="F4" s="196"/>
      <c r="G4" s="199"/>
    </row>
    <row r="5" spans="1:7" ht="16.8" x14ac:dyDescent="0.3">
      <c r="A5" s="194" t="s">
        <v>395</v>
      </c>
      <c r="B5" s="195" t="s">
        <v>350</v>
      </c>
      <c r="C5" s="195"/>
      <c r="D5" s="196" t="s">
        <v>412</v>
      </c>
      <c r="E5" s="197"/>
      <c r="F5" s="196"/>
      <c r="G5" s="199"/>
    </row>
    <row r="6" spans="1:7" ht="17.399999999999999" thickBot="1" x14ac:dyDescent="0.35">
      <c r="A6" s="194" t="s">
        <v>394</v>
      </c>
      <c r="B6" s="195" t="s">
        <v>351</v>
      </c>
      <c r="C6" s="195"/>
      <c r="D6" s="196" t="s">
        <v>413</v>
      </c>
      <c r="E6" s="197">
        <v>37</v>
      </c>
      <c r="F6" s="196"/>
      <c r="G6" s="199"/>
    </row>
    <row r="7" spans="1:7" ht="17.399999999999999" thickTop="1" x14ac:dyDescent="0.3">
      <c r="A7" s="200" t="s">
        <v>396</v>
      </c>
      <c r="B7" s="569">
        <f>E3+E4</f>
        <v>14</v>
      </c>
      <c r="C7" s="570"/>
      <c r="D7" s="237" t="s">
        <v>81</v>
      </c>
      <c r="E7" s="541" t="str">
        <f>Martial!F25</f>
        <v>20’</v>
      </c>
      <c r="F7" s="201"/>
      <c r="G7" s="199"/>
    </row>
    <row r="8" spans="1:7" ht="17.399999999999999" thickBot="1" x14ac:dyDescent="0.35">
      <c r="A8" s="443" t="s">
        <v>397</v>
      </c>
      <c r="B8" s="444" t="str">
        <f>C10</f>
        <v>+1</v>
      </c>
      <c r="C8" s="445"/>
      <c r="D8" s="533" t="s">
        <v>398</v>
      </c>
      <c r="E8" s="534">
        <v>100000</v>
      </c>
      <c r="F8" s="201"/>
      <c r="G8" s="199"/>
    </row>
    <row r="9" spans="1:7" ht="17.399999999999999" thickTop="1" x14ac:dyDescent="0.3">
      <c r="A9" s="202" t="s">
        <v>399</v>
      </c>
      <c r="B9" s="571">
        <f>16+4</f>
        <v>20</v>
      </c>
      <c r="C9" s="203" t="str">
        <f t="shared" ref="C9:C14" si="0">IF(B9&gt;9.9,CONCATENATE("+",ROUNDDOWN((B9-10)/2,0)),ROUNDUP((B9-10)/2,0))</f>
        <v>+5</v>
      </c>
      <c r="D9" s="204" t="s">
        <v>400</v>
      </c>
      <c r="E9" s="236" t="s">
        <v>160</v>
      </c>
      <c r="F9" s="201"/>
      <c r="G9" s="199"/>
    </row>
    <row r="10" spans="1:7" ht="16.8" x14ac:dyDescent="0.3">
      <c r="A10" s="205" t="s">
        <v>401</v>
      </c>
      <c r="B10" s="554">
        <f>10+2</f>
        <v>12</v>
      </c>
      <c r="C10" s="206" t="str">
        <f t="shared" si="0"/>
        <v>+1</v>
      </c>
      <c r="D10" s="207" t="s">
        <v>402</v>
      </c>
      <c r="E10" s="208">
        <f>SUM(Martial!G3:G32,Equipment!C3:C16)</f>
        <v>93.7</v>
      </c>
      <c r="F10" s="201"/>
      <c r="G10" s="199"/>
    </row>
    <row r="11" spans="1:7" ht="16.8" x14ac:dyDescent="0.3">
      <c r="A11" s="209" t="s">
        <v>403</v>
      </c>
      <c r="B11" s="572">
        <f>14+4</f>
        <v>18</v>
      </c>
      <c r="C11" s="211" t="str">
        <f t="shared" si="0"/>
        <v>+4</v>
      </c>
      <c r="D11" s="212" t="s">
        <v>404</v>
      </c>
      <c r="E11" s="235">
        <f>ROUNDUP(((E3*10)*0.75)+((E4*10)*0.75)+((E3+E4)*C11),0)+(E3+E4)</f>
        <v>175</v>
      </c>
      <c r="F11" s="201"/>
      <c r="G11" s="199"/>
    </row>
    <row r="12" spans="1:7" ht="16.8" x14ac:dyDescent="0.3">
      <c r="A12" s="213" t="s">
        <v>405</v>
      </c>
      <c r="B12" s="210">
        <f>10</f>
        <v>10</v>
      </c>
      <c r="C12" s="206" t="str">
        <f t="shared" si="0"/>
        <v>+0</v>
      </c>
      <c r="D12" s="215" t="s">
        <v>406</v>
      </c>
      <c r="E12" s="548">
        <f>10+C10</f>
        <v>11</v>
      </c>
      <c r="F12" s="194"/>
      <c r="G12" s="199"/>
    </row>
    <row r="13" spans="1:7" ht="16.8" x14ac:dyDescent="0.3">
      <c r="A13" s="214" t="s">
        <v>407</v>
      </c>
      <c r="B13" s="554">
        <f>14+2</f>
        <v>16</v>
      </c>
      <c r="C13" s="206" t="str">
        <f t="shared" si="0"/>
        <v>+3</v>
      </c>
      <c r="D13" s="215" t="s">
        <v>408</v>
      </c>
      <c r="E13" s="548">
        <f>E14-C10</f>
        <v>24</v>
      </c>
      <c r="F13" s="201"/>
      <c r="G13" s="199"/>
    </row>
    <row r="14" spans="1:7" ht="17.399999999999999" thickBot="1" x14ac:dyDescent="0.35">
      <c r="A14" s="216" t="s">
        <v>409</v>
      </c>
      <c r="B14" s="504">
        <f>14+2</f>
        <v>16</v>
      </c>
      <c r="C14" s="535" t="str">
        <f t="shared" si="0"/>
        <v>+3</v>
      </c>
      <c r="D14" s="217" t="s">
        <v>410</v>
      </c>
      <c r="E14" s="549">
        <f>E12+SUM(Martial!B25:B28)</f>
        <v>25</v>
      </c>
      <c r="F14" s="220"/>
      <c r="G14" s="221"/>
    </row>
    <row r="15" spans="1:7" ht="16.2" thickTop="1" x14ac:dyDescent="0.3"/>
  </sheetData>
  <phoneticPr fontId="0" type="noConversion"/>
  <conditionalFormatting sqref="E10">
    <cfRule type="cellIs" dxfId="9" priority="4" stopIfTrue="1" operator="greaterThan">
      <formula>763</formula>
    </cfRule>
    <cfRule type="cellIs" dxfId="8" priority="5" stopIfTrue="1" operator="between">
      <formula>43</formula>
      <formula>86</formula>
    </cfRule>
  </conditionalFormatting>
  <printOptions gridLinesSet="0"/>
  <pageMargins left="0.25" right="0.25"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3" bestFit="1" customWidth="1"/>
    <col min="8" max="8" width="5.19921875" style="3" bestFit="1" customWidth="1"/>
    <col min="9" max="9" width="6.8984375" style="3" bestFit="1" customWidth="1"/>
    <col min="10" max="10" width="37.796875" style="2" customWidth="1"/>
    <col min="11" max="16384" width="13" style="1"/>
  </cols>
  <sheetData>
    <row r="1" spans="1:10" ht="23.4" thickBot="1" x14ac:dyDescent="0.35">
      <c r="A1" s="86" t="s">
        <v>11</v>
      </c>
      <c r="B1" s="87"/>
      <c r="C1" s="87"/>
      <c r="D1" s="87"/>
      <c r="E1" s="87"/>
      <c r="F1" s="87"/>
      <c r="G1" s="87"/>
      <c r="H1" s="87"/>
      <c r="I1" s="87"/>
      <c r="J1" s="87"/>
    </row>
    <row r="2" spans="1:10" s="14" customFormat="1" ht="34.200000000000003" thickBot="1" x14ac:dyDescent="0.35">
      <c r="A2" s="12" t="s">
        <v>233</v>
      </c>
      <c r="B2" s="13" t="s">
        <v>29</v>
      </c>
      <c r="C2" s="13" t="s">
        <v>36</v>
      </c>
      <c r="D2" s="13" t="s">
        <v>28</v>
      </c>
      <c r="E2" s="13" t="s">
        <v>62</v>
      </c>
      <c r="F2" s="13" t="s">
        <v>37</v>
      </c>
      <c r="G2" s="13" t="s">
        <v>64</v>
      </c>
      <c r="H2" s="9" t="s">
        <v>151</v>
      </c>
      <c r="I2" s="10" t="s">
        <v>79</v>
      </c>
      <c r="J2" s="11" t="s">
        <v>77</v>
      </c>
    </row>
    <row r="3" spans="1:10" s="4" customFormat="1" ht="16.8" x14ac:dyDescent="0.3">
      <c r="A3" s="557" t="s">
        <v>66</v>
      </c>
      <c r="B3" s="88">
        <f>5+5</f>
        <v>10</v>
      </c>
      <c r="C3" s="88" t="s">
        <v>31</v>
      </c>
      <c r="D3" s="89" t="str">
        <f>IF(C3="Str",'Personal File'!$C$9,IF(C3="Dex",'Personal File'!$C$10,IF(C3="Con",'Personal File'!$C$11,IF(C3="Int",'Personal File'!$C$12,IF(C3="Wis",'Personal File'!$C$13,IF(C3="Cha",'Personal File'!$C$14))))))</f>
        <v>+4</v>
      </c>
      <c r="E3" s="89" t="str">
        <f t="shared" ref="E3" si="0">CONCATENATE(C3," (",D3,")")</f>
        <v>Con (+4)</v>
      </c>
      <c r="F3" s="506">
        <f>'Personal File'!C$14+2+1</f>
        <v>6</v>
      </c>
      <c r="G3" s="91">
        <f t="shared" ref="G3:G42" si="1">B3+D3+F3</f>
        <v>20</v>
      </c>
      <c r="H3" s="92">
        <f t="shared" ref="H3:H5" ca="1" si="2">RANDBETWEEN(1,20)</f>
        <v>8</v>
      </c>
      <c r="I3" s="90">
        <f t="shared" ref="I3" ca="1" si="3">SUM(G3:H3)</f>
        <v>28</v>
      </c>
      <c r="J3" s="318" t="s">
        <v>221</v>
      </c>
    </row>
    <row r="4" spans="1:10" s="4" customFormat="1" ht="16.8" x14ac:dyDescent="0.3">
      <c r="A4" s="93" t="s">
        <v>67</v>
      </c>
      <c r="B4" s="88">
        <f>2+2</f>
        <v>4</v>
      </c>
      <c r="C4" s="88" t="s">
        <v>34</v>
      </c>
      <c r="D4" s="94" t="str">
        <f>IF(C4="Str",'Personal File'!$C$9,IF(C4="Dex",'Personal File'!$C$10,IF(C4="Con",'Personal File'!$C$11,IF(C4="Int",'Personal File'!$C$12,IF(C4="Wis",'Personal File'!$C$13,IF(C4="Cha",'Personal File'!$C$14))))))</f>
        <v>+1</v>
      </c>
      <c r="E4" s="95" t="str">
        <f t="shared" ref="E4:E5" si="4">CONCATENATE(C4," (",D4,")")</f>
        <v>Dex (+1)</v>
      </c>
      <c r="F4" s="506">
        <f>'Personal File'!C$14+2+1</f>
        <v>6</v>
      </c>
      <c r="G4" s="91">
        <f t="shared" si="1"/>
        <v>11</v>
      </c>
      <c r="H4" s="92">
        <f t="shared" ca="1" si="2"/>
        <v>9</v>
      </c>
      <c r="I4" s="96">
        <f t="shared" ref="I4:I42" ca="1" si="5">SUM(G4:H4)</f>
        <v>20</v>
      </c>
      <c r="J4" s="170" t="s">
        <v>374</v>
      </c>
    </row>
    <row r="5" spans="1:10" s="4" customFormat="1" ht="16.8" x14ac:dyDescent="0.3">
      <c r="A5" s="556" t="s">
        <v>68</v>
      </c>
      <c r="B5" s="98">
        <f>2+5</f>
        <v>7</v>
      </c>
      <c r="C5" s="98" t="s">
        <v>33</v>
      </c>
      <c r="D5" s="99" t="str">
        <f>IF(C5="Str",'Personal File'!$C$9,IF(C5="Dex",'Personal File'!$C$10,IF(C5="Con",'Personal File'!$C$11,IF(C5="Int",'Personal File'!$C$12,IF(C5="Wis",'Personal File'!$C$13,IF(C5="Cha",'Personal File'!$C$14))))))</f>
        <v>+3</v>
      </c>
      <c r="E5" s="100" t="str">
        <f t="shared" si="4"/>
        <v>Wis (+3)</v>
      </c>
      <c r="F5" s="507">
        <f>'Personal File'!C$14+2+1</f>
        <v>6</v>
      </c>
      <c r="G5" s="102">
        <f t="shared" si="1"/>
        <v>16</v>
      </c>
      <c r="H5" s="103">
        <f t="shared" ca="1" si="2"/>
        <v>7</v>
      </c>
      <c r="I5" s="101">
        <f t="shared" ca="1" si="5"/>
        <v>23</v>
      </c>
      <c r="J5" s="354" t="s">
        <v>221</v>
      </c>
    </row>
    <row r="6" spans="1:10" s="4" customFormat="1" ht="16.8" x14ac:dyDescent="0.3">
      <c r="A6" s="104" t="s">
        <v>38</v>
      </c>
      <c r="B6" s="88">
        <v>0</v>
      </c>
      <c r="C6" s="105" t="s">
        <v>32</v>
      </c>
      <c r="D6" s="106" t="str">
        <f>IF(C6="Str",'Personal File'!$C$9,IF(C6="Dex",'Personal File'!$C$10,IF(C6="Con",'Personal File'!$C$11,IF(C6="Int",'Personal File'!$C$12,IF(C6="Wis",'Personal File'!$C$13,IF(C6="Cha",'Personal File'!$C$14))))))</f>
        <v>+0</v>
      </c>
      <c r="E6" s="106" t="str">
        <f t="shared" ref="E6" si="6">CONCATENATE(C6," (",D6,")")</f>
        <v>Int (+0)</v>
      </c>
      <c r="F6" s="107" t="s">
        <v>63</v>
      </c>
      <c r="G6" s="108">
        <f t="shared" si="1"/>
        <v>0</v>
      </c>
      <c r="H6" s="92">
        <f ca="1">RANDBETWEEN(1,20)</f>
        <v>19</v>
      </c>
      <c r="I6" s="96">
        <f t="shared" ca="1" si="5"/>
        <v>19</v>
      </c>
      <c r="J6" s="170"/>
    </row>
    <row r="7" spans="1:10" s="8" customFormat="1" ht="16.8" x14ac:dyDescent="0.3">
      <c r="A7" s="109" t="s">
        <v>39</v>
      </c>
      <c r="B7" s="88">
        <v>0</v>
      </c>
      <c r="C7" s="110" t="s">
        <v>34</v>
      </c>
      <c r="D7" s="94" t="str">
        <f>IF(C7="Str",'Personal File'!$C$9,IF(C7="Dex",'Personal File'!$C$10,IF(C7="Con",'Personal File'!$C$11,IF(C7="Int",'Personal File'!$C$12,IF(C7="Wis",'Personal File'!$C$13,IF(C7="Cha",'Personal File'!$C$14))))))</f>
        <v>+1</v>
      </c>
      <c r="E7" s="94" t="str">
        <f t="shared" ref="E7:E42" si="7">CONCATENATE(C7," (",D7,")")</f>
        <v>Dex (+1)</v>
      </c>
      <c r="F7" s="437">
        <f>SUM(Martial!$D$25:$D$28)</f>
        <v>-5</v>
      </c>
      <c r="G7" s="108">
        <f t="shared" si="1"/>
        <v>-4</v>
      </c>
      <c r="H7" s="92">
        <f ca="1">RANDBETWEEN(1,20)</f>
        <v>7</v>
      </c>
      <c r="I7" s="96">
        <f t="shared" ca="1" si="5"/>
        <v>3</v>
      </c>
      <c r="J7" s="170"/>
    </row>
    <row r="8" spans="1:10" s="6" customFormat="1" ht="16.8" x14ac:dyDescent="0.3">
      <c r="A8" s="127" t="s">
        <v>40</v>
      </c>
      <c r="B8" s="118">
        <v>9</v>
      </c>
      <c r="C8" s="128" t="s">
        <v>30</v>
      </c>
      <c r="D8" s="129" t="str">
        <f>IF(C8="Str",'Personal File'!$C$9,IF(C8="Dex",'Personal File'!$C$10,IF(C8="Con",'Personal File'!$C$11,IF(C8="Int",'Personal File'!$C$12,IF(C8="Wis",'Personal File'!$C$13,IF(C8="Cha",'Personal File'!$C$14))))))</f>
        <v>+3</v>
      </c>
      <c r="E8" s="130" t="str">
        <f t="shared" si="7"/>
        <v>Cha (+3)</v>
      </c>
      <c r="F8" s="119" t="s">
        <v>63</v>
      </c>
      <c r="G8" s="119">
        <f t="shared" si="1"/>
        <v>12</v>
      </c>
      <c r="H8" s="92">
        <f t="shared" ref="H8:H42" ca="1" si="8">RANDBETWEEN(1,20)</f>
        <v>10</v>
      </c>
      <c r="I8" s="508">
        <f t="shared" ca="1" si="5"/>
        <v>22</v>
      </c>
      <c r="J8" s="421"/>
    </row>
    <row r="9" spans="1:10" s="5" customFormat="1" ht="16.8" x14ac:dyDescent="0.3">
      <c r="A9" s="115" t="s">
        <v>41</v>
      </c>
      <c r="B9" s="88">
        <v>0</v>
      </c>
      <c r="C9" s="116" t="s">
        <v>35</v>
      </c>
      <c r="D9" s="117" t="str">
        <f>IF(C9="Str",'Personal File'!$C$9,IF(C9="Dex",'Personal File'!$C$10,IF(C9="Con",'Personal File'!$C$11,IF(C9="Int",'Personal File'!$C$12,IF(C9="Wis",'Personal File'!$C$13,IF(C9="Cha",'Personal File'!$C$14))))))</f>
        <v>+5</v>
      </c>
      <c r="E9" s="117" t="str">
        <f t="shared" si="7"/>
        <v>Str (+5)</v>
      </c>
      <c r="F9" s="437">
        <f>SUM(Martial!$D$25:$D$28)</f>
        <v>-5</v>
      </c>
      <c r="G9" s="108">
        <f t="shared" si="1"/>
        <v>0</v>
      </c>
      <c r="H9" s="92">
        <f t="shared" ca="1" si="8"/>
        <v>13</v>
      </c>
      <c r="I9" s="96">
        <f t="shared" ca="1" si="5"/>
        <v>13</v>
      </c>
      <c r="J9" s="170"/>
    </row>
    <row r="10" spans="1:10" s="5" customFormat="1" ht="16.8" x14ac:dyDescent="0.3">
      <c r="A10" s="516" t="s">
        <v>17</v>
      </c>
      <c r="B10" s="118">
        <v>8</v>
      </c>
      <c r="C10" s="517" t="s">
        <v>31</v>
      </c>
      <c r="D10" s="518" t="str">
        <f>IF(C10="Str",'Personal File'!$C$9,IF(C10="Dex",'Personal File'!$C$10,IF(C10="Con",'Personal File'!$C$11,IF(C10="Int",'Personal File'!$C$12,IF(C10="Wis",'Personal File'!$C$13,IF(C10="Cha",'Personal File'!$C$14))))))</f>
        <v>+4</v>
      </c>
      <c r="E10" s="518" t="str">
        <f t="shared" si="7"/>
        <v>Con (+4)</v>
      </c>
      <c r="F10" s="119" t="s">
        <v>63</v>
      </c>
      <c r="G10" s="119">
        <f t="shared" si="1"/>
        <v>12</v>
      </c>
      <c r="H10" s="92">
        <f t="shared" ca="1" si="8"/>
        <v>1</v>
      </c>
      <c r="I10" s="508">
        <f t="shared" ca="1" si="5"/>
        <v>13</v>
      </c>
      <c r="J10" s="421"/>
    </row>
    <row r="11" spans="1:10" s="4" customFormat="1" ht="16.8" x14ac:dyDescent="0.3">
      <c r="A11" s="104" t="s">
        <v>83</v>
      </c>
      <c r="B11" s="88">
        <v>0</v>
      </c>
      <c r="C11" s="105" t="s">
        <v>32</v>
      </c>
      <c r="D11" s="106" t="str">
        <f>IF(C11="Str",'Personal File'!$C$9,IF(C11="Dex",'Personal File'!$C$10,IF(C11="Con",'Personal File'!$C$11,IF(C11="Int",'Personal File'!$C$12,IF(C11="Wis",'Personal File'!$C$13,IF(C11="Cha",'Personal File'!$C$14))))))</f>
        <v>+0</v>
      </c>
      <c r="E11" s="106" t="str">
        <f t="shared" si="7"/>
        <v>Int (+0)</v>
      </c>
      <c r="F11" s="108" t="s">
        <v>63</v>
      </c>
      <c r="G11" s="108">
        <f t="shared" si="1"/>
        <v>0</v>
      </c>
      <c r="H11" s="92">
        <f t="shared" ca="1" si="8"/>
        <v>12</v>
      </c>
      <c r="I11" s="96">
        <f t="shared" ca="1" si="5"/>
        <v>12</v>
      </c>
      <c r="J11" s="170"/>
    </row>
    <row r="12" spans="1:10" s="7" customFormat="1" ht="16.8" x14ac:dyDescent="0.3">
      <c r="A12" s="121" t="s">
        <v>42</v>
      </c>
      <c r="B12" s="122">
        <v>0</v>
      </c>
      <c r="C12" s="123" t="s">
        <v>32</v>
      </c>
      <c r="D12" s="124" t="str">
        <f>IF(C12="Str",'Personal File'!$C$9,IF(C12="Dex",'Personal File'!$C$10,IF(C12="Con",'Personal File'!$C$11,IF(C12="Int",'Personal File'!$C$12,IF(C12="Wis",'Personal File'!$C$13,IF(C12="Cha",'Personal File'!$C$14))))))</f>
        <v>+0</v>
      </c>
      <c r="E12" s="124" t="str">
        <f t="shared" si="7"/>
        <v>Int (+0)</v>
      </c>
      <c r="F12" s="125" t="s">
        <v>63</v>
      </c>
      <c r="G12" s="125">
        <f t="shared" si="1"/>
        <v>0</v>
      </c>
      <c r="H12" s="92">
        <f t="shared" ca="1" si="8"/>
        <v>14</v>
      </c>
      <c r="I12" s="125">
        <f t="shared" ca="1" si="5"/>
        <v>14</v>
      </c>
      <c r="J12" s="420"/>
    </row>
    <row r="13" spans="1:10" s="8" customFormat="1" ht="16.8" x14ac:dyDescent="0.3">
      <c r="A13" s="509" t="s">
        <v>43</v>
      </c>
      <c r="B13" s="510">
        <v>0</v>
      </c>
      <c r="C13" s="511" t="s">
        <v>30</v>
      </c>
      <c r="D13" s="512" t="str">
        <f>IF(C13="Str",'Personal File'!$C$9,IF(C13="Dex",'Personal File'!$C$10,IF(C13="Con",'Personal File'!$C$11,IF(C13="Int",'Personal File'!$C$12,IF(C13="Wis",'Personal File'!$C$13,IF(C13="Cha",'Personal File'!$C$14))))))</f>
        <v>+3</v>
      </c>
      <c r="E13" s="513" t="str">
        <f t="shared" si="7"/>
        <v>Cha (+3)</v>
      </c>
      <c r="F13" s="514" t="s">
        <v>143</v>
      </c>
      <c r="G13" s="514">
        <f t="shared" si="1"/>
        <v>5</v>
      </c>
      <c r="H13" s="92">
        <f t="shared" ca="1" si="8"/>
        <v>3</v>
      </c>
      <c r="I13" s="514">
        <f t="shared" ca="1" si="5"/>
        <v>8</v>
      </c>
      <c r="J13" s="515"/>
    </row>
    <row r="14" spans="1:10" s="8" customFormat="1" ht="16.8" x14ac:dyDescent="0.3">
      <c r="A14" s="121" t="s">
        <v>44</v>
      </c>
      <c r="B14" s="122">
        <v>0</v>
      </c>
      <c r="C14" s="123" t="s">
        <v>32</v>
      </c>
      <c r="D14" s="124" t="str">
        <f>IF(C14="Str",'Personal File'!$C$9,IF(C14="Dex",'Personal File'!$C$10,IF(C14="Con",'Personal File'!$C$11,IF(C14="Int",'Personal File'!$C$12,IF(C14="Wis",'Personal File'!$C$13,IF(C14="Cha",'Personal File'!$C$14))))))</f>
        <v>+0</v>
      </c>
      <c r="E14" s="124" t="str">
        <f t="shared" si="7"/>
        <v>Int (+0)</v>
      </c>
      <c r="F14" s="125" t="s">
        <v>63</v>
      </c>
      <c r="G14" s="125">
        <f t="shared" si="1"/>
        <v>0</v>
      </c>
      <c r="H14" s="92">
        <f t="shared" ca="1" si="8"/>
        <v>17</v>
      </c>
      <c r="I14" s="125">
        <f t="shared" ca="1" si="5"/>
        <v>17</v>
      </c>
      <c r="J14" s="420"/>
    </row>
    <row r="15" spans="1:10" s="8" customFormat="1" ht="16.8" x14ac:dyDescent="0.3">
      <c r="A15" s="111" t="s">
        <v>45</v>
      </c>
      <c r="B15" s="88">
        <v>0</v>
      </c>
      <c r="C15" s="112" t="s">
        <v>30</v>
      </c>
      <c r="D15" s="113" t="str">
        <f>IF(C15="Str",'Personal File'!$C$9,IF(C15="Dex",'Personal File'!$C$10,IF(C15="Con",'Personal File'!$C$11,IF(C15="Int",'Personal File'!$C$12,IF(C15="Wis",'Personal File'!$C$13,IF(C15="Cha",'Personal File'!$C$14))))))</f>
        <v>+3</v>
      </c>
      <c r="E15" s="114" t="str">
        <f t="shared" si="7"/>
        <v>Cha (+3)</v>
      </c>
      <c r="F15" s="108" t="s">
        <v>63</v>
      </c>
      <c r="G15" s="108">
        <f t="shared" si="1"/>
        <v>3</v>
      </c>
      <c r="H15" s="92">
        <f t="shared" ca="1" si="8"/>
        <v>10</v>
      </c>
      <c r="I15" s="108">
        <f t="shared" ca="1" si="5"/>
        <v>13</v>
      </c>
      <c r="J15" s="254"/>
    </row>
    <row r="16" spans="1:10" s="8" customFormat="1" ht="16.8" x14ac:dyDescent="0.3">
      <c r="A16" s="109" t="s">
        <v>46</v>
      </c>
      <c r="B16" s="88">
        <v>0</v>
      </c>
      <c r="C16" s="110" t="s">
        <v>34</v>
      </c>
      <c r="D16" s="94" t="str">
        <f>IF(C16="Str",'Personal File'!$C$9,IF(C16="Dex",'Personal File'!$C$10,IF(C16="Con",'Personal File'!$C$11,IF(C16="Int",'Personal File'!$C$12,IF(C16="Wis",'Personal File'!$C$13,IF(C16="Cha",'Personal File'!$C$14))))))</f>
        <v>+1</v>
      </c>
      <c r="E16" s="95" t="str">
        <f t="shared" si="7"/>
        <v>Dex (+1)</v>
      </c>
      <c r="F16" s="437">
        <f>SUM(Martial!$D$25:$D$28)</f>
        <v>-5</v>
      </c>
      <c r="G16" s="108">
        <f t="shared" si="1"/>
        <v>-4</v>
      </c>
      <c r="H16" s="92">
        <f t="shared" ca="1" si="8"/>
        <v>12</v>
      </c>
      <c r="I16" s="108">
        <f t="shared" ca="1" si="5"/>
        <v>8</v>
      </c>
      <c r="J16" s="170"/>
    </row>
    <row r="17" spans="1:10" s="8" customFormat="1" ht="16.8" x14ac:dyDescent="0.3">
      <c r="A17" s="132" t="s">
        <v>47</v>
      </c>
      <c r="B17" s="133">
        <v>0</v>
      </c>
      <c r="C17" s="134" t="s">
        <v>32</v>
      </c>
      <c r="D17" s="135" t="str">
        <f>IF(C17="Str",'Personal File'!$C$9,IF(C17="Dex",'Personal File'!$C$10,IF(C17="Con",'Personal File'!$C$11,IF(C17="Int",'Personal File'!$C$12,IF(C17="Wis",'Personal File'!$C$13,IF(C17="Cha",'Personal File'!$C$14))))))</f>
        <v>+0</v>
      </c>
      <c r="E17" s="135" t="str">
        <f t="shared" si="7"/>
        <v>Int (+0)</v>
      </c>
      <c r="F17" s="136" t="s">
        <v>63</v>
      </c>
      <c r="G17" s="136">
        <f t="shared" si="1"/>
        <v>0</v>
      </c>
      <c r="H17" s="92">
        <f t="shared" ca="1" si="8"/>
        <v>3</v>
      </c>
      <c r="I17" s="136">
        <f t="shared" ca="1" si="5"/>
        <v>3</v>
      </c>
      <c r="J17" s="422"/>
    </row>
    <row r="18" spans="1:10" s="8" customFormat="1" ht="16.8" x14ac:dyDescent="0.3">
      <c r="A18" s="111" t="s">
        <v>48</v>
      </c>
      <c r="B18" s="88">
        <v>0</v>
      </c>
      <c r="C18" s="112" t="s">
        <v>30</v>
      </c>
      <c r="D18" s="113" t="str">
        <f>IF(C18="Str",'Personal File'!$C$9,IF(C18="Dex",'Personal File'!$C$10,IF(C18="Con",'Personal File'!$C$11,IF(C18="Int",'Personal File'!$C$12,IF(C18="Wis",'Personal File'!$C$13,IF(C18="Cha",'Personal File'!$C$14))))))</f>
        <v>+3</v>
      </c>
      <c r="E18" s="114" t="str">
        <f t="shared" si="7"/>
        <v>Cha (+3)</v>
      </c>
      <c r="F18" s="108" t="s">
        <v>63</v>
      </c>
      <c r="G18" s="108">
        <f t="shared" si="1"/>
        <v>3</v>
      </c>
      <c r="H18" s="92">
        <f t="shared" ca="1" si="8"/>
        <v>15</v>
      </c>
      <c r="I18" s="108">
        <f t="shared" ca="1" si="5"/>
        <v>18</v>
      </c>
      <c r="J18" s="170"/>
    </row>
    <row r="19" spans="1:10" s="8" customFormat="1" ht="16.8" x14ac:dyDescent="0.3">
      <c r="A19" s="111" t="s">
        <v>19</v>
      </c>
      <c r="B19" s="88">
        <v>0</v>
      </c>
      <c r="C19" s="112" t="s">
        <v>30</v>
      </c>
      <c r="D19" s="113" t="str">
        <f>IF(C19="Str",'Personal File'!$C$9,IF(C19="Dex",'Personal File'!$C$10,IF(C19="Con",'Personal File'!$C$11,IF(C19="Int",'Personal File'!$C$12,IF(C19="Wis",'Personal File'!$C$13,IF(C19="Cha",'Personal File'!$C$14))))))</f>
        <v>+3</v>
      </c>
      <c r="E19" s="113" t="str">
        <f t="shared" si="7"/>
        <v>Cha (+3)</v>
      </c>
      <c r="F19" s="108" t="s">
        <v>63</v>
      </c>
      <c r="G19" s="108">
        <f t="shared" si="1"/>
        <v>3</v>
      </c>
      <c r="H19" s="92">
        <f t="shared" ca="1" si="8"/>
        <v>18</v>
      </c>
      <c r="I19" s="108">
        <f t="shared" ca="1" si="5"/>
        <v>21</v>
      </c>
      <c r="J19" s="170"/>
    </row>
    <row r="20" spans="1:10" s="8" customFormat="1" ht="16.8" x14ac:dyDescent="0.3">
      <c r="A20" s="446" t="s">
        <v>49</v>
      </c>
      <c r="B20" s="118">
        <v>9</v>
      </c>
      <c r="C20" s="447" t="s">
        <v>33</v>
      </c>
      <c r="D20" s="448" t="str">
        <f>IF(C20="Str",'Personal File'!$C$9,IF(C20="Dex",'Personal File'!$C$10,IF(C20="Con",'Personal File'!$C$11,IF(C20="Int",'Personal File'!$C$12,IF(C20="Wis",'Personal File'!$C$13,IF(C20="Cha",'Personal File'!$C$14))))))</f>
        <v>+3</v>
      </c>
      <c r="E20" s="448" t="str">
        <f t="shared" si="7"/>
        <v>Wis (+3)</v>
      </c>
      <c r="F20" s="119" t="s">
        <v>143</v>
      </c>
      <c r="G20" s="119">
        <f t="shared" si="1"/>
        <v>14</v>
      </c>
      <c r="H20" s="92">
        <f t="shared" ca="1" si="8"/>
        <v>2</v>
      </c>
      <c r="I20" s="119">
        <f t="shared" ca="1" si="5"/>
        <v>16</v>
      </c>
      <c r="J20" s="421"/>
    </row>
    <row r="21" spans="1:10" s="8" customFormat="1" ht="16.8" x14ac:dyDescent="0.3">
      <c r="A21" s="109" t="s">
        <v>50</v>
      </c>
      <c r="B21" s="88">
        <v>0</v>
      </c>
      <c r="C21" s="110" t="s">
        <v>34</v>
      </c>
      <c r="D21" s="94" t="str">
        <f>IF(C21="Str",'Personal File'!$C$9,IF(C21="Dex",'Personal File'!$C$10,IF(C21="Con",'Personal File'!$C$11,IF(C21="Int",'Personal File'!$C$12,IF(C21="Wis",'Personal File'!$C$13,IF(C21="Cha",'Personal File'!$C$14))))))</f>
        <v>+1</v>
      </c>
      <c r="E21" s="94" t="str">
        <f t="shared" si="7"/>
        <v>Dex (+1)</v>
      </c>
      <c r="F21" s="437">
        <f>SUM(Martial!$D$25:$D$28)</f>
        <v>-5</v>
      </c>
      <c r="G21" s="108">
        <f t="shared" si="1"/>
        <v>-4</v>
      </c>
      <c r="H21" s="92">
        <f t="shared" ca="1" si="8"/>
        <v>4</v>
      </c>
      <c r="I21" s="108">
        <f t="shared" ca="1" si="5"/>
        <v>0</v>
      </c>
      <c r="J21" s="422"/>
    </row>
    <row r="22" spans="1:10" s="8" customFormat="1" ht="16.8" x14ac:dyDescent="0.3">
      <c r="A22" s="140" t="s">
        <v>51</v>
      </c>
      <c r="B22" s="133">
        <v>0</v>
      </c>
      <c r="C22" s="141" t="s">
        <v>30</v>
      </c>
      <c r="D22" s="142" t="str">
        <f>IF(C22="Str",'Personal File'!$C$9,IF(C22="Dex",'Personal File'!$C$10,IF(C22="Con",'Personal File'!$C$11,IF(C22="Int",'Personal File'!$C$12,IF(C22="Wis",'Personal File'!$C$13,IF(C22="Cha",'Personal File'!$C$14))))))</f>
        <v>+3</v>
      </c>
      <c r="E22" s="143" t="str">
        <f t="shared" si="7"/>
        <v>Cha (+3)</v>
      </c>
      <c r="F22" s="136" t="s">
        <v>63</v>
      </c>
      <c r="G22" s="136">
        <f t="shared" si="1"/>
        <v>3</v>
      </c>
      <c r="H22" s="92">
        <f t="shared" ca="1" si="8"/>
        <v>6</v>
      </c>
      <c r="I22" s="136">
        <f t="shared" ca="1" si="5"/>
        <v>9</v>
      </c>
      <c r="J22" s="422"/>
    </row>
    <row r="23" spans="1:10" s="8" customFormat="1" ht="16.8" x14ac:dyDescent="0.3">
      <c r="A23" s="115" t="s">
        <v>52</v>
      </c>
      <c r="B23" s="88">
        <v>0</v>
      </c>
      <c r="C23" s="116" t="s">
        <v>35</v>
      </c>
      <c r="D23" s="117" t="str">
        <f>IF(C23="Str",'Personal File'!$C$9,IF(C23="Dex",'Personal File'!$C$10,IF(C23="Con",'Personal File'!$C$11,IF(C23="Int",'Personal File'!$C$12,IF(C23="Wis",'Personal File'!$C$13,IF(C23="Cha",'Personal File'!$C$14))))))</f>
        <v>+5</v>
      </c>
      <c r="E23" s="117" t="str">
        <f t="shared" si="7"/>
        <v>Str (+5)</v>
      </c>
      <c r="F23" s="437">
        <f>SUM(Martial!$D$25:$D$28)</f>
        <v>-5</v>
      </c>
      <c r="G23" s="108">
        <f t="shared" si="1"/>
        <v>0</v>
      </c>
      <c r="H23" s="92">
        <f t="shared" ca="1" si="8"/>
        <v>12</v>
      </c>
      <c r="I23" s="108">
        <f t="shared" ca="1" si="5"/>
        <v>12</v>
      </c>
      <c r="J23" s="170"/>
    </row>
    <row r="24" spans="1:10" s="8" customFormat="1" ht="16.8" x14ac:dyDescent="0.3">
      <c r="A24" s="144" t="s">
        <v>164</v>
      </c>
      <c r="B24" s="118">
        <v>1</v>
      </c>
      <c r="C24" s="145" t="s">
        <v>32</v>
      </c>
      <c r="D24" s="146" t="str">
        <f>IF(C24="Str",'Personal File'!$C$9,IF(C24="Dex",'Personal File'!$C$10,IF(C24="Con",'Personal File'!$C$11,IF(C24="Int",'Personal File'!$C$12,IF(C24="Wis",'Personal File'!$C$13,IF(C24="Cha",'Personal File'!$C$14))))))</f>
        <v>+0</v>
      </c>
      <c r="E24" s="146" t="str">
        <f>CONCATENATE(C24," (",D24,")")</f>
        <v>Int (+0)</v>
      </c>
      <c r="F24" s="119" t="s">
        <v>63</v>
      </c>
      <c r="G24" s="119">
        <f t="shared" ref="G24" si="9">B24+D24+F24</f>
        <v>1</v>
      </c>
      <c r="H24" s="92">
        <f t="shared" ca="1" si="8"/>
        <v>13</v>
      </c>
      <c r="I24" s="119">
        <f t="shared" ref="I24" ca="1" si="10">SUM(G24:H24)</f>
        <v>14</v>
      </c>
      <c r="J24" s="120"/>
    </row>
    <row r="25" spans="1:10" s="8" customFormat="1" ht="16.8" x14ac:dyDescent="0.3">
      <c r="A25" s="144" t="s">
        <v>85</v>
      </c>
      <c r="B25" s="118">
        <v>9</v>
      </c>
      <c r="C25" s="145" t="s">
        <v>32</v>
      </c>
      <c r="D25" s="146" t="str">
        <f>IF(C25="Str",'Personal File'!$C$9,IF(C25="Dex",'Personal File'!$C$10,IF(C25="Con",'Personal File'!$C$11,IF(C25="Int",'Personal File'!$C$12,IF(C25="Wis",'Personal File'!$C$13,IF(C25="Cha",'Personal File'!$C$14))))))</f>
        <v>+0</v>
      </c>
      <c r="E25" s="146" t="str">
        <f>CONCATENATE(C25," (",D25,")")</f>
        <v>Int (+0)</v>
      </c>
      <c r="F25" s="119" t="s">
        <v>63</v>
      </c>
      <c r="G25" s="119">
        <f t="shared" ref="G25" si="11">B25+D25+F25</f>
        <v>9</v>
      </c>
      <c r="H25" s="92">
        <f t="shared" ca="1" si="8"/>
        <v>8</v>
      </c>
      <c r="I25" s="119">
        <f t="shared" ref="I25" ca="1" si="12">SUM(G25:H25)</f>
        <v>17</v>
      </c>
      <c r="J25" s="120"/>
    </row>
    <row r="26" spans="1:10" s="8" customFormat="1" ht="16.8" x14ac:dyDescent="0.3">
      <c r="A26" s="137" t="s">
        <v>53</v>
      </c>
      <c r="B26" s="88">
        <v>0</v>
      </c>
      <c r="C26" s="138" t="s">
        <v>33</v>
      </c>
      <c r="D26" s="139" t="str">
        <f>IF(C26="Str",'Personal File'!$C$9,IF(C26="Dex",'Personal File'!$C$10,IF(C26="Con",'Personal File'!$C$11,IF(C26="Int",'Personal File'!$C$12,IF(C26="Wis",'Personal File'!$C$13,IF(C26="Cha",'Personal File'!$C$14))))))</f>
        <v>+3</v>
      </c>
      <c r="E26" s="147" t="str">
        <f t="shared" si="7"/>
        <v>Wis (+3)</v>
      </c>
      <c r="F26" s="108" t="s">
        <v>63</v>
      </c>
      <c r="G26" s="108">
        <f t="shared" si="1"/>
        <v>3</v>
      </c>
      <c r="H26" s="92">
        <f t="shared" ca="1" si="8"/>
        <v>19</v>
      </c>
      <c r="I26" s="108">
        <f t="shared" ca="1" si="5"/>
        <v>22</v>
      </c>
      <c r="J26" s="97"/>
    </row>
    <row r="27" spans="1:10" s="8" customFormat="1" ht="16.8" x14ac:dyDescent="0.3">
      <c r="A27" s="109" t="s">
        <v>20</v>
      </c>
      <c r="B27" s="88">
        <v>0</v>
      </c>
      <c r="C27" s="110" t="s">
        <v>34</v>
      </c>
      <c r="D27" s="94" t="str">
        <f>IF(C27="Str",'Personal File'!$C$9,IF(C27="Dex",'Personal File'!$C$10,IF(C27="Con",'Personal File'!$C$11,IF(C27="Int",'Personal File'!$C$12,IF(C27="Wis",'Personal File'!$C$13,IF(C27="Cha",'Personal File'!$C$14))))))</f>
        <v>+1</v>
      </c>
      <c r="E27" s="94" t="str">
        <f t="shared" si="7"/>
        <v>Dex (+1)</v>
      </c>
      <c r="F27" s="437">
        <f>SUM(Martial!$D$25:$D$28)</f>
        <v>-5</v>
      </c>
      <c r="G27" s="108">
        <f t="shared" si="1"/>
        <v>-4</v>
      </c>
      <c r="H27" s="92">
        <f t="shared" ca="1" si="8"/>
        <v>11</v>
      </c>
      <c r="I27" s="108">
        <f t="shared" ca="1" si="5"/>
        <v>7</v>
      </c>
      <c r="J27" s="97"/>
    </row>
    <row r="28" spans="1:10" s="8" customFormat="1" ht="16.8" x14ac:dyDescent="0.3">
      <c r="A28" s="148" t="s">
        <v>54</v>
      </c>
      <c r="B28" s="122">
        <v>0</v>
      </c>
      <c r="C28" s="149" t="s">
        <v>34</v>
      </c>
      <c r="D28" s="150" t="str">
        <f>IF(C28="Str",'Personal File'!$C$9,IF(C28="Dex",'Personal File'!$C$10,IF(C28="Con",'Personal File'!$C$11,IF(C28="Int",'Personal File'!$C$12,IF(C28="Wis",'Personal File'!$C$13,IF(C28="Cha",'Personal File'!$C$14))))))</f>
        <v>+1</v>
      </c>
      <c r="E28" s="150" t="str">
        <f t="shared" si="7"/>
        <v>Dex (+1)</v>
      </c>
      <c r="F28" s="125" t="s">
        <v>63</v>
      </c>
      <c r="G28" s="125">
        <f t="shared" si="1"/>
        <v>1</v>
      </c>
      <c r="H28" s="92">
        <f t="shared" ca="1" si="8"/>
        <v>14</v>
      </c>
      <c r="I28" s="125">
        <f t="shared" ca="1" si="5"/>
        <v>15</v>
      </c>
      <c r="J28" s="126"/>
    </row>
    <row r="29" spans="1:10" ht="16.8" x14ac:dyDescent="0.3">
      <c r="A29" s="111" t="s">
        <v>86</v>
      </c>
      <c r="B29" s="88">
        <v>0</v>
      </c>
      <c r="C29" s="112" t="s">
        <v>30</v>
      </c>
      <c r="D29" s="113" t="str">
        <f>IF(C29="Str",'Personal File'!$C$9,IF(C29="Dex",'Personal File'!$C$10,IF(C29="Con",'Personal File'!$C$11,IF(C29="Int",'Personal File'!$C$12,IF(C29="Wis",'Personal File'!$C$13,IF(C29="Cha",'Personal File'!$C$14))))))</f>
        <v>+3</v>
      </c>
      <c r="E29" s="113" t="str">
        <f t="shared" si="7"/>
        <v>Cha (+3)</v>
      </c>
      <c r="F29" s="108" t="s">
        <v>63</v>
      </c>
      <c r="G29" s="108">
        <f t="shared" si="1"/>
        <v>3</v>
      </c>
      <c r="H29" s="92">
        <f t="shared" ca="1" si="8"/>
        <v>6</v>
      </c>
      <c r="I29" s="108">
        <f t="shared" ca="1" si="5"/>
        <v>9</v>
      </c>
      <c r="J29" s="97"/>
    </row>
    <row r="30" spans="1:10" ht="16.8" x14ac:dyDescent="0.3">
      <c r="A30" s="151" t="s">
        <v>55</v>
      </c>
      <c r="B30" s="122">
        <v>0</v>
      </c>
      <c r="C30" s="152" t="s">
        <v>33</v>
      </c>
      <c r="D30" s="153" t="str">
        <f>IF(C30="Str",'Personal File'!$C$9,IF(C30="Dex",'Personal File'!$C$10,IF(C30="Con",'Personal File'!$C$11,IF(C30="Int",'Personal File'!$C$12,IF(C30="Wis",'Personal File'!$C$13,IF(C30="Cha",'Personal File'!$C$14))))))</f>
        <v>+3</v>
      </c>
      <c r="E30" s="153" t="str">
        <f t="shared" si="7"/>
        <v>Wis (+3)</v>
      </c>
      <c r="F30" s="125" t="s">
        <v>63</v>
      </c>
      <c r="G30" s="125">
        <f t="shared" si="1"/>
        <v>3</v>
      </c>
      <c r="H30" s="92">
        <f t="shared" ca="1" si="8"/>
        <v>12</v>
      </c>
      <c r="I30" s="125">
        <f t="shared" ca="1" si="5"/>
        <v>15</v>
      </c>
      <c r="J30" s="126"/>
    </row>
    <row r="31" spans="1:10" ht="16.8" x14ac:dyDescent="0.3">
      <c r="A31" s="154" t="s">
        <v>21</v>
      </c>
      <c r="B31" s="155">
        <v>8</v>
      </c>
      <c r="C31" s="156" t="s">
        <v>34</v>
      </c>
      <c r="D31" s="157" t="str">
        <f>IF(C31="Str",'Personal File'!$C$9,IF(C31="Dex",'Personal File'!$C$10,IF(C31="Con",'Personal File'!$C$11,IF(C31="Int",'Personal File'!$C$12,IF(C31="Wis",'Personal File'!$C$13,IF(C31="Cha",'Personal File'!$C$14))))))</f>
        <v>+1</v>
      </c>
      <c r="E31" s="158" t="str">
        <f t="shared" si="7"/>
        <v>Dex (+1)</v>
      </c>
      <c r="F31" s="159" t="s">
        <v>63</v>
      </c>
      <c r="G31" s="159">
        <f t="shared" si="1"/>
        <v>9</v>
      </c>
      <c r="H31" s="92">
        <f t="shared" ca="1" si="8"/>
        <v>15</v>
      </c>
      <c r="I31" s="159">
        <f t="shared" ca="1" si="5"/>
        <v>24</v>
      </c>
      <c r="J31" s="503" t="s">
        <v>272</v>
      </c>
    </row>
    <row r="32" spans="1:10" ht="16.8" x14ac:dyDescent="0.3">
      <c r="A32" s="104" t="s">
        <v>22</v>
      </c>
      <c r="B32" s="88">
        <v>0</v>
      </c>
      <c r="C32" s="105" t="s">
        <v>32</v>
      </c>
      <c r="D32" s="106" t="str">
        <f>IF(C32="Str",'Personal File'!$C$9,IF(C32="Dex",'Personal File'!$C$10,IF(C32="Con",'Personal File'!$C$11,IF(C32="Int",'Personal File'!$C$12,IF(C32="Wis",'Personal File'!$C$13,IF(C32="Cha",'Personal File'!$C$14))))))</f>
        <v>+0</v>
      </c>
      <c r="E32" s="106" t="str">
        <f t="shared" si="7"/>
        <v>Int (+0)</v>
      </c>
      <c r="F32" s="108" t="s">
        <v>63</v>
      </c>
      <c r="G32" s="108">
        <f t="shared" si="1"/>
        <v>0</v>
      </c>
      <c r="H32" s="92">
        <f t="shared" ca="1" si="8"/>
        <v>10</v>
      </c>
      <c r="I32" s="108">
        <f t="shared" ca="1" si="5"/>
        <v>10</v>
      </c>
      <c r="J32" s="97"/>
    </row>
    <row r="33" spans="1:10" ht="16.8" x14ac:dyDescent="0.3">
      <c r="A33" s="161" t="s">
        <v>56</v>
      </c>
      <c r="B33" s="155">
        <v>6</v>
      </c>
      <c r="C33" s="162" t="s">
        <v>33</v>
      </c>
      <c r="D33" s="163" t="str">
        <f>IF(C33="Str",'Personal File'!$C$9,IF(C33="Dex",'Personal File'!$C$10,IF(C33="Con",'Personal File'!$C$11,IF(C33="Int",'Personal File'!$C$12,IF(C33="Wis",'Personal File'!$C$13,IF(C33="Cha",'Personal File'!$C$14))))))</f>
        <v>+3</v>
      </c>
      <c r="E33" s="163" t="str">
        <f t="shared" si="7"/>
        <v>Wis (+3)</v>
      </c>
      <c r="F33" s="159" t="s">
        <v>63</v>
      </c>
      <c r="G33" s="159">
        <f t="shared" si="1"/>
        <v>9</v>
      </c>
      <c r="H33" s="92">
        <f t="shared" ca="1" si="8"/>
        <v>17</v>
      </c>
      <c r="I33" s="159">
        <f t="shared" ca="1" si="5"/>
        <v>26</v>
      </c>
      <c r="J33" s="160"/>
    </row>
    <row r="34" spans="1:10" ht="16.8" x14ac:dyDescent="0.3">
      <c r="A34" s="148" t="s">
        <v>87</v>
      </c>
      <c r="B34" s="122">
        <v>0</v>
      </c>
      <c r="C34" s="149" t="s">
        <v>34</v>
      </c>
      <c r="D34" s="150" t="str">
        <f>IF(C34="Str",'Personal File'!$C$9,IF(C34="Dex",'Personal File'!$C$10,IF(C34="Con",'Personal File'!$C$11,IF(C34="Int",'Personal File'!$C$12,IF(C34="Wis",'Personal File'!$C$13,IF(C34="Cha",'Personal File'!$C$14))))))</f>
        <v>+1</v>
      </c>
      <c r="E34" s="150" t="str">
        <f t="shared" si="7"/>
        <v>Dex (+1)</v>
      </c>
      <c r="F34" s="168">
        <f>SUM(Martial!$D$25:$D$28)</f>
        <v>-5</v>
      </c>
      <c r="G34" s="125">
        <f t="shared" si="1"/>
        <v>-4</v>
      </c>
      <c r="H34" s="92">
        <f t="shared" ca="1" si="8"/>
        <v>10</v>
      </c>
      <c r="I34" s="125">
        <f t="shared" ca="1" si="5"/>
        <v>6</v>
      </c>
      <c r="J34" s="126"/>
    </row>
    <row r="35" spans="1:10" ht="16.8" x14ac:dyDescent="0.3">
      <c r="A35" s="164" t="s">
        <v>84</v>
      </c>
      <c r="B35" s="165">
        <v>0</v>
      </c>
      <c r="C35" s="166" t="s">
        <v>32</v>
      </c>
      <c r="D35" s="167" t="str">
        <f>IF(C35="Str",'Personal File'!$C$9,IF(C35="Dex",'Personal File'!$C$10,IF(C35="Con",'Personal File'!$C$11,IF(C35="Int",'Personal File'!$C$12,IF(C35="Wis",'Personal File'!$C$13,IF(C35="Cha",'Personal File'!$C$14))))))</f>
        <v>+0</v>
      </c>
      <c r="E35" s="167" t="str">
        <f t="shared" si="7"/>
        <v>Int (+0)</v>
      </c>
      <c r="F35" s="168" t="s">
        <v>63</v>
      </c>
      <c r="G35" s="168">
        <f t="shared" si="1"/>
        <v>0</v>
      </c>
      <c r="H35" s="92">
        <f t="shared" ca="1" si="8"/>
        <v>10</v>
      </c>
      <c r="I35" s="168">
        <f t="shared" ca="1" si="5"/>
        <v>10</v>
      </c>
      <c r="J35" s="169"/>
    </row>
    <row r="36" spans="1:10" ht="16.8" x14ac:dyDescent="0.3">
      <c r="A36" s="164" t="s">
        <v>57</v>
      </c>
      <c r="B36" s="165">
        <v>0</v>
      </c>
      <c r="C36" s="166" t="s">
        <v>32</v>
      </c>
      <c r="D36" s="167" t="str">
        <f>IF(C36="Str",'Personal File'!$C$9,IF(C36="Dex",'Personal File'!$C$10,IF(C36="Con",'Personal File'!$C$11,IF(C36="Int",'Personal File'!$C$12,IF(C36="Wis",'Personal File'!$C$13,IF(C36="Cha",'Personal File'!$C$14))))))</f>
        <v>+0</v>
      </c>
      <c r="E36" s="167" t="str">
        <f t="shared" si="7"/>
        <v>Int (+0)</v>
      </c>
      <c r="F36" s="168" t="s">
        <v>63</v>
      </c>
      <c r="G36" s="168">
        <f t="shared" si="1"/>
        <v>0</v>
      </c>
      <c r="H36" s="92">
        <f t="shared" ca="1" si="8"/>
        <v>12</v>
      </c>
      <c r="I36" s="168">
        <f t="shared" ca="1" si="5"/>
        <v>12</v>
      </c>
      <c r="J36" s="169"/>
    </row>
    <row r="37" spans="1:10" ht="16.8" x14ac:dyDescent="0.3">
      <c r="A37" s="137" t="s">
        <v>58</v>
      </c>
      <c r="B37" s="88">
        <v>0</v>
      </c>
      <c r="C37" s="138" t="s">
        <v>33</v>
      </c>
      <c r="D37" s="139" t="str">
        <f>IF(C37="Str",'Personal File'!$C$9,IF(C37="Dex",'Personal File'!$C$10,IF(C37="Con",'Personal File'!$C$11,IF(C37="Int",'Personal File'!$C$12,IF(C37="Wis",'Personal File'!$C$13,IF(C37="Cha",'Personal File'!$C$14))))))</f>
        <v>+3</v>
      </c>
      <c r="E37" s="139" t="str">
        <f t="shared" si="7"/>
        <v>Wis (+3)</v>
      </c>
      <c r="F37" s="108" t="s">
        <v>63</v>
      </c>
      <c r="G37" s="108">
        <f t="shared" si="1"/>
        <v>3</v>
      </c>
      <c r="H37" s="92">
        <f t="shared" ca="1" si="8"/>
        <v>16</v>
      </c>
      <c r="I37" s="108">
        <f t="shared" ca="1" si="5"/>
        <v>19</v>
      </c>
      <c r="J37" s="97"/>
    </row>
    <row r="38" spans="1:10" ht="16.8" x14ac:dyDescent="0.3">
      <c r="A38" s="137" t="s">
        <v>88</v>
      </c>
      <c r="B38" s="88">
        <v>0</v>
      </c>
      <c r="C38" s="138" t="s">
        <v>33</v>
      </c>
      <c r="D38" s="139" t="str">
        <f>IF(C38="Str",'Personal File'!$C$9,IF(C38="Dex",'Personal File'!$C$10,IF(C38="Con",'Personal File'!$C$11,IF(C38="Int",'Personal File'!$C$12,IF(C38="Wis",'Personal File'!$C$13,IF(C38="Cha",'Personal File'!$C$14))))))</f>
        <v>+3</v>
      </c>
      <c r="E38" s="139" t="str">
        <f t="shared" si="7"/>
        <v>Wis (+3)</v>
      </c>
      <c r="F38" s="108" t="s">
        <v>63</v>
      </c>
      <c r="G38" s="108">
        <f t="shared" si="1"/>
        <v>3</v>
      </c>
      <c r="H38" s="92">
        <f t="shared" ca="1" si="8"/>
        <v>5</v>
      </c>
      <c r="I38" s="108">
        <f t="shared" ca="1" si="5"/>
        <v>8</v>
      </c>
      <c r="J38" s="170"/>
    </row>
    <row r="39" spans="1:10" ht="16.8" x14ac:dyDescent="0.3">
      <c r="A39" s="247" t="s">
        <v>23</v>
      </c>
      <c r="B39" s="118">
        <v>1</v>
      </c>
      <c r="C39" s="248" t="s">
        <v>35</v>
      </c>
      <c r="D39" s="249" t="str">
        <f>IF(C39="Str",'Personal File'!$C$9,IF(C39="Dex",'Personal File'!$C$10,IF(C39="Con",'Personal File'!$C$11,IF(C39="Int",'Personal File'!$C$12,IF(C39="Wis",'Personal File'!$C$13,IF(C39="Cha",'Personal File'!$C$14))))))</f>
        <v>+5</v>
      </c>
      <c r="E39" s="249" t="str">
        <f t="shared" si="7"/>
        <v>Str (+5)</v>
      </c>
      <c r="F39" s="119" t="s">
        <v>63</v>
      </c>
      <c r="G39" s="119">
        <f t="shared" si="1"/>
        <v>6</v>
      </c>
      <c r="H39" s="92">
        <f t="shared" ca="1" si="8"/>
        <v>3</v>
      </c>
      <c r="I39" s="119">
        <f t="shared" ca="1" si="5"/>
        <v>9</v>
      </c>
      <c r="J39" s="120"/>
    </row>
    <row r="40" spans="1:10" ht="16.8" x14ac:dyDescent="0.3">
      <c r="A40" s="171" t="s">
        <v>59</v>
      </c>
      <c r="B40" s="165">
        <v>0</v>
      </c>
      <c r="C40" s="172" t="s">
        <v>34</v>
      </c>
      <c r="D40" s="173" t="str">
        <f>IF(C40="Str",'Personal File'!$C$9,IF(C40="Dex",'Personal File'!$C$10,IF(C40="Con",'Personal File'!$C$11,IF(C40="Int",'Personal File'!$C$12,IF(C40="Wis",'Personal File'!$C$13,IF(C40="Cha",'Personal File'!$C$14))))))</f>
        <v>+1</v>
      </c>
      <c r="E40" s="173" t="str">
        <f t="shared" si="7"/>
        <v>Dex (+1)</v>
      </c>
      <c r="F40" s="168">
        <f>SUM(Martial!$D$25:$D$28)</f>
        <v>-5</v>
      </c>
      <c r="G40" s="168">
        <f t="shared" si="1"/>
        <v>-4</v>
      </c>
      <c r="H40" s="92">
        <f t="shared" ca="1" si="8"/>
        <v>9</v>
      </c>
      <c r="I40" s="168">
        <f t="shared" ca="1" si="5"/>
        <v>5</v>
      </c>
      <c r="J40" s="169"/>
    </row>
    <row r="41" spans="1:10" ht="16.8" x14ac:dyDescent="0.3">
      <c r="A41" s="174" t="s">
        <v>60</v>
      </c>
      <c r="B41" s="122">
        <v>0</v>
      </c>
      <c r="C41" s="175" t="s">
        <v>30</v>
      </c>
      <c r="D41" s="176" t="str">
        <f>IF(C41="Str",'Personal File'!$C$9,IF(C41="Dex",'Personal File'!$C$10,IF(C41="Con",'Personal File'!$C$11,IF(C41="Int",'Personal File'!$C$12,IF(C41="Wis",'Personal File'!$C$13,IF(C41="Cha",'Personal File'!$C$14))))))</f>
        <v>+3</v>
      </c>
      <c r="E41" s="176" t="str">
        <f t="shared" si="7"/>
        <v>Cha (+3)</v>
      </c>
      <c r="F41" s="125" t="s">
        <v>63</v>
      </c>
      <c r="G41" s="125">
        <f t="shared" si="1"/>
        <v>3</v>
      </c>
      <c r="H41" s="92">
        <f t="shared" ca="1" si="8"/>
        <v>14</v>
      </c>
      <c r="I41" s="125">
        <f t="shared" ca="1" si="5"/>
        <v>17</v>
      </c>
      <c r="J41" s="126"/>
    </row>
    <row r="42" spans="1:10" ht="17.399999999999999" thickBot="1" x14ac:dyDescent="0.35">
      <c r="A42" s="177" t="s">
        <v>61</v>
      </c>
      <c r="B42" s="178">
        <v>0</v>
      </c>
      <c r="C42" s="179" t="s">
        <v>34</v>
      </c>
      <c r="D42" s="180" t="str">
        <f>IF(C42="Str",'Personal File'!$C$9,IF(C42="Dex",'Personal File'!$C$10,IF(C42="Con",'Personal File'!$C$11,IF(C42="Int",'Personal File'!$C$12,IF(C42="Wis",'Personal File'!$C$13,IF(C42="Cha",'Personal File'!$C$14))))))</f>
        <v>+1</v>
      </c>
      <c r="E42" s="180" t="str">
        <f t="shared" si="7"/>
        <v>Dex (+1)</v>
      </c>
      <c r="F42" s="181" t="s">
        <v>63</v>
      </c>
      <c r="G42" s="181">
        <f t="shared" si="1"/>
        <v>1</v>
      </c>
      <c r="H42" s="182">
        <f t="shared" ca="1" si="8"/>
        <v>14</v>
      </c>
      <c r="I42" s="181">
        <f t="shared" ca="1" si="5"/>
        <v>15</v>
      </c>
      <c r="J42" s="183"/>
    </row>
    <row r="43" spans="1:10" ht="16.2" thickTop="1" x14ac:dyDescent="0.3">
      <c r="A43" s="238"/>
      <c r="B43" s="239">
        <f>SUM(B6:B42)</f>
        <v>51</v>
      </c>
      <c r="C43" s="240"/>
      <c r="D43" s="240"/>
      <c r="E43" s="239">
        <f>SUM(E44:E58)</f>
        <v>51</v>
      </c>
      <c r="F43" s="242" t="s">
        <v>64</v>
      </c>
      <c r="G43" s="240"/>
      <c r="H43" s="240"/>
      <c r="I43" s="240"/>
      <c r="J43" s="238"/>
    </row>
    <row r="44" spans="1:10" x14ac:dyDescent="0.3">
      <c r="A44" s="238"/>
      <c r="B44" s="239"/>
      <c r="C44" s="240"/>
      <c r="D44" s="240"/>
      <c r="E44" s="244">
        <f>4*(2+'Personal File'!$C$12)</f>
        <v>8</v>
      </c>
      <c r="F44" s="243" t="s">
        <v>364</v>
      </c>
      <c r="G44" s="240"/>
      <c r="H44" s="240"/>
      <c r="I44" s="240"/>
      <c r="J44" s="238"/>
    </row>
    <row r="45" spans="1:10" x14ac:dyDescent="0.3">
      <c r="A45" s="238"/>
      <c r="B45" s="239"/>
      <c r="C45" s="240"/>
      <c r="D45" s="240"/>
      <c r="E45" s="244">
        <f>2+'Personal File'!$C$12</f>
        <v>2</v>
      </c>
      <c r="F45" s="243" t="s">
        <v>365</v>
      </c>
      <c r="G45" s="240"/>
      <c r="H45" s="240"/>
      <c r="I45" s="240"/>
      <c r="J45" s="238"/>
    </row>
    <row r="46" spans="1:10" x14ac:dyDescent="0.3">
      <c r="A46" s="238"/>
      <c r="B46" s="239"/>
      <c r="C46" s="240"/>
      <c r="D46" s="240"/>
      <c r="E46" s="244">
        <f>2+'Personal File'!$C$12</f>
        <v>2</v>
      </c>
      <c r="F46" s="243" t="s">
        <v>366</v>
      </c>
      <c r="G46" s="240"/>
      <c r="H46" s="240"/>
      <c r="I46" s="240"/>
      <c r="J46" s="238"/>
    </row>
    <row r="47" spans="1:10" x14ac:dyDescent="0.3">
      <c r="A47" s="238"/>
      <c r="B47" s="239"/>
      <c r="C47" s="240"/>
      <c r="D47" s="240"/>
      <c r="E47" s="244">
        <f>2+'Personal File'!$C$12</f>
        <v>2</v>
      </c>
      <c r="F47" s="243" t="s">
        <v>367</v>
      </c>
      <c r="G47" s="240"/>
      <c r="H47" s="240"/>
      <c r="I47" s="240"/>
      <c r="J47" s="238"/>
    </row>
    <row r="48" spans="1:10" x14ac:dyDescent="0.3">
      <c r="A48" s="238"/>
      <c r="B48" s="239"/>
      <c r="C48" s="240"/>
      <c r="D48" s="240"/>
      <c r="E48" s="244">
        <f>2+'Personal File'!$C$12</f>
        <v>2</v>
      </c>
      <c r="F48" s="243" t="s">
        <v>368</v>
      </c>
      <c r="G48" s="240"/>
      <c r="H48" s="240"/>
      <c r="I48" s="240"/>
      <c r="J48" s="238"/>
    </row>
    <row r="49" spans="1:10" x14ac:dyDescent="0.3">
      <c r="A49" s="238"/>
      <c r="B49" s="239"/>
      <c r="C49" s="240"/>
      <c r="D49" s="240"/>
      <c r="E49" s="244">
        <f>2+'Personal File'!$C$12</f>
        <v>2</v>
      </c>
      <c r="F49" s="243" t="s">
        <v>385</v>
      </c>
      <c r="G49" s="240"/>
      <c r="H49" s="240"/>
      <c r="I49" s="240"/>
      <c r="J49" s="238"/>
    </row>
    <row r="50" spans="1:10" x14ac:dyDescent="0.3">
      <c r="A50" s="238"/>
      <c r="B50" s="239"/>
      <c r="C50" s="240"/>
      <c r="D50" s="240"/>
      <c r="E50" s="244">
        <f>2+'Personal File'!$C$12</f>
        <v>2</v>
      </c>
      <c r="F50" s="243" t="s">
        <v>386</v>
      </c>
      <c r="G50" s="240"/>
      <c r="H50" s="240"/>
      <c r="I50" s="240"/>
      <c r="J50" s="238"/>
    </row>
    <row r="51" spans="1:10" x14ac:dyDescent="0.3">
      <c r="A51" s="238"/>
      <c r="B51" s="239"/>
      <c r="C51" s="240"/>
      <c r="D51" s="240"/>
      <c r="E51" s="244">
        <f>2+'Personal File'!$C$12</f>
        <v>2</v>
      </c>
      <c r="F51" s="243" t="s">
        <v>161</v>
      </c>
      <c r="G51" s="240"/>
      <c r="H51" s="240"/>
      <c r="I51" s="240"/>
      <c r="J51" s="238"/>
    </row>
    <row r="52" spans="1:10" x14ac:dyDescent="0.3">
      <c r="A52" s="238"/>
      <c r="B52" s="239"/>
      <c r="C52" s="240"/>
      <c r="D52" s="240"/>
      <c r="E52" s="244">
        <f>2+'Personal File'!$C$12</f>
        <v>2</v>
      </c>
      <c r="F52" s="243" t="s">
        <v>162</v>
      </c>
      <c r="G52" s="240"/>
      <c r="H52" s="240"/>
      <c r="I52" s="240"/>
      <c r="J52" s="238"/>
    </row>
    <row r="53" spans="1:10" x14ac:dyDescent="0.3">
      <c r="A53" s="238"/>
      <c r="B53" s="239"/>
      <c r="C53" s="240"/>
      <c r="D53" s="240"/>
      <c r="E53" s="244">
        <f>2+'Personal File'!$C$12</f>
        <v>2</v>
      </c>
      <c r="F53" s="243" t="s">
        <v>163</v>
      </c>
      <c r="G53" s="240"/>
      <c r="H53" s="240"/>
      <c r="I53" s="240"/>
      <c r="J53" s="238"/>
    </row>
    <row r="54" spans="1:10" x14ac:dyDescent="0.3">
      <c r="A54" s="238"/>
      <c r="B54" s="239"/>
      <c r="C54" s="240"/>
      <c r="D54" s="240"/>
      <c r="E54" s="244">
        <f>2+'Personal File'!$C$12</f>
        <v>2</v>
      </c>
      <c r="F54" s="243" t="s">
        <v>236</v>
      </c>
      <c r="G54" s="240"/>
      <c r="H54" s="240"/>
      <c r="I54" s="240"/>
      <c r="J54" s="238"/>
    </row>
    <row r="55" spans="1:10" x14ac:dyDescent="0.3">
      <c r="A55" s="238"/>
      <c r="B55" s="239"/>
      <c r="C55" s="240"/>
      <c r="D55" s="240"/>
      <c r="E55" s="244">
        <f>2+'Personal File'!$C$12</f>
        <v>2</v>
      </c>
      <c r="F55" s="243" t="s">
        <v>246</v>
      </c>
      <c r="G55" s="240"/>
      <c r="H55" s="240"/>
      <c r="I55" s="240"/>
      <c r="J55" s="238"/>
    </row>
    <row r="56" spans="1:10" x14ac:dyDescent="0.3">
      <c r="A56" s="238"/>
      <c r="B56" s="239"/>
      <c r="C56" s="240"/>
      <c r="D56" s="240"/>
      <c r="E56" s="244">
        <f>2+'Personal File'!$C$12</f>
        <v>2</v>
      </c>
      <c r="F56" s="243" t="s">
        <v>281</v>
      </c>
      <c r="G56" s="240"/>
      <c r="H56" s="240"/>
      <c r="I56" s="240"/>
      <c r="J56" s="238"/>
    </row>
    <row r="57" spans="1:10" x14ac:dyDescent="0.3">
      <c r="A57" s="238"/>
      <c r="B57" s="239"/>
      <c r="C57" s="240"/>
      <c r="D57" s="240"/>
      <c r="E57" s="244">
        <f>2+'Personal File'!$C$12</f>
        <v>2</v>
      </c>
      <c r="F57" s="243" t="s">
        <v>369</v>
      </c>
      <c r="G57" s="240"/>
      <c r="H57" s="240"/>
      <c r="I57" s="240"/>
      <c r="J57" s="238"/>
    </row>
    <row r="58" spans="1:10" x14ac:dyDescent="0.3">
      <c r="A58" s="238"/>
      <c r="B58" s="238"/>
      <c r="C58" s="240"/>
      <c r="D58" s="240"/>
      <c r="E58" s="241">
        <f>3+'Personal File'!E3+'Personal File'!E4</f>
        <v>17</v>
      </c>
      <c r="F58" s="243" t="s">
        <v>82</v>
      </c>
      <c r="G58" s="240"/>
      <c r="H58" s="240"/>
      <c r="I58" s="240"/>
      <c r="J58" s="238"/>
    </row>
    <row r="59" spans="1:10" x14ac:dyDescent="0.3">
      <c r="A59" s="245"/>
      <c r="B59" s="245"/>
      <c r="C59" s="246"/>
      <c r="D59" s="246"/>
      <c r="E59" s="246"/>
      <c r="F59" s="246"/>
      <c r="G59" s="246"/>
      <c r="H59" s="246"/>
      <c r="I59" s="246"/>
      <c r="J59" s="245"/>
    </row>
    <row r="60" spans="1:10" x14ac:dyDescent="0.3">
      <c r="A60" s="245"/>
      <c r="B60" s="245"/>
      <c r="C60" s="246"/>
      <c r="D60" s="246"/>
      <c r="E60" s="246"/>
      <c r="F60" s="246"/>
      <c r="G60" s="246"/>
      <c r="H60" s="246"/>
      <c r="I60" s="246"/>
      <c r="J60" s="24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x14ac:dyDescent="0.3"/>
  <cols>
    <col min="1" max="1" width="26.296875" style="84" bestFit="1" customWidth="1"/>
    <col min="2" max="2" width="6.19921875" style="84" bestFit="1" customWidth="1"/>
    <col min="3" max="3" width="13.59765625" style="83" bestFit="1" customWidth="1"/>
    <col min="4" max="4" width="12.5" style="83" bestFit="1" customWidth="1"/>
    <col min="5" max="5" width="7.296875" style="83" bestFit="1" customWidth="1"/>
    <col min="6" max="7" width="13.19921875" style="83" bestFit="1" customWidth="1"/>
    <col min="8" max="8" width="21.69921875" style="84" bestFit="1" customWidth="1"/>
    <col min="9" max="9" width="5.5" style="73" bestFit="1" customWidth="1"/>
    <col min="10" max="16384" width="13" style="73"/>
  </cols>
  <sheetData>
    <row r="1" spans="1:9" ht="23.4" thickBot="1" x14ac:dyDescent="0.35">
      <c r="A1" s="263" t="s">
        <v>355</v>
      </c>
      <c r="B1" s="185"/>
      <c r="C1" s="185"/>
      <c r="D1" s="185"/>
      <c r="E1" s="185"/>
      <c r="F1" s="185"/>
      <c r="G1" s="185"/>
      <c r="H1" s="185"/>
    </row>
    <row r="2" spans="1:9" s="14" customFormat="1" ht="16.8" x14ac:dyDescent="0.3">
      <c r="A2" s="186" t="s">
        <v>71</v>
      </c>
      <c r="B2" s="187" t="s">
        <v>4</v>
      </c>
      <c r="C2" s="187" t="s">
        <v>93</v>
      </c>
      <c r="D2" s="188" t="s">
        <v>94</v>
      </c>
      <c r="E2" s="188" t="s">
        <v>95</v>
      </c>
      <c r="F2" s="187" t="s">
        <v>96</v>
      </c>
      <c r="G2" s="187" t="s">
        <v>97</v>
      </c>
      <c r="H2" s="187" t="s">
        <v>258</v>
      </c>
      <c r="I2" s="189" t="s">
        <v>259</v>
      </c>
    </row>
    <row r="3" spans="1:9" ht="16.8" x14ac:dyDescent="0.3">
      <c r="A3" s="456" t="s">
        <v>346</v>
      </c>
      <c r="B3" s="250">
        <v>1</v>
      </c>
      <c r="C3" s="251" t="s">
        <v>110</v>
      </c>
      <c r="D3" s="252" t="s">
        <v>100</v>
      </c>
      <c r="E3" s="373" t="s">
        <v>101</v>
      </c>
      <c r="F3" s="253" t="s">
        <v>327</v>
      </c>
      <c r="G3" s="253" t="s">
        <v>103</v>
      </c>
      <c r="H3" s="253" t="s">
        <v>347</v>
      </c>
      <c r="I3" s="131">
        <v>125</v>
      </c>
    </row>
    <row r="4" spans="1:9" ht="16.8" x14ac:dyDescent="0.3">
      <c r="A4" s="456" t="s">
        <v>282</v>
      </c>
      <c r="B4" s="250">
        <v>1</v>
      </c>
      <c r="C4" s="251" t="s">
        <v>217</v>
      </c>
      <c r="D4" s="252" t="s">
        <v>119</v>
      </c>
      <c r="E4" s="373" t="s">
        <v>101</v>
      </c>
      <c r="F4" s="253" t="s">
        <v>120</v>
      </c>
      <c r="G4" s="253" t="s">
        <v>106</v>
      </c>
      <c r="H4" s="253" t="s">
        <v>260</v>
      </c>
      <c r="I4" s="254">
        <v>205</v>
      </c>
    </row>
    <row r="5" spans="1:9" ht="16.8" x14ac:dyDescent="0.3">
      <c r="A5" s="456" t="s">
        <v>283</v>
      </c>
      <c r="B5" s="250">
        <v>1</v>
      </c>
      <c r="C5" s="251" t="s">
        <v>216</v>
      </c>
      <c r="D5" s="252" t="s">
        <v>121</v>
      </c>
      <c r="E5" s="373" t="s">
        <v>101</v>
      </c>
      <c r="F5" s="253" t="s">
        <v>105</v>
      </c>
      <c r="G5" s="253" t="s">
        <v>103</v>
      </c>
      <c r="H5" s="253" t="s">
        <v>260</v>
      </c>
      <c r="I5" s="131">
        <v>205</v>
      </c>
    </row>
    <row r="6" spans="1:9" ht="16.8" x14ac:dyDescent="0.3">
      <c r="A6" s="456" t="s">
        <v>215</v>
      </c>
      <c r="B6" s="250">
        <v>1</v>
      </c>
      <c r="C6" s="251" t="s">
        <v>216</v>
      </c>
      <c r="D6" s="252" t="s">
        <v>100</v>
      </c>
      <c r="E6" s="252" t="s">
        <v>101</v>
      </c>
      <c r="F6" s="253" t="s">
        <v>105</v>
      </c>
      <c r="G6" s="253" t="s">
        <v>106</v>
      </c>
      <c r="H6" s="253" t="s">
        <v>260</v>
      </c>
      <c r="I6" s="254">
        <v>205</v>
      </c>
    </row>
    <row r="7" spans="1:9" ht="16.8" x14ac:dyDescent="0.3">
      <c r="A7" s="456" t="s">
        <v>306</v>
      </c>
      <c r="B7" s="250">
        <v>1</v>
      </c>
      <c r="C7" s="251" t="s">
        <v>216</v>
      </c>
      <c r="D7" s="520" t="s">
        <v>100</v>
      </c>
      <c r="E7" s="373" t="s">
        <v>101</v>
      </c>
      <c r="F7" s="521" t="s">
        <v>114</v>
      </c>
      <c r="G7" s="253" t="s">
        <v>111</v>
      </c>
      <c r="H7" s="253" t="s">
        <v>322</v>
      </c>
      <c r="I7" s="97">
        <v>144</v>
      </c>
    </row>
    <row r="8" spans="1:9" ht="16.8" x14ac:dyDescent="0.3">
      <c r="A8" s="456" t="s">
        <v>98</v>
      </c>
      <c r="B8" s="250">
        <v>1</v>
      </c>
      <c r="C8" s="251" t="s">
        <v>99</v>
      </c>
      <c r="D8" s="252" t="s">
        <v>100</v>
      </c>
      <c r="E8" s="373" t="s">
        <v>101</v>
      </c>
      <c r="F8" s="253" t="s">
        <v>102</v>
      </c>
      <c r="G8" s="253" t="s">
        <v>103</v>
      </c>
      <c r="H8" s="253" t="s">
        <v>260</v>
      </c>
      <c r="I8" s="131">
        <v>215</v>
      </c>
    </row>
    <row r="9" spans="1:9" ht="16.8" x14ac:dyDescent="0.3">
      <c r="A9" s="456" t="s">
        <v>123</v>
      </c>
      <c r="B9" s="250">
        <v>1</v>
      </c>
      <c r="C9" s="251" t="s">
        <v>104</v>
      </c>
      <c r="D9" s="252" t="s">
        <v>100</v>
      </c>
      <c r="E9" s="373" t="s">
        <v>101</v>
      </c>
      <c r="F9" s="253" t="s">
        <v>105</v>
      </c>
      <c r="G9" s="253" t="s">
        <v>103</v>
      </c>
      <c r="H9" s="253" t="s">
        <v>260</v>
      </c>
      <c r="I9" s="131">
        <v>216</v>
      </c>
    </row>
    <row r="10" spans="1:9" ht="16.8" x14ac:dyDescent="0.3">
      <c r="A10" s="456" t="s">
        <v>107</v>
      </c>
      <c r="B10" s="250">
        <v>1</v>
      </c>
      <c r="C10" s="251" t="s">
        <v>108</v>
      </c>
      <c r="D10" s="252" t="s">
        <v>100</v>
      </c>
      <c r="E10" s="373" t="s">
        <v>101</v>
      </c>
      <c r="F10" s="253" t="s">
        <v>102</v>
      </c>
      <c r="G10" s="253" t="s">
        <v>103</v>
      </c>
      <c r="H10" s="253" t="s">
        <v>260</v>
      </c>
      <c r="I10" s="131">
        <v>219</v>
      </c>
    </row>
    <row r="11" spans="1:9" ht="16.8" x14ac:dyDescent="0.3">
      <c r="A11" s="456" t="s">
        <v>129</v>
      </c>
      <c r="B11" s="250">
        <v>1</v>
      </c>
      <c r="C11" s="251" t="s">
        <v>108</v>
      </c>
      <c r="D11" s="252" t="s">
        <v>117</v>
      </c>
      <c r="E11" s="457" t="s">
        <v>101</v>
      </c>
      <c r="F11" s="253" t="s">
        <v>222</v>
      </c>
      <c r="G11" s="253" t="s">
        <v>103</v>
      </c>
      <c r="H11" s="253" t="s">
        <v>260</v>
      </c>
      <c r="I11" s="131">
        <v>220</v>
      </c>
    </row>
    <row r="12" spans="1:9" ht="16.8" x14ac:dyDescent="0.3">
      <c r="A12" s="456" t="s">
        <v>124</v>
      </c>
      <c r="B12" s="250">
        <v>1</v>
      </c>
      <c r="C12" s="251" t="s">
        <v>110</v>
      </c>
      <c r="D12" s="252" t="s">
        <v>119</v>
      </c>
      <c r="E12" s="373" t="s">
        <v>101</v>
      </c>
      <c r="F12" s="253" t="s">
        <v>114</v>
      </c>
      <c r="G12" s="253" t="s">
        <v>109</v>
      </c>
      <c r="H12" s="253" t="s">
        <v>260</v>
      </c>
      <c r="I12" s="254">
        <v>224</v>
      </c>
    </row>
    <row r="13" spans="1:9" ht="16.8" x14ac:dyDescent="0.3">
      <c r="A13" s="456" t="s">
        <v>146</v>
      </c>
      <c r="B13" s="250">
        <v>1</v>
      </c>
      <c r="C13" s="251" t="s">
        <v>110</v>
      </c>
      <c r="D13" s="252" t="s">
        <v>100</v>
      </c>
      <c r="E13" s="252" t="s">
        <v>101</v>
      </c>
      <c r="F13" s="253" t="s">
        <v>114</v>
      </c>
      <c r="G13" s="253" t="s">
        <v>134</v>
      </c>
      <c r="H13" s="253" t="s">
        <v>261</v>
      </c>
      <c r="I13" s="254">
        <v>163</v>
      </c>
    </row>
    <row r="14" spans="1:9" ht="16.8" x14ac:dyDescent="0.3">
      <c r="A14" s="456" t="s">
        <v>125</v>
      </c>
      <c r="B14" s="250">
        <v>1</v>
      </c>
      <c r="C14" s="251" t="s">
        <v>116</v>
      </c>
      <c r="D14" s="252" t="s">
        <v>100</v>
      </c>
      <c r="E14" s="373" t="s">
        <v>101</v>
      </c>
      <c r="F14" s="253" t="s">
        <v>105</v>
      </c>
      <c r="G14" s="253" t="s">
        <v>126</v>
      </c>
      <c r="H14" s="253" t="s">
        <v>260</v>
      </c>
      <c r="I14" s="131">
        <v>226</v>
      </c>
    </row>
    <row r="15" spans="1:9" ht="16.8" x14ac:dyDescent="0.3">
      <c r="A15" s="456" t="s">
        <v>336</v>
      </c>
      <c r="B15" s="250">
        <v>1</v>
      </c>
      <c r="C15" s="251" t="s">
        <v>99</v>
      </c>
      <c r="D15" s="252" t="s">
        <v>323</v>
      </c>
      <c r="E15" s="373" t="s">
        <v>101</v>
      </c>
      <c r="F15" s="253" t="s">
        <v>105</v>
      </c>
      <c r="G15" s="253" t="s">
        <v>301</v>
      </c>
      <c r="H15" s="253" t="s">
        <v>261</v>
      </c>
      <c r="I15" s="131">
        <v>166</v>
      </c>
    </row>
    <row r="16" spans="1:9" ht="16.8" x14ac:dyDescent="0.3">
      <c r="A16" s="456" t="s">
        <v>307</v>
      </c>
      <c r="B16" s="250">
        <v>1</v>
      </c>
      <c r="C16" s="251" t="s">
        <v>108</v>
      </c>
      <c r="D16" s="520" t="s">
        <v>323</v>
      </c>
      <c r="E16" s="373" t="s">
        <v>228</v>
      </c>
      <c r="F16" s="521" t="s">
        <v>114</v>
      </c>
      <c r="G16" s="253" t="s">
        <v>122</v>
      </c>
      <c r="H16" s="253" t="s">
        <v>322</v>
      </c>
      <c r="I16" s="97">
        <v>150</v>
      </c>
    </row>
    <row r="17" spans="1:9" ht="16.8" x14ac:dyDescent="0.3">
      <c r="A17" s="456" t="s">
        <v>332</v>
      </c>
      <c r="B17" s="250">
        <v>1</v>
      </c>
      <c r="C17" s="251" t="s">
        <v>110</v>
      </c>
      <c r="D17" s="520" t="s">
        <v>334</v>
      </c>
      <c r="E17" s="373" t="s">
        <v>101</v>
      </c>
      <c r="F17" s="521" t="s">
        <v>102</v>
      </c>
      <c r="G17" s="253" t="s">
        <v>134</v>
      </c>
      <c r="H17" s="253" t="s">
        <v>325</v>
      </c>
      <c r="I17" s="97">
        <v>101</v>
      </c>
    </row>
    <row r="18" spans="1:9" ht="16.8" x14ac:dyDescent="0.3">
      <c r="A18" s="456" t="s">
        <v>142</v>
      </c>
      <c r="B18" s="250">
        <v>1</v>
      </c>
      <c r="C18" s="251" t="s">
        <v>99</v>
      </c>
      <c r="D18" s="252" t="s">
        <v>100</v>
      </c>
      <c r="E18" s="252" t="s">
        <v>101</v>
      </c>
      <c r="F18" s="253" t="s">
        <v>105</v>
      </c>
      <c r="G18" s="253" t="s">
        <v>103</v>
      </c>
      <c r="H18" s="253" t="s">
        <v>260</v>
      </c>
      <c r="I18" s="131">
        <v>272</v>
      </c>
    </row>
    <row r="19" spans="1:9" ht="16.8" x14ac:dyDescent="0.3">
      <c r="A19" s="456" t="s">
        <v>127</v>
      </c>
      <c r="B19" s="250">
        <v>1</v>
      </c>
      <c r="C19" s="251" t="s">
        <v>216</v>
      </c>
      <c r="D19" s="252" t="s">
        <v>128</v>
      </c>
      <c r="E19" s="373" t="s">
        <v>101</v>
      </c>
      <c r="F19" s="253" t="s">
        <v>105</v>
      </c>
      <c r="G19" s="253" t="s">
        <v>106</v>
      </c>
      <c r="H19" s="253" t="s">
        <v>260</v>
      </c>
      <c r="I19" s="523">
        <v>251</v>
      </c>
    </row>
    <row r="20" spans="1:9" ht="16.8" x14ac:dyDescent="0.3">
      <c r="A20" s="456" t="s">
        <v>277</v>
      </c>
      <c r="B20" s="250">
        <v>1</v>
      </c>
      <c r="C20" s="251" t="s">
        <v>116</v>
      </c>
      <c r="D20" s="252" t="s">
        <v>117</v>
      </c>
      <c r="E20" s="252" t="s">
        <v>101</v>
      </c>
      <c r="F20" s="253" t="s">
        <v>105</v>
      </c>
      <c r="G20" s="253" t="s">
        <v>106</v>
      </c>
      <c r="H20" s="253" t="s">
        <v>260</v>
      </c>
      <c r="I20" s="131">
        <v>266</v>
      </c>
    </row>
    <row r="21" spans="1:9" ht="16.8" x14ac:dyDescent="0.3">
      <c r="A21" s="456" t="s">
        <v>276</v>
      </c>
      <c r="B21" s="250">
        <v>1</v>
      </c>
      <c r="C21" s="251" t="s">
        <v>116</v>
      </c>
      <c r="D21" s="252" t="s">
        <v>117</v>
      </c>
      <c r="E21" s="252" t="s">
        <v>101</v>
      </c>
      <c r="F21" s="253" t="s">
        <v>105</v>
      </c>
      <c r="G21" s="253" t="s">
        <v>106</v>
      </c>
      <c r="H21" s="253" t="s">
        <v>260</v>
      </c>
      <c r="I21" s="131">
        <v>266</v>
      </c>
    </row>
    <row r="22" spans="1:9" ht="16.8" x14ac:dyDescent="0.3">
      <c r="A22" s="456" t="s">
        <v>112</v>
      </c>
      <c r="B22" s="250">
        <v>1</v>
      </c>
      <c r="C22" s="251" t="s">
        <v>104</v>
      </c>
      <c r="D22" s="252" t="s">
        <v>113</v>
      </c>
      <c r="E22" s="252" t="s">
        <v>101</v>
      </c>
      <c r="F22" s="253" t="s">
        <v>114</v>
      </c>
      <c r="G22" s="253" t="s">
        <v>111</v>
      </c>
      <c r="H22" s="253" t="s">
        <v>260</v>
      </c>
      <c r="I22" s="131">
        <v>269</v>
      </c>
    </row>
    <row r="23" spans="1:9" ht="16.8" x14ac:dyDescent="0.3">
      <c r="A23" s="456" t="s">
        <v>308</v>
      </c>
      <c r="B23" s="250">
        <v>1</v>
      </c>
      <c r="C23" s="519" t="s">
        <v>116</v>
      </c>
      <c r="D23" s="520" t="s">
        <v>119</v>
      </c>
      <c r="E23" s="373" t="s">
        <v>101</v>
      </c>
      <c r="F23" s="521" t="s">
        <v>105</v>
      </c>
      <c r="G23" s="521" t="s">
        <v>111</v>
      </c>
      <c r="H23" s="521" t="s">
        <v>324</v>
      </c>
      <c r="I23" s="131">
        <v>104</v>
      </c>
    </row>
    <row r="24" spans="1:9" ht="16.8" x14ac:dyDescent="0.3">
      <c r="A24" s="456" t="s">
        <v>115</v>
      </c>
      <c r="B24" s="250">
        <v>1</v>
      </c>
      <c r="C24" s="251" t="s">
        <v>116</v>
      </c>
      <c r="D24" s="252" t="s">
        <v>117</v>
      </c>
      <c r="E24" s="252" t="s">
        <v>101</v>
      </c>
      <c r="F24" s="253" t="s">
        <v>105</v>
      </c>
      <c r="G24" s="253" t="s">
        <v>109</v>
      </c>
      <c r="H24" s="253" t="s">
        <v>260</v>
      </c>
      <c r="I24" s="131">
        <v>272</v>
      </c>
    </row>
    <row r="25" spans="1:9" ht="16.8" x14ac:dyDescent="0.3">
      <c r="A25" s="456" t="s">
        <v>227</v>
      </c>
      <c r="B25" s="250">
        <v>1</v>
      </c>
      <c r="C25" s="251" t="s">
        <v>216</v>
      </c>
      <c r="D25" s="252" t="s">
        <v>100</v>
      </c>
      <c r="E25" s="457" t="s">
        <v>228</v>
      </c>
      <c r="F25" s="253" t="s">
        <v>114</v>
      </c>
      <c r="G25" s="253" t="s">
        <v>122</v>
      </c>
      <c r="H25" s="253" t="s">
        <v>263</v>
      </c>
      <c r="I25" s="131">
        <v>176</v>
      </c>
    </row>
    <row r="26" spans="1:9" ht="16.8" x14ac:dyDescent="0.3">
      <c r="A26" s="456" t="s">
        <v>309</v>
      </c>
      <c r="B26" s="250">
        <v>1</v>
      </c>
      <c r="C26" s="251" t="s">
        <v>216</v>
      </c>
      <c r="D26" s="252" t="s">
        <v>100</v>
      </c>
      <c r="E26" s="253" t="s">
        <v>101</v>
      </c>
      <c r="F26" s="253" t="s">
        <v>105</v>
      </c>
      <c r="G26" s="253" t="s">
        <v>301</v>
      </c>
      <c r="H26" s="253" t="s">
        <v>325</v>
      </c>
      <c r="I26" s="131">
        <v>106</v>
      </c>
    </row>
    <row r="27" spans="1:9" ht="16.8" x14ac:dyDescent="0.3">
      <c r="A27" s="456" t="s">
        <v>310</v>
      </c>
      <c r="B27" s="250">
        <v>1</v>
      </c>
      <c r="C27" s="251" t="s">
        <v>216</v>
      </c>
      <c r="D27" s="252" t="s">
        <v>100</v>
      </c>
      <c r="E27" s="253" t="s">
        <v>101</v>
      </c>
      <c r="F27" s="253" t="s">
        <v>105</v>
      </c>
      <c r="G27" s="253" t="s">
        <v>134</v>
      </c>
      <c r="H27" s="253" t="s">
        <v>325</v>
      </c>
      <c r="I27" s="131">
        <v>107</v>
      </c>
    </row>
    <row r="28" spans="1:9" ht="16.8" x14ac:dyDescent="0.3">
      <c r="A28" s="456" t="s">
        <v>345</v>
      </c>
      <c r="B28" s="250">
        <v>1</v>
      </c>
      <c r="C28" s="251" t="s">
        <v>216</v>
      </c>
      <c r="D28" s="252" t="s">
        <v>100</v>
      </c>
      <c r="E28" s="373" t="s">
        <v>101</v>
      </c>
      <c r="F28" s="253" t="s">
        <v>114</v>
      </c>
      <c r="G28" s="253" t="s">
        <v>343</v>
      </c>
      <c r="H28" s="253" t="s">
        <v>344</v>
      </c>
      <c r="I28" s="131">
        <v>72</v>
      </c>
    </row>
    <row r="29" spans="1:9" ht="16.8" x14ac:dyDescent="0.3">
      <c r="A29" s="456" t="s">
        <v>135</v>
      </c>
      <c r="B29" s="250">
        <v>1</v>
      </c>
      <c r="C29" s="251" t="s">
        <v>99</v>
      </c>
      <c r="D29" s="252" t="s">
        <v>100</v>
      </c>
      <c r="E29" s="457" t="s">
        <v>101</v>
      </c>
      <c r="F29" s="253" t="s">
        <v>223</v>
      </c>
      <c r="G29" s="253" t="s">
        <v>134</v>
      </c>
      <c r="H29" s="253" t="s">
        <v>262</v>
      </c>
      <c r="I29" s="131">
        <v>128</v>
      </c>
    </row>
    <row r="30" spans="1:9" ht="16.8" x14ac:dyDescent="0.3">
      <c r="A30" s="456" t="s">
        <v>305</v>
      </c>
      <c r="B30" s="250">
        <v>1</v>
      </c>
      <c r="C30" s="251" t="s">
        <v>216</v>
      </c>
      <c r="D30" s="252" t="s">
        <v>100</v>
      </c>
      <c r="E30" s="373" t="s">
        <v>101</v>
      </c>
      <c r="F30" s="253" t="s">
        <v>105</v>
      </c>
      <c r="G30" s="253" t="s">
        <v>301</v>
      </c>
      <c r="H30" s="253" t="s">
        <v>261</v>
      </c>
      <c r="I30" s="131">
        <v>184</v>
      </c>
    </row>
    <row r="31" spans="1:9" ht="16.8" x14ac:dyDescent="0.3">
      <c r="A31" s="260" t="s">
        <v>118</v>
      </c>
      <c r="B31" s="255">
        <v>1</v>
      </c>
      <c r="C31" s="256" t="s">
        <v>216</v>
      </c>
      <c r="D31" s="257" t="s">
        <v>119</v>
      </c>
      <c r="E31" s="257" t="s">
        <v>101</v>
      </c>
      <c r="F31" s="258" t="s">
        <v>105</v>
      </c>
      <c r="G31" s="258" t="s">
        <v>109</v>
      </c>
      <c r="H31" s="258" t="s">
        <v>260</v>
      </c>
      <c r="I31" s="259">
        <v>298</v>
      </c>
    </row>
    <row r="32" spans="1:9" ht="16.8" x14ac:dyDescent="0.3">
      <c r="A32" s="456" t="s">
        <v>140</v>
      </c>
      <c r="B32" s="250">
        <v>2</v>
      </c>
      <c r="C32" s="251" t="s">
        <v>116</v>
      </c>
      <c r="D32" s="252" t="s">
        <v>119</v>
      </c>
      <c r="E32" s="457" t="s">
        <v>141</v>
      </c>
      <c r="F32" s="253" t="s">
        <v>105</v>
      </c>
      <c r="G32" s="253" t="s">
        <v>111</v>
      </c>
      <c r="H32" s="253" t="s">
        <v>262</v>
      </c>
      <c r="I32" s="131">
        <v>116</v>
      </c>
    </row>
    <row r="33" spans="1:9" ht="16.8" x14ac:dyDescent="0.3">
      <c r="A33" s="456" t="s">
        <v>311</v>
      </c>
      <c r="B33" s="250">
        <v>2</v>
      </c>
      <c r="C33" s="251" t="s">
        <v>216</v>
      </c>
      <c r="D33" s="520" t="s">
        <v>121</v>
      </c>
      <c r="E33" s="525" t="s">
        <v>101</v>
      </c>
      <c r="F33" s="521" t="s">
        <v>105</v>
      </c>
      <c r="G33" s="521" t="s">
        <v>134</v>
      </c>
      <c r="H33" s="521" t="s">
        <v>326</v>
      </c>
      <c r="I33" s="97">
        <v>48</v>
      </c>
    </row>
    <row r="34" spans="1:9" ht="16.8" x14ac:dyDescent="0.3">
      <c r="A34" s="456" t="s">
        <v>312</v>
      </c>
      <c r="B34" s="250">
        <v>2</v>
      </c>
      <c r="C34" s="251" t="s">
        <v>108</v>
      </c>
      <c r="D34" s="252" t="s">
        <v>100</v>
      </c>
      <c r="E34" s="373" t="s">
        <v>101</v>
      </c>
      <c r="F34" s="253" t="s">
        <v>327</v>
      </c>
      <c r="G34" s="253" t="s">
        <v>17</v>
      </c>
      <c r="H34" s="253" t="s">
        <v>328</v>
      </c>
      <c r="I34" s="131">
        <v>81</v>
      </c>
    </row>
    <row r="35" spans="1:9" ht="16.8" x14ac:dyDescent="0.3">
      <c r="A35" s="456" t="s">
        <v>229</v>
      </c>
      <c r="B35" s="250">
        <v>2</v>
      </c>
      <c r="C35" s="251" t="s">
        <v>216</v>
      </c>
      <c r="D35" s="252" t="s">
        <v>117</v>
      </c>
      <c r="E35" s="373" t="s">
        <v>101</v>
      </c>
      <c r="F35" s="253" t="s">
        <v>105</v>
      </c>
      <c r="G35" s="253" t="s">
        <v>106</v>
      </c>
      <c r="H35" s="253" t="s">
        <v>260</v>
      </c>
      <c r="I35" s="131">
        <v>207</v>
      </c>
    </row>
    <row r="36" spans="1:9" ht="16.8" x14ac:dyDescent="0.3">
      <c r="A36" s="456" t="s">
        <v>313</v>
      </c>
      <c r="B36" s="250">
        <v>2</v>
      </c>
      <c r="C36" s="251" t="s">
        <v>99</v>
      </c>
      <c r="D36" s="252" t="s">
        <v>100</v>
      </c>
      <c r="E36" s="253" t="s">
        <v>101</v>
      </c>
      <c r="F36" s="253" t="s">
        <v>105</v>
      </c>
      <c r="G36" s="253" t="s">
        <v>106</v>
      </c>
      <c r="H36" s="253" t="s">
        <v>325</v>
      </c>
      <c r="I36" s="131">
        <v>93</v>
      </c>
    </row>
    <row r="37" spans="1:9" ht="16.8" x14ac:dyDescent="0.3">
      <c r="A37" s="456" t="s">
        <v>314</v>
      </c>
      <c r="B37" s="250">
        <v>2</v>
      </c>
      <c r="C37" s="526" t="s">
        <v>116</v>
      </c>
      <c r="D37" s="527" t="s">
        <v>100</v>
      </c>
      <c r="E37" s="528" t="s">
        <v>101</v>
      </c>
      <c r="F37" s="528" t="s">
        <v>327</v>
      </c>
      <c r="G37" s="528" t="s">
        <v>111</v>
      </c>
      <c r="H37" s="528" t="s">
        <v>263</v>
      </c>
      <c r="I37" s="522">
        <v>47</v>
      </c>
    </row>
    <row r="38" spans="1:9" ht="16.8" x14ac:dyDescent="0.3">
      <c r="A38" s="456" t="s">
        <v>131</v>
      </c>
      <c r="B38" s="250">
        <v>2</v>
      </c>
      <c r="C38" s="251" t="s">
        <v>99</v>
      </c>
      <c r="D38" s="252" t="s">
        <v>100</v>
      </c>
      <c r="E38" s="457" t="s">
        <v>101</v>
      </c>
      <c r="F38" s="253" t="s">
        <v>114</v>
      </c>
      <c r="G38" s="253" t="s">
        <v>111</v>
      </c>
      <c r="H38" s="253" t="s">
        <v>262</v>
      </c>
      <c r="I38" s="131">
        <v>118</v>
      </c>
    </row>
    <row r="39" spans="1:9" ht="16.8" x14ac:dyDescent="0.3">
      <c r="A39" s="456" t="s">
        <v>315</v>
      </c>
      <c r="B39" s="250">
        <v>2</v>
      </c>
      <c r="C39" s="251" t="s">
        <v>216</v>
      </c>
      <c r="D39" s="252" t="s">
        <v>100</v>
      </c>
      <c r="E39" s="373" t="s">
        <v>101</v>
      </c>
      <c r="F39" s="253" t="s">
        <v>105</v>
      </c>
      <c r="G39" s="528" t="s">
        <v>134</v>
      </c>
      <c r="H39" s="528" t="s">
        <v>328</v>
      </c>
      <c r="I39" s="131">
        <v>84</v>
      </c>
    </row>
    <row r="40" spans="1:9" ht="16.8" x14ac:dyDescent="0.3">
      <c r="A40" s="456" t="s">
        <v>284</v>
      </c>
      <c r="B40" s="250">
        <v>2</v>
      </c>
      <c r="C40" s="251" t="s">
        <v>99</v>
      </c>
      <c r="D40" s="252" t="s">
        <v>119</v>
      </c>
      <c r="E40" s="373" t="s">
        <v>101</v>
      </c>
      <c r="F40" s="253" t="s">
        <v>105</v>
      </c>
      <c r="G40" s="253" t="s">
        <v>301</v>
      </c>
      <c r="H40" s="253" t="s">
        <v>260</v>
      </c>
      <c r="I40" s="131">
        <v>217</v>
      </c>
    </row>
    <row r="41" spans="1:9" ht="16.8" x14ac:dyDescent="0.3">
      <c r="A41" s="456" t="s">
        <v>316</v>
      </c>
      <c r="B41" s="250">
        <v>2</v>
      </c>
      <c r="C41" s="251" t="s">
        <v>108</v>
      </c>
      <c r="D41" s="252" t="s">
        <v>119</v>
      </c>
      <c r="E41" s="373" t="s">
        <v>101</v>
      </c>
      <c r="F41" s="253" t="s">
        <v>114</v>
      </c>
      <c r="G41" s="253" t="s">
        <v>301</v>
      </c>
      <c r="H41" s="528" t="s">
        <v>322</v>
      </c>
      <c r="I41" s="131">
        <v>146</v>
      </c>
    </row>
    <row r="42" spans="1:9" ht="16.8" x14ac:dyDescent="0.3">
      <c r="A42" s="456" t="s">
        <v>132</v>
      </c>
      <c r="B42" s="250">
        <v>2</v>
      </c>
      <c r="C42" s="251" t="s">
        <v>216</v>
      </c>
      <c r="D42" s="252" t="s">
        <v>100</v>
      </c>
      <c r="E42" s="457" t="s">
        <v>101</v>
      </c>
      <c r="F42" s="253" t="s">
        <v>114</v>
      </c>
      <c r="G42" s="253" t="s">
        <v>111</v>
      </c>
      <c r="H42" s="253" t="s">
        <v>262</v>
      </c>
      <c r="I42" s="131">
        <v>119</v>
      </c>
    </row>
    <row r="43" spans="1:9" ht="16.8" x14ac:dyDescent="0.3">
      <c r="A43" s="456" t="s">
        <v>285</v>
      </c>
      <c r="B43" s="250">
        <v>2</v>
      </c>
      <c r="C43" s="251" t="s">
        <v>216</v>
      </c>
      <c r="D43" s="252" t="s">
        <v>117</v>
      </c>
      <c r="E43" s="373" t="s">
        <v>101</v>
      </c>
      <c r="F43" s="253" t="s">
        <v>105</v>
      </c>
      <c r="G43" s="253" t="s">
        <v>106</v>
      </c>
      <c r="H43" s="253" t="s">
        <v>260</v>
      </c>
      <c r="I43" s="131">
        <v>225</v>
      </c>
    </row>
    <row r="44" spans="1:9" ht="16.8" x14ac:dyDescent="0.3">
      <c r="A44" s="456" t="s">
        <v>317</v>
      </c>
      <c r="B44" s="250">
        <v>2</v>
      </c>
      <c r="C44" s="251" t="s">
        <v>99</v>
      </c>
      <c r="D44" s="252" t="s">
        <v>113</v>
      </c>
      <c r="E44" s="253" t="s">
        <v>141</v>
      </c>
      <c r="F44" s="253" t="s">
        <v>223</v>
      </c>
      <c r="G44" s="253" t="s">
        <v>103</v>
      </c>
      <c r="H44" s="253" t="s">
        <v>325</v>
      </c>
      <c r="I44" s="131">
        <v>99</v>
      </c>
    </row>
    <row r="45" spans="1:9" ht="16.8" x14ac:dyDescent="0.3">
      <c r="A45" s="456" t="s">
        <v>133</v>
      </c>
      <c r="B45" s="250">
        <v>2</v>
      </c>
      <c r="C45" s="251" t="s">
        <v>216</v>
      </c>
      <c r="D45" s="252" t="s">
        <v>100</v>
      </c>
      <c r="E45" s="457" t="s">
        <v>101</v>
      </c>
      <c r="F45" s="253" t="s">
        <v>114</v>
      </c>
      <c r="G45" s="253" t="s">
        <v>134</v>
      </c>
      <c r="H45" s="253" t="s">
        <v>262</v>
      </c>
      <c r="I45" s="131">
        <v>125</v>
      </c>
    </row>
    <row r="46" spans="1:9" ht="16.8" x14ac:dyDescent="0.3">
      <c r="A46" s="456" t="s">
        <v>318</v>
      </c>
      <c r="B46" s="250">
        <v>2</v>
      </c>
      <c r="C46" s="251" t="s">
        <v>116</v>
      </c>
      <c r="D46" s="252" t="s">
        <v>100</v>
      </c>
      <c r="E46" s="253" t="s">
        <v>101</v>
      </c>
      <c r="F46" s="253" t="s">
        <v>105</v>
      </c>
      <c r="G46" s="253" t="s">
        <v>103</v>
      </c>
      <c r="H46" s="253" t="s">
        <v>325</v>
      </c>
      <c r="I46" s="131">
        <v>103</v>
      </c>
    </row>
    <row r="47" spans="1:9" ht="16.8" x14ac:dyDescent="0.3">
      <c r="A47" s="456" t="s">
        <v>286</v>
      </c>
      <c r="B47" s="250">
        <v>2</v>
      </c>
      <c r="C47" s="251" t="s">
        <v>216</v>
      </c>
      <c r="D47" s="252" t="s">
        <v>117</v>
      </c>
      <c r="E47" s="373" t="s">
        <v>101</v>
      </c>
      <c r="F47" s="253" t="s">
        <v>105</v>
      </c>
      <c r="G47" s="253" t="s">
        <v>106</v>
      </c>
      <c r="H47" s="253" t="s">
        <v>260</v>
      </c>
      <c r="I47" s="131">
        <v>259</v>
      </c>
    </row>
    <row r="48" spans="1:9" ht="16.8" x14ac:dyDescent="0.3">
      <c r="A48" s="456" t="s">
        <v>287</v>
      </c>
      <c r="B48" s="250">
        <v>2</v>
      </c>
      <c r="C48" s="251" t="s">
        <v>99</v>
      </c>
      <c r="D48" s="252" t="s">
        <v>100</v>
      </c>
      <c r="E48" s="373" t="s">
        <v>101</v>
      </c>
      <c r="F48" s="253" t="s">
        <v>102</v>
      </c>
      <c r="G48" s="253" t="s">
        <v>103</v>
      </c>
      <c r="H48" s="253" t="s">
        <v>260</v>
      </c>
      <c r="I48" s="131">
        <v>271</v>
      </c>
    </row>
    <row r="49" spans="1:9" ht="16.8" x14ac:dyDescent="0.3">
      <c r="A49" s="456" t="s">
        <v>288</v>
      </c>
      <c r="B49" s="250">
        <v>2</v>
      </c>
      <c r="C49" s="251" t="s">
        <v>116</v>
      </c>
      <c r="D49" s="252" t="s">
        <v>119</v>
      </c>
      <c r="E49" s="373" t="s">
        <v>101</v>
      </c>
      <c r="F49" s="253" t="s">
        <v>105</v>
      </c>
      <c r="G49" s="253" t="s">
        <v>111</v>
      </c>
      <c r="H49" s="253" t="s">
        <v>260</v>
      </c>
      <c r="I49" s="131">
        <v>272</v>
      </c>
    </row>
    <row r="50" spans="1:9" ht="16.8" x14ac:dyDescent="0.3">
      <c r="A50" s="456" t="s">
        <v>337</v>
      </c>
      <c r="B50" s="250">
        <v>2</v>
      </c>
      <c r="C50" s="251" t="s">
        <v>116</v>
      </c>
      <c r="D50" s="252" t="s">
        <v>338</v>
      </c>
      <c r="E50" s="373" t="s">
        <v>101</v>
      </c>
      <c r="F50" s="253" t="s">
        <v>105</v>
      </c>
      <c r="G50" s="253" t="s">
        <v>106</v>
      </c>
      <c r="H50" s="253" t="s">
        <v>339</v>
      </c>
      <c r="I50" s="131">
        <v>115</v>
      </c>
    </row>
    <row r="51" spans="1:9" ht="16.8" x14ac:dyDescent="0.3">
      <c r="A51" s="456" t="s">
        <v>289</v>
      </c>
      <c r="B51" s="250">
        <v>2</v>
      </c>
      <c r="C51" s="251" t="s">
        <v>116</v>
      </c>
      <c r="D51" s="252" t="s">
        <v>113</v>
      </c>
      <c r="E51" s="373" t="s">
        <v>101</v>
      </c>
      <c r="F51" s="253" t="s">
        <v>102</v>
      </c>
      <c r="G51" s="253" t="s">
        <v>301</v>
      </c>
      <c r="H51" s="253" t="s">
        <v>260</v>
      </c>
      <c r="I51" s="131">
        <v>278</v>
      </c>
    </row>
    <row r="52" spans="1:9" ht="16.8" x14ac:dyDescent="0.3">
      <c r="A52" s="456" t="s">
        <v>342</v>
      </c>
      <c r="B52" s="250">
        <v>2</v>
      </c>
      <c r="C52" s="251" t="s">
        <v>216</v>
      </c>
      <c r="D52" s="252" t="s">
        <v>100</v>
      </c>
      <c r="E52" s="373" t="s">
        <v>101</v>
      </c>
      <c r="F52" s="253" t="s">
        <v>114</v>
      </c>
      <c r="G52" s="253" t="s">
        <v>343</v>
      </c>
      <c r="H52" s="253" t="s">
        <v>344</v>
      </c>
      <c r="I52" s="131">
        <v>73</v>
      </c>
    </row>
    <row r="53" spans="1:9" ht="16.8" x14ac:dyDescent="0.3">
      <c r="A53" s="456" t="s">
        <v>136</v>
      </c>
      <c r="B53" s="250">
        <v>2</v>
      </c>
      <c r="C53" s="251" t="s">
        <v>99</v>
      </c>
      <c r="D53" s="252" t="s">
        <v>100</v>
      </c>
      <c r="E53" s="457" t="s">
        <v>101</v>
      </c>
      <c r="F53" s="253" t="s">
        <v>114</v>
      </c>
      <c r="G53" s="253" t="s">
        <v>109</v>
      </c>
      <c r="H53" s="253" t="s">
        <v>262</v>
      </c>
      <c r="I53" s="131">
        <v>129</v>
      </c>
    </row>
    <row r="54" spans="1:9" ht="16.8" x14ac:dyDescent="0.3">
      <c r="A54" s="456" t="s">
        <v>137</v>
      </c>
      <c r="B54" s="250">
        <v>2</v>
      </c>
      <c r="C54" s="251" t="s">
        <v>217</v>
      </c>
      <c r="D54" s="252" t="s">
        <v>119</v>
      </c>
      <c r="E54" s="457" t="s">
        <v>101</v>
      </c>
      <c r="F54" s="253" t="s">
        <v>114</v>
      </c>
      <c r="G54" s="253" t="s">
        <v>138</v>
      </c>
      <c r="H54" s="253" t="s">
        <v>262</v>
      </c>
      <c r="I54" s="131">
        <v>129</v>
      </c>
    </row>
    <row r="55" spans="1:9" ht="16.8" x14ac:dyDescent="0.3">
      <c r="A55" s="456" t="s">
        <v>290</v>
      </c>
      <c r="B55" s="250">
        <v>2</v>
      </c>
      <c r="C55" s="251" t="s">
        <v>116</v>
      </c>
      <c r="D55" s="252" t="s">
        <v>100</v>
      </c>
      <c r="E55" s="373" t="s">
        <v>101</v>
      </c>
      <c r="F55" s="253" t="s">
        <v>102</v>
      </c>
      <c r="G55" s="253" t="s">
        <v>126</v>
      </c>
      <c r="H55" s="253" t="s">
        <v>260</v>
      </c>
      <c r="I55" s="131">
        <v>297</v>
      </c>
    </row>
    <row r="56" spans="1:9" ht="16.8" x14ac:dyDescent="0.3">
      <c r="A56" s="456" t="s">
        <v>331</v>
      </c>
      <c r="B56" s="250">
        <v>2</v>
      </c>
      <c r="C56" s="251" t="s">
        <v>116</v>
      </c>
      <c r="D56" s="252" t="s">
        <v>100</v>
      </c>
      <c r="E56" s="373" t="s">
        <v>101</v>
      </c>
      <c r="F56" s="253" t="s">
        <v>114</v>
      </c>
      <c r="G56" s="253" t="s">
        <v>134</v>
      </c>
      <c r="H56" s="253" t="s">
        <v>328</v>
      </c>
      <c r="I56" s="131">
        <v>92</v>
      </c>
    </row>
    <row r="57" spans="1:9" ht="16.8" x14ac:dyDescent="0.3">
      <c r="A57" s="260" t="s">
        <v>291</v>
      </c>
      <c r="B57" s="255">
        <v>2</v>
      </c>
      <c r="C57" s="256" t="s">
        <v>217</v>
      </c>
      <c r="D57" s="257" t="s">
        <v>119</v>
      </c>
      <c r="E57" s="258" t="s">
        <v>101</v>
      </c>
      <c r="F57" s="258" t="s">
        <v>102</v>
      </c>
      <c r="G57" s="258" t="s">
        <v>106</v>
      </c>
      <c r="H57" s="258" t="s">
        <v>260</v>
      </c>
      <c r="I57" s="524">
        <v>303</v>
      </c>
    </row>
    <row r="58" spans="1:9" ht="16.8" x14ac:dyDescent="0.3">
      <c r="A58" s="456" t="s">
        <v>319</v>
      </c>
      <c r="B58" s="250">
        <v>3</v>
      </c>
      <c r="C58" s="251" t="s">
        <v>108</v>
      </c>
      <c r="D58" s="252" t="s">
        <v>100</v>
      </c>
      <c r="E58" s="373" t="s">
        <v>101</v>
      </c>
      <c r="F58" s="253" t="s">
        <v>114</v>
      </c>
      <c r="G58" s="253" t="s">
        <v>106</v>
      </c>
      <c r="H58" s="253" t="s">
        <v>325</v>
      </c>
      <c r="I58" s="131">
        <v>92</v>
      </c>
    </row>
    <row r="59" spans="1:9" ht="16.8" x14ac:dyDescent="0.3">
      <c r="A59" s="456" t="s">
        <v>293</v>
      </c>
      <c r="B59" s="250">
        <v>3</v>
      </c>
      <c r="C59" s="251" t="s">
        <v>104</v>
      </c>
      <c r="D59" s="252" t="s">
        <v>100</v>
      </c>
      <c r="E59" s="373" t="s">
        <v>101</v>
      </c>
      <c r="F59" s="253" t="s">
        <v>105</v>
      </c>
      <c r="G59" s="253" t="s">
        <v>103</v>
      </c>
      <c r="H59" s="253" t="s">
        <v>260</v>
      </c>
      <c r="I59" s="131">
        <v>216</v>
      </c>
    </row>
    <row r="60" spans="1:9" ht="16.8" x14ac:dyDescent="0.3">
      <c r="A60" s="456" t="s">
        <v>294</v>
      </c>
      <c r="B60" s="250">
        <v>3</v>
      </c>
      <c r="C60" s="251" t="s">
        <v>110</v>
      </c>
      <c r="D60" s="252" t="s">
        <v>100</v>
      </c>
      <c r="E60" s="373" t="s">
        <v>101</v>
      </c>
      <c r="F60" s="253" t="s">
        <v>105</v>
      </c>
      <c r="G60" s="253" t="s">
        <v>111</v>
      </c>
      <c r="H60" s="253" t="s">
        <v>260</v>
      </c>
      <c r="I60" s="131">
        <v>216</v>
      </c>
    </row>
    <row r="61" spans="1:9" ht="16.8" x14ac:dyDescent="0.3">
      <c r="A61" s="456" t="s">
        <v>320</v>
      </c>
      <c r="B61" s="250">
        <v>3</v>
      </c>
      <c r="C61" s="251" t="s">
        <v>216</v>
      </c>
      <c r="D61" s="252" t="s">
        <v>119</v>
      </c>
      <c r="E61" s="373" t="s">
        <v>101</v>
      </c>
      <c r="F61" s="253" t="s">
        <v>105</v>
      </c>
      <c r="G61" s="253" t="s">
        <v>134</v>
      </c>
      <c r="H61" s="253" t="s">
        <v>262</v>
      </c>
      <c r="I61" s="131">
        <v>119</v>
      </c>
    </row>
    <row r="62" spans="1:9" ht="16.8" x14ac:dyDescent="0.3">
      <c r="A62" s="456" t="s">
        <v>295</v>
      </c>
      <c r="B62" s="250">
        <v>3</v>
      </c>
      <c r="C62" s="251" t="s">
        <v>108</v>
      </c>
      <c r="D62" s="252" t="s">
        <v>119</v>
      </c>
      <c r="E62" s="373" t="s">
        <v>101</v>
      </c>
      <c r="F62" s="253" t="s">
        <v>102</v>
      </c>
      <c r="G62" s="253" t="s">
        <v>134</v>
      </c>
      <c r="H62" s="253" t="s">
        <v>260</v>
      </c>
      <c r="I62" s="131">
        <v>221</v>
      </c>
    </row>
    <row r="63" spans="1:9" ht="16.8" x14ac:dyDescent="0.3">
      <c r="A63" s="456" t="s">
        <v>296</v>
      </c>
      <c r="B63" s="250">
        <v>3</v>
      </c>
      <c r="C63" s="251" t="s">
        <v>116</v>
      </c>
      <c r="D63" s="252" t="s">
        <v>100</v>
      </c>
      <c r="E63" s="373" t="s">
        <v>101</v>
      </c>
      <c r="F63" s="253" t="s">
        <v>302</v>
      </c>
      <c r="G63" s="253" t="s">
        <v>103</v>
      </c>
      <c r="H63" s="253" t="s">
        <v>260</v>
      </c>
      <c r="I63" s="131">
        <v>223</v>
      </c>
    </row>
    <row r="64" spans="1:9" ht="16.8" x14ac:dyDescent="0.3">
      <c r="A64" s="456" t="s">
        <v>340</v>
      </c>
      <c r="B64" s="250">
        <v>3</v>
      </c>
      <c r="C64" s="251" t="s">
        <v>216</v>
      </c>
      <c r="D64" s="520" t="s">
        <v>121</v>
      </c>
      <c r="E64" s="373" t="s">
        <v>101</v>
      </c>
      <c r="F64" s="253" t="s">
        <v>105</v>
      </c>
      <c r="G64" s="253" t="s">
        <v>134</v>
      </c>
      <c r="H64" s="253" t="s">
        <v>339</v>
      </c>
      <c r="I64" s="131">
        <v>113</v>
      </c>
    </row>
    <row r="65" spans="1:9" ht="16.8" x14ac:dyDescent="0.3">
      <c r="A65" s="456" t="s">
        <v>341</v>
      </c>
      <c r="B65" s="250">
        <v>3</v>
      </c>
      <c r="C65" s="251" t="s">
        <v>108</v>
      </c>
      <c r="D65" s="252" t="s">
        <v>338</v>
      </c>
      <c r="E65" s="373" t="s">
        <v>101</v>
      </c>
      <c r="F65" s="253" t="s">
        <v>114</v>
      </c>
      <c r="G65" s="253" t="s">
        <v>134</v>
      </c>
      <c r="H65" s="253" t="s">
        <v>339</v>
      </c>
      <c r="I65" s="131">
        <v>113</v>
      </c>
    </row>
    <row r="66" spans="1:9" ht="16.8" x14ac:dyDescent="0.3">
      <c r="A66" s="456" t="s">
        <v>297</v>
      </c>
      <c r="B66" s="250">
        <v>3</v>
      </c>
      <c r="C66" s="251" t="s">
        <v>99</v>
      </c>
      <c r="D66" s="252" t="s">
        <v>100</v>
      </c>
      <c r="E66" s="373" t="s">
        <v>101</v>
      </c>
      <c r="F66" s="253" t="s">
        <v>105</v>
      </c>
      <c r="G66" s="253" t="s">
        <v>103</v>
      </c>
      <c r="H66" s="253" t="s">
        <v>260</v>
      </c>
      <c r="I66" s="131">
        <v>239</v>
      </c>
    </row>
    <row r="67" spans="1:9" ht="16.8" x14ac:dyDescent="0.3">
      <c r="A67" s="456" t="s">
        <v>321</v>
      </c>
      <c r="B67" s="250">
        <v>3</v>
      </c>
      <c r="C67" s="251" t="s">
        <v>110</v>
      </c>
      <c r="D67" s="252" t="s">
        <v>329</v>
      </c>
      <c r="E67" s="373" t="s">
        <v>101</v>
      </c>
      <c r="F67" s="253" t="s">
        <v>194</v>
      </c>
      <c r="G67" s="253" t="s">
        <v>103</v>
      </c>
      <c r="H67" s="253" t="s">
        <v>330</v>
      </c>
      <c r="I67" s="131">
        <v>212</v>
      </c>
    </row>
    <row r="68" spans="1:9" ht="16.8" x14ac:dyDescent="0.3">
      <c r="A68" s="456" t="s">
        <v>292</v>
      </c>
      <c r="B68" s="250">
        <v>3</v>
      </c>
      <c r="C68" s="251" t="s">
        <v>116</v>
      </c>
      <c r="D68" s="252" t="s">
        <v>303</v>
      </c>
      <c r="E68" s="373" t="s">
        <v>101</v>
      </c>
      <c r="F68" s="253" t="s">
        <v>304</v>
      </c>
      <c r="G68" s="253" t="s">
        <v>111</v>
      </c>
      <c r="H68" s="253" t="s">
        <v>260</v>
      </c>
      <c r="I68" s="131">
        <v>250</v>
      </c>
    </row>
    <row r="69" spans="1:9" ht="16.8" x14ac:dyDescent="0.3">
      <c r="A69" s="456" t="s">
        <v>278</v>
      </c>
      <c r="B69" s="250">
        <v>3</v>
      </c>
      <c r="C69" s="251" t="s">
        <v>116</v>
      </c>
      <c r="D69" s="252" t="s">
        <v>303</v>
      </c>
      <c r="E69" s="373" t="s">
        <v>101</v>
      </c>
      <c r="F69" s="253" t="s">
        <v>304</v>
      </c>
      <c r="G69" s="253" t="s">
        <v>111</v>
      </c>
      <c r="H69" s="253" t="s">
        <v>260</v>
      </c>
      <c r="I69" s="131">
        <v>250</v>
      </c>
    </row>
    <row r="70" spans="1:9" ht="16.8" x14ac:dyDescent="0.3">
      <c r="A70" s="456" t="s">
        <v>298</v>
      </c>
      <c r="B70" s="250">
        <v>3</v>
      </c>
      <c r="C70" s="519" t="s">
        <v>216</v>
      </c>
      <c r="D70" s="520" t="s">
        <v>128</v>
      </c>
      <c r="E70" s="521" t="s">
        <v>101</v>
      </c>
      <c r="F70" s="521" t="s">
        <v>102</v>
      </c>
      <c r="G70" s="521" t="s">
        <v>301</v>
      </c>
      <c r="H70" s="253" t="s">
        <v>260</v>
      </c>
      <c r="I70" s="522">
        <v>251</v>
      </c>
    </row>
    <row r="71" spans="1:9" ht="16.8" x14ac:dyDescent="0.3">
      <c r="A71" s="456" t="s">
        <v>333</v>
      </c>
      <c r="B71" s="250">
        <v>3</v>
      </c>
      <c r="C71" s="519" t="s">
        <v>108</v>
      </c>
      <c r="D71" s="520" t="s">
        <v>119</v>
      </c>
      <c r="E71" s="521" t="s">
        <v>101</v>
      </c>
      <c r="F71" s="521" t="s">
        <v>102</v>
      </c>
      <c r="G71" s="521" t="s">
        <v>134</v>
      </c>
      <c r="H71" s="253" t="s">
        <v>325</v>
      </c>
      <c r="I71" s="522">
        <v>102</v>
      </c>
    </row>
    <row r="72" spans="1:9" ht="16.8" x14ac:dyDescent="0.3">
      <c r="A72" s="456" t="s">
        <v>299</v>
      </c>
      <c r="B72" s="250">
        <v>3</v>
      </c>
      <c r="C72" s="251" t="s">
        <v>99</v>
      </c>
      <c r="D72" s="252" t="s">
        <v>119</v>
      </c>
      <c r="E72" s="373" t="s">
        <v>101</v>
      </c>
      <c r="F72" s="253" t="s">
        <v>194</v>
      </c>
      <c r="G72" s="253" t="s">
        <v>134</v>
      </c>
      <c r="H72" s="253" t="s">
        <v>260</v>
      </c>
      <c r="I72" s="254">
        <v>263</v>
      </c>
    </row>
    <row r="73" spans="1:9" ht="16.8" x14ac:dyDescent="0.3">
      <c r="A73" s="456" t="s">
        <v>300</v>
      </c>
      <c r="B73" s="250">
        <v>3</v>
      </c>
      <c r="C73" s="251" t="s">
        <v>99</v>
      </c>
      <c r="D73" s="252" t="s">
        <v>100</v>
      </c>
      <c r="E73" s="373" t="s">
        <v>101</v>
      </c>
      <c r="F73" s="253" t="s">
        <v>105</v>
      </c>
      <c r="G73" s="253" t="s">
        <v>103</v>
      </c>
      <c r="H73" s="253" t="s">
        <v>260</v>
      </c>
      <c r="I73" s="131">
        <v>270</v>
      </c>
    </row>
    <row r="74" spans="1:9" ht="16.8" x14ac:dyDescent="0.3">
      <c r="A74" s="456" t="s">
        <v>279</v>
      </c>
      <c r="B74" s="250">
        <v>3</v>
      </c>
      <c r="C74" s="251" t="s">
        <v>116</v>
      </c>
      <c r="D74" s="252" t="s">
        <v>100</v>
      </c>
      <c r="E74" s="373" t="s">
        <v>101</v>
      </c>
      <c r="F74" s="253" t="s">
        <v>105</v>
      </c>
      <c r="G74" s="253" t="s">
        <v>103</v>
      </c>
      <c r="H74" s="253" t="s">
        <v>260</v>
      </c>
      <c r="I74" s="131">
        <v>270</v>
      </c>
    </row>
    <row r="75" spans="1:9" ht="16.8" x14ac:dyDescent="0.3">
      <c r="A75" s="456" t="s">
        <v>348</v>
      </c>
      <c r="B75" s="250">
        <v>3</v>
      </c>
      <c r="C75" s="251" t="s">
        <v>116</v>
      </c>
      <c r="D75" s="252" t="s">
        <v>119</v>
      </c>
      <c r="E75" s="373" t="s">
        <v>101</v>
      </c>
      <c r="F75" s="521" t="s">
        <v>105</v>
      </c>
      <c r="G75" s="253" t="s">
        <v>111</v>
      </c>
      <c r="H75" s="253" t="s">
        <v>349</v>
      </c>
      <c r="I75" s="131">
        <v>132</v>
      </c>
    </row>
    <row r="76" spans="1:9" ht="16.8" x14ac:dyDescent="0.3">
      <c r="A76" s="456" t="s">
        <v>257</v>
      </c>
      <c r="B76" s="250">
        <v>3</v>
      </c>
      <c r="C76" s="251" t="s">
        <v>216</v>
      </c>
      <c r="D76" s="252" t="s">
        <v>119</v>
      </c>
      <c r="E76" s="457" t="s">
        <v>101</v>
      </c>
      <c r="F76" s="253" t="s">
        <v>114</v>
      </c>
      <c r="G76" s="253" t="s">
        <v>106</v>
      </c>
      <c r="H76" s="253" t="s">
        <v>263</v>
      </c>
      <c r="I76" s="131">
        <v>177</v>
      </c>
    </row>
    <row r="77" spans="1:9" ht="16.8" x14ac:dyDescent="0.3">
      <c r="A77" s="456" t="s">
        <v>384</v>
      </c>
      <c r="B77" s="250">
        <v>3</v>
      </c>
      <c r="C77" s="251" t="s">
        <v>99</v>
      </c>
      <c r="D77" s="252" t="s">
        <v>100</v>
      </c>
      <c r="E77" s="253" t="s">
        <v>101</v>
      </c>
      <c r="F77" s="253" t="s">
        <v>114</v>
      </c>
      <c r="G77" s="253" t="s">
        <v>111</v>
      </c>
      <c r="H77" s="253" t="s">
        <v>325</v>
      </c>
      <c r="I77" s="131">
        <v>107</v>
      </c>
    </row>
    <row r="78" spans="1:9" ht="17.399999999999999" thickBot="1" x14ac:dyDescent="0.35">
      <c r="A78" s="458" t="s">
        <v>139</v>
      </c>
      <c r="B78" s="451">
        <v>3</v>
      </c>
      <c r="C78" s="452" t="s">
        <v>216</v>
      </c>
      <c r="D78" s="453" t="s">
        <v>100</v>
      </c>
      <c r="E78" s="459" t="s">
        <v>101</v>
      </c>
      <c r="F78" s="454" t="s">
        <v>105</v>
      </c>
      <c r="G78" s="454" t="s">
        <v>106</v>
      </c>
      <c r="H78" s="454" t="s">
        <v>262</v>
      </c>
      <c r="I78" s="455">
        <v>129</v>
      </c>
    </row>
    <row r="79" spans="1:9" ht="16.2" thickTop="1" x14ac:dyDescent="0.3"/>
  </sheetData>
  <sortState xmlns:xlrd2="http://schemas.microsoft.com/office/spreadsheetml/2017/richdata2"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workbookViewId="0"/>
  </sheetViews>
  <sheetFormatPr defaultColWidth="13" defaultRowHeight="15.6" x14ac:dyDescent="0.3"/>
  <cols>
    <col min="1" max="1" width="19.5" style="84" bestFit="1" customWidth="1"/>
    <col min="2" max="2" width="6.19921875" style="84" bestFit="1" customWidth="1"/>
    <col min="3" max="3" width="4.09765625" style="84" bestFit="1" customWidth="1"/>
    <col min="4" max="4" width="6.296875" style="83" bestFit="1" customWidth="1"/>
    <col min="5" max="5" width="1.8984375" style="83" customWidth="1"/>
    <col min="6" max="6" width="18.59765625" style="83" bestFit="1" customWidth="1"/>
    <col min="7" max="7" width="3.5" style="83" bestFit="1" customWidth="1"/>
    <col min="8" max="8" width="3.8984375" style="83" bestFit="1" customWidth="1"/>
    <col min="9" max="9" width="3.59765625" style="83" bestFit="1" customWidth="1"/>
    <col min="10" max="10" width="3.5" style="83" bestFit="1" customWidth="1"/>
    <col min="11" max="16384" width="13" style="73"/>
  </cols>
  <sheetData>
    <row r="1" spans="1:10" ht="24" thickTop="1" thickBot="1" x14ac:dyDescent="0.35">
      <c r="A1" s="70" t="s">
        <v>89</v>
      </c>
      <c r="B1" s="71"/>
      <c r="C1" s="71"/>
      <c r="D1" s="72"/>
      <c r="E1" s="73"/>
      <c r="F1" s="79"/>
      <c r="G1" s="344" t="s">
        <v>210</v>
      </c>
      <c r="H1" s="345"/>
      <c r="I1" s="345"/>
      <c r="J1" s="346"/>
    </row>
    <row r="2" spans="1:10" ht="18" thickTop="1" thickBot="1" x14ac:dyDescent="0.35">
      <c r="A2" s="74" t="s">
        <v>71</v>
      </c>
      <c r="B2" s="75" t="s">
        <v>4</v>
      </c>
      <c r="C2" s="75" t="s">
        <v>92</v>
      </c>
      <c r="D2" s="76" t="s">
        <v>72</v>
      </c>
      <c r="E2" s="77"/>
      <c r="F2" s="79"/>
      <c r="G2" s="347" t="s">
        <v>205</v>
      </c>
      <c r="H2" s="348" t="s">
        <v>206</v>
      </c>
      <c r="I2" s="348" t="s">
        <v>207</v>
      </c>
      <c r="J2" s="349" t="s">
        <v>208</v>
      </c>
    </row>
    <row r="3" spans="1:10" ht="17.399999999999999" thickTop="1" x14ac:dyDescent="0.3">
      <c r="A3" s="351" t="s">
        <v>123</v>
      </c>
      <c r="B3" s="352">
        <v>1</v>
      </c>
      <c r="C3" s="367">
        <f>SUM(10+B3+'Personal File'!$C$14)</f>
        <v>14</v>
      </c>
      <c r="D3" s="353" t="s">
        <v>361</v>
      </c>
      <c r="E3" s="77"/>
      <c r="F3" s="339" t="s">
        <v>211</v>
      </c>
      <c r="G3" s="340">
        <v>1</v>
      </c>
      <c r="H3" s="357">
        <v>0</v>
      </c>
      <c r="I3" s="357">
        <v>0</v>
      </c>
      <c r="J3" s="359">
        <v>0</v>
      </c>
    </row>
    <row r="4" spans="1:10" ht="16.8" x14ac:dyDescent="0.3">
      <c r="A4" s="545" t="s">
        <v>124</v>
      </c>
      <c r="B4" s="363">
        <v>1</v>
      </c>
      <c r="C4" s="368">
        <f>SUM(10+B4+'Personal File'!$C$14)</f>
        <v>14</v>
      </c>
      <c r="D4" s="364" t="s">
        <v>387</v>
      </c>
      <c r="E4" s="77"/>
      <c r="F4" s="341" t="s">
        <v>213</v>
      </c>
      <c r="G4" s="342">
        <v>1</v>
      </c>
      <c r="H4" s="358">
        <v>0</v>
      </c>
      <c r="I4" s="358">
        <v>0</v>
      </c>
      <c r="J4" s="360">
        <v>0</v>
      </c>
    </row>
    <row r="5" spans="1:10" ht="16.8" x14ac:dyDescent="0.3">
      <c r="A5" s="545" t="s">
        <v>115</v>
      </c>
      <c r="B5" s="363">
        <v>1</v>
      </c>
      <c r="C5" s="368">
        <f>SUM(10+B5+'Personal File'!$C$14)</f>
        <v>14</v>
      </c>
      <c r="D5" s="364" t="s">
        <v>361</v>
      </c>
      <c r="E5" s="77"/>
      <c r="F5" s="341" t="s">
        <v>212</v>
      </c>
      <c r="G5" s="342">
        <v>2</v>
      </c>
      <c r="H5" s="355">
        <v>1</v>
      </c>
      <c r="I5" s="355">
        <v>1</v>
      </c>
      <c r="J5" s="547">
        <v>0</v>
      </c>
    </row>
    <row r="6" spans="1:10" ht="16.8" x14ac:dyDescent="0.3">
      <c r="A6" s="362" t="s">
        <v>227</v>
      </c>
      <c r="B6" s="363">
        <v>1</v>
      </c>
      <c r="C6" s="368">
        <f>SUM(10+B6+'Personal File'!$C$14)</f>
        <v>14</v>
      </c>
      <c r="D6" s="364" t="s">
        <v>387</v>
      </c>
      <c r="E6" s="77"/>
      <c r="F6" s="341" t="s">
        <v>214</v>
      </c>
      <c r="G6" s="342">
        <v>1</v>
      </c>
      <c r="H6" s="505">
        <v>1</v>
      </c>
      <c r="I6" s="355">
        <v>0</v>
      </c>
      <c r="J6" s="547">
        <v>0</v>
      </c>
    </row>
    <row r="7" spans="1:10" ht="17.399999999999999" thickBot="1" x14ac:dyDescent="0.35">
      <c r="A7" s="260" t="s">
        <v>227</v>
      </c>
      <c r="B7" s="98">
        <v>1</v>
      </c>
      <c r="C7" s="369">
        <f>SUM(10+B7+'Personal File'!$C$14)</f>
        <v>14</v>
      </c>
      <c r="D7" s="364" t="s">
        <v>361</v>
      </c>
      <c r="E7" s="77"/>
      <c r="F7" s="343" t="s">
        <v>209</v>
      </c>
      <c r="G7" s="350">
        <f t="shared" ref="G7" si="0">SUM(G3:G6)</f>
        <v>5</v>
      </c>
      <c r="H7" s="356">
        <f t="shared" ref="H7" si="1">SUM(H3:H6)</f>
        <v>2</v>
      </c>
      <c r="I7" s="356">
        <f t="shared" ref="I7:J7" si="2">SUM(I3:I6)</f>
        <v>1</v>
      </c>
      <c r="J7" s="361">
        <f t="shared" si="2"/>
        <v>0</v>
      </c>
    </row>
    <row r="8" spans="1:10" ht="17.399999999999999" thickTop="1" x14ac:dyDescent="0.3">
      <c r="A8" s="351" t="s">
        <v>381</v>
      </c>
      <c r="B8" s="352">
        <v>2</v>
      </c>
      <c r="C8" s="367">
        <f>SUM(10+B8+'Personal File'!$C$14)</f>
        <v>15</v>
      </c>
      <c r="D8" s="353" t="s">
        <v>387</v>
      </c>
      <c r="E8" s="77"/>
      <c r="F8" s="77"/>
      <c r="G8" s="77"/>
      <c r="H8" s="77"/>
      <c r="I8" s="77"/>
      <c r="J8" s="77"/>
    </row>
    <row r="9" spans="1:10" ht="16.8" x14ac:dyDescent="0.3">
      <c r="A9" s="260" t="s">
        <v>229</v>
      </c>
      <c r="B9" s="98">
        <v>2</v>
      </c>
      <c r="C9" s="369">
        <f>SUM(10+B9+'Personal File'!$C$14)</f>
        <v>15</v>
      </c>
      <c r="D9" s="80" t="s">
        <v>387</v>
      </c>
      <c r="E9" s="77"/>
      <c r="F9" s="84" t="s">
        <v>362</v>
      </c>
      <c r="G9" s="544">
        <f>0.5*SUM('Personal File'!E3:E4)</f>
        <v>7</v>
      </c>
      <c r="I9" s="77"/>
      <c r="J9" s="77"/>
    </row>
    <row r="10" spans="1:10" ht="17.399999999999999" thickBot="1" x14ac:dyDescent="0.35">
      <c r="A10" s="474" t="s">
        <v>257</v>
      </c>
      <c r="B10" s="475">
        <v>3</v>
      </c>
      <c r="C10" s="476">
        <f>SUM(10+B10+'Personal File'!$C$14)</f>
        <v>16</v>
      </c>
      <c r="D10" s="477" t="s">
        <v>361</v>
      </c>
      <c r="E10" s="77"/>
      <c r="I10" s="77"/>
      <c r="J10" s="77"/>
    </row>
    <row r="11" spans="1:10" ht="16.8" thickTop="1" thickBot="1" x14ac:dyDescent="0.35">
      <c r="E11" s="77"/>
      <c r="I11" s="77"/>
      <c r="J11" s="77"/>
    </row>
    <row r="12" spans="1:10" ht="24" thickTop="1" thickBot="1" x14ac:dyDescent="0.35">
      <c r="A12" s="70" t="s">
        <v>256</v>
      </c>
      <c r="B12" s="71"/>
      <c r="C12" s="71"/>
      <c r="D12" s="72"/>
      <c r="E12" s="77"/>
      <c r="F12" s="413" t="s">
        <v>239</v>
      </c>
      <c r="G12" s="414"/>
      <c r="I12" s="77"/>
      <c r="J12" s="77"/>
    </row>
    <row r="13" spans="1:10" ht="17.399999999999999" thickTop="1" x14ac:dyDescent="0.3">
      <c r="A13" s="74" t="s">
        <v>71</v>
      </c>
      <c r="B13" s="75" t="s">
        <v>4</v>
      </c>
      <c r="C13" s="75" t="s">
        <v>92</v>
      </c>
      <c r="D13" s="76" t="s">
        <v>72</v>
      </c>
      <c r="E13" s="77"/>
      <c r="F13" s="536" t="s">
        <v>240</v>
      </c>
      <c r="G13" s="416">
        <f>'Personal File'!E3+'Personal File'!E4-3</f>
        <v>11</v>
      </c>
      <c r="I13" s="77"/>
      <c r="J13" s="77"/>
    </row>
    <row r="14" spans="1:10" ht="16.8" x14ac:dyDescent="0.3">
      <c r="A14" s="351" t="s">
        <v>123</v>
      </c>
      <c r="B14" s="352">
        <v>1</v>
      </c>
      <c r="C14" s="367">
        <f>SUM(10+B14+'Personal File'!$C$14)</f>
        <v>14</v>
      </c>
      <c r="D14" s="353" t="s">
        <v>361</v>
      </c>
      <c r="E14" s="77"/>
      <c r="F14" s="536" t="s">
        <v>241</v>
      </c>
      <c r="G14" s="415">
        <f>3+'Personal File'!$C$14</f>
        <v>6</v>
      </c>
      <c r="I14" s="77"/>
      <c r="J14" s="77"/>
    </row>
    <row r="15" spans="1:10" ht="16.8" x14ac:dyDescent="0.3">
      <c r="A15" s="545" t="s">
        <v>123</v>
      </c>
      <c r="B15" s="363">
        <v>1</v>
      </c>
      <c r="C15" s="368">
        <f>SUM(10+B15+'Personal File'!$C$14)</f>
        <v>14</v>
      </c>
      <c r="D15" s="364" t="s">
        <v>361</v>
      </c>
      <c r="E15" s="77"/>
      <c r="F15" s="537" t="s">
        <v>242</v>
      </c>
      <c r="G15" s="417">
        <f ca="1">RANDBETWEEN(1,20)</f>
        <v>10</v>
      </c>
      <c r="I15" s="77"/>
      <c r="J15" s="77"/>
    </row>
    <row r="16" spans="1:10" ht="16.8" x14ac:dyDescent="0.3">
      <c r="A16" s="545" t="s">
        <v>248</v>
      </c>
      <c r="B16" s="363">
        <v>1</v>
      </c>
      <c r="C16" s="368">
        <f>SUM(10+B16+'Personal File'!$C$14)</f>
        <v>14</v>
      </c>
      <c r="D16" s="364" t="s">
        <v>361</v>
      </c>
      <c r="E16" s="77"/>
      <c r="F16" s="538" t="s">
        <v>243</v>
      </c>
      <c r="G16" s="415">
        <f ca="1">G15+'Personal File'!$C$14+2</f>
        <v>15</v>
      </c>
      <c r="I16" s="77"/>
      <c r="J16" s="77"/>
    </row>
    <row r="17" spans="1:10" ht="16.8" x14ac:dyDescent="0.3">
      <c r="A17" s="362" t="s">
        <v>227</v>
      </c>
      <c r="B17" s="363">
        <v>1</v>
      </c>
      <c r="C17" s="368">
        <f>SUM(10+B17+'Personal File'!$C$14)</f>
        <v>14</v>
      </c>
      <c r="D17" s="364" t="s">
        <v>361</v>
      </c>
      <c r="E17" s="77"/>
      <c r="F17" s="539" t="s">
        <v>244</v>
      </c>
      <c r="G17" s="418">
        <f ca="1">RANDBETWEEN(1,6)+RANDBETWEEN(1,6)</f>
        <v>11</v>
      </c>
      <c r="I17" s="77"/>
      <c r="J17" s="77"/>
    </row>
    <row r="18" spans="1:10" ht="16.8" x14ac:dyDescent="0.3">
      <c r="A18" s="260" t="s">
        <v>227</v>
      </c>
      <c r="B18" s="98">
        <v>1</v>
      </c>
      <c r="C18" s="369">
        <f>SUM(10+B18+'Personal File'!$C$14)</f>
        <v>14</v>
      </c>
      <c r="D18" s="364" t="s">
        <v>361</v>
      </c>
      <c r="E18" s="77"/>
      <c r="F18" s="536" t="s">
        <v>371</v>
      </c>
      <c r="G18" s="415">
        <f ca="1">G13+G17+'Personal File'!C14</f>
        <v>25</v>
      </c>
      <c r="I18" s="77"/>
      <c r="J18" s="77"/>
    </row>
    <row r="19" spans="1:10" ht="17.399999999999999" thickBot="1" x14ac:dyDescent="0.35">
      <c r="A19" s="351" t="s">
        <v>381</v>
      </c>
      <c r="B19" s="352">
        <v>2</v>
      </c>
      <c r="C19" s="367">
        <f>SUM(10+B19+'Personal File'!$C$14)</f>
        <v>15</v>
      </c>
      <c r="D19" s="353" t="s">
        <v>361</v>
      </c>
      <c r="F19" s="540" t="s">
        <v>245</v>
      </c>
      <c r="G19" s="419">
        <v>0</v>
      </c>
    </row>
    <row r="20" spans="1:10" ht="17.399999999999999" thickTop="1" x14ac:dyDescent="0.3">
      <c r="A20" s="260" t="s">
        <v>229</v>
      </c>
      <c r="B20" s="98">
        <v>2</v>
      </c>
      <c r="C20" s="369">
        <f>SUM(10+B20+'Personal File'!$C$14)</f>
        <v>15</v>
      </c>
      <c r="D20" s="80" t="s">
        <v>361</v>
      </c>
    </row>
    <row r="21" spans="1:10" ht="17.399999999999999" thickBot="1" x14ac:dyDescent="0.35">
      <c r="A21" s="474" t="s">
        <v>384</v>
      </c>
      <c r="B21" s="475">
        <v>3</v>
      </c>
      <c r="C21" s="476">
        <f>SUM(10+B21+'Personal File'!$C$14)</f>
        <v>16</v>
      </c>
      <c r="D21" s="477" t="s">
        <v>361</v>
      </c>
    </row>
    <row r="22" spans="1:10" ht="16.2" thickTop="1" x14ac:dyDescent="0.3">
      <c r="A22" s="73"/>
      <c r="B22" s="73"/>
      <c r="C22" s="73"/>
      <c r="D22" s="73"/>
    </row>
  </sheetData>
  <sortState xmlns:xlrd2="http://schemas.microsoft.com/office/spreadsheetml/2017/richdata2" ref="A14:D21">
    <sortCondition ref="B14:B21"/>
    <sortCondition ref="A14:A21"/>
  </sortState>
  <phoneticPr fontId="0" type="noConversion"/>
  <conditionalFormatting sqref="D3:D10">
    <cfRule type="cellIs" dxfId="7" priority="8" stopIfTrue="1" operator="equal">
      <formula>"þ"</formula>
    </cfRule>
  </conditionalFormatting>
  <conditionalFormatting sqref="D14:D21">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showGridLines="0" workbookViewId="0"/>
  </sheetViews>
  <sheetFormatPr defaultColWidth="13" defaultRowHeight="15.6" x14ac:dyDescent="0.3"/>
  <cols>
    <col min="1" max="1" width="33.796875" style="83" bestFit="1" customWidth="1"/>
    <col min="2" max="2" width="3" style="73" customWidth="1"/>
    <col min="3" max="3" width="32.59765625" style="73" bestFit="1" customWidth="1"/>
    <col min="4" max="16384" width="13" style="73"/>
  </cols>
  <sheetData>
    <row r="1" spans="1:3" ht="22.2" thickTop="1" thickBot="1" x14ac:dyDescent="0.35">
      <c r="A1" s="479" t="s">
        <v>91</v>
      </c>
      <c r="C1" s="479" t="s">
        <v>218</v>
      </c>
    </row>
    <row r="2" spans="1:3" ht="16.8" x14ac:dyDescent="0.3">
      <c r="A2" s="78" t="s">
        <v>198</v>
      </c>
      <c r="B2" s="79"/>
      <c r="C2" s="82" t="s">
        <v>165</v>
      </c>
    </row>
    <row r="3" spans="1:3" ht="16.8" x14ac:dyDescent="0.3">
      <c r="A3" s="81" t="s">
        <v>224</v>
      </c>
      <c r="C3" s="82" t="str">
        <f>CONCATENATE("Lay on Hands ",('Personal File'!$E$3*'Personal File'!$C$14)," hps")</f>
        <v>Lay on Hands 21 hps</v>
      </c>
    </row>
    <row r="4" spans="1:3" ht="16.8" x14ac:dyDescent="0.3">
      <c r="A4" s="81" t="s">
        <v>225</v>
      </c>
      <c r="C4" s="529" t="s">
        <v>353</v>
      </c>
    </row>
    <row r="5" spans="1:3" ht="16.8" x14ac:dyDescent="0.3">
      <c r="A5" s="81" t="s">
        <v>230</v>
      </c>
      <c r="C5" s="82" t="s">
        <v>359</v>
      </c>
    </row>
    <row r="6" spans="1:3" ht="16.8" x14ac:dyDescent="0.3">
      <c r="A6" s="81" t="s">
        <v>234</v>
      </c>
      <c r="C6" s="365" t="str">
        <f>CONCATENATE("Smite Evil ",ROUNDUP(('Personal File'!E3+1+1)/5,0),"/day, ",'Personal File'!C14," Att, +",SUM('Personal File'!E3:E4)," Dmg")</f>
        <v>Smite Evil 2/day, +3 Att, +14 Dmg</v>
      </c>
    </row>
    <row r="7" spans="1:3" ht="17.399999999999999" thickBot="1" x14ac:dyDescent="0.35">
      <c r="A7" s="555" t="s">
        <v>380</v>
      </c>
      <c r="C7" s="261" t="s">
        <v>155</v>
      </c>
    </row>
    <row r="8" spans="1:3" ht="18" thickTop="1" thickBot="1" x14ac:dyDescent="0.35">
      <c r="C8" s="261" t="s">
        <v>90</v>
      </c>
    </row>
    <row r="9" spans="1:3" ht="22.2" thickTop="1" thickBot="1" x14ac:dyDescent="0.35">
      <c r="A9" s="479" t="s">
        <v>219</v>
      </c>
      <c r="C9" s="82" t="s">
        <v>275</v>
      </c>
    </row>
    <row r="10" spans="1:3" ht="16.8" x14ac:dyDescent="0.3">
      <c r="A10" s="365" t="s">
        <v>220</v>
      </c>
      <c r="C10" s="262" t="s">
        <v>383</v>
      </c>
    </row>
    <row r="11" spans="1:3" ht="16.8" x14ac:dyDescent="0.3">
      <c r="A11" s="365" t="s">
        <v>280</v>
      </c>
      <c r="B11" s="79"/>
      <c r="C11" s="261" t="s">
        <v>145</v>
      </c>
    </row>
    <row r="12" spans="1:3" ht="17.399999999999999" thickBot="1" x14ac:dyDescent="0.35">
      <c r="A12" s="366" t="s">
        <v>231</v>
      </c>
      <c r="C12" s="372" t="s">
        <v>166</v>
      </c>
    </row>
    <row r="13" spans="1:3" ht="18" thickTop="1" thickBot="1" x14ac:dyDescent="0.35">
      <c r="A13" s="366" t="s">
        <v>363</v>
      </c>
    </row>
    <row r="14" spans="1:3" ht="22.2" thickTop="1" thickBot="1" x14ac:dyDescent="0.35">
      <c r="A14" s="410" t="s">
        <v>235</v>
      </c>
      <c r="C14" s="502" t="s">
        <v>271</v>
      </c>
    </row>
    <row r="15" spans="1:3" ht="18" thickTop="1" thickBot="1" x14ac:dyDescent="0.35">
      <c r="C15" s="449" t="s">
        <v>152</v>
      </c>
    </row>
    <row r="16" spans="1:3" ht="22.2" thickTop="1" thickBot="1" x14ac:dyDescent="0.35">
      <c r="A16" s="478" t="s">
        <v>73</v>
      </c>
      <c r="C16" s="450" t="s">
        <v>153</v>
      </c>
    </row>
    <row r="17" spans="1:3" ht="17.399999999999999" thickBot="1" x14ac:dyDescent="0.35">
      <c r="A17" s="85" t="s">
        <v>197</v>
      </c>
      <c r="C17" s="84"/>
    </row>
    <row r="18" spans="1:3" ht="16.2" thickTop="1" x14ac:dyDescent="0.3"/>
    <row r="20" spans="1:3" x14ac:dyDescent="0.3">
      <c r="A20" s="73"/>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
  <sheetViews>
    <sheetView showGridLines="0" zoomScaleNormal="100" workbookViewId="0"/>
  </sheetViews>
  <sheetFormatPr defaultColWidth="13" defaultRowHeight="15.6" x14ac:dyDescent="0.3"/>
  <cols>
    <col min="1" max="1" width="37.796875" style="29" bestFit="1" customWidth="1"/>
    <col min="2" max="2" width="11.296875" style="29" bestFit="1" customWidth="1"/>
    <col min="3" max="3" width="7.09765625" style="29" customWidth="1"/>
    <col min="4" max="4" width="8.19921875" style="29" customWidth="1"/>
    <col min="5" max="5" width="8.3984375" style="29" customWidth="1"/>
    <col min="6" max="6" width="8.3984375" style="29" bestFit="1" customWidth="1"/>
    <col min="7" max="7" width="7.8984375" style="29" bestFit="1" customWidth="1"/>
    <col min="8" max="10" width="5.59765625" style="29" customWidth="1"/>
    <col min="11" max="11" width="26" style="29" bestFit="1" customWidth="1"/>
    <col min="12" max="12" width="2" style="17" customWidth="1"/>
    <col min="13" max="13" width="5.8984375" style="17" bestFit="1" customWidth="1"/>
    <col min="14" max="16384" width="13" style="17"/>
  </cols>
  <sheetData>
    <row r="1" spans="1:13" ht="23.4" thickBot="1" x14ac:dyDescent="0.35">
      <c r="A1" s="16" t="s">
        <v>255</v>
      </c>
      <c r="B1" s="16"/>
      <c r="C1" s="16"/>
      <c r="D1" s="16"/>
      <c r="E1" s="16"/>
      <c r="F1" s="16"/>
      <c r="G1" s="16"/>
      <c r="H1" s="16"/>
      <c r="I1" s="16"/>
      <c r="J1" s="16"/>
      <c r="K1" s="16"/>
    </row>
    <row r="2" spans="1:13" ht="16.8" thickTop="1" thickBot="1" x14ac:dyDescent="0.35">
      <c r="A2" s="18" t="s">
        <v>6</v>
      </c>
      <c r="B2" s="19" t="s">
        <v>389</v>
      </c>
      <c r="C2" s="19" t="s">
        <v>25</v>
      </c>
      <c r="D2" s="19" t="s">
        <v>26</v>
      </c>
      <c r="E2" s="20" t="s">
        <v>65</v>
      </c>
      <c r="F2" s="19" t="s">
        <v>24</v>
      </c>
      <c r="G2" s="19" t="s">
        <v>27</v>
      </c>
      <c r="H2" s="21" t="s">
        <v>130</v>
      </c>
      <c r="I2" s="22" t="s">
        <v>151</v>
      </c>
      <c r="J2" s="21" t="s">
        <v>79</v>
      </c>
      <c r="K2" s="23" t="s">
        <v>5</v>
      </c>
      <c r="M2" s="269" t="s">
        <v>174</v>
      </c>
    </row>
    <row r="3" spans="1:13" x14ac:dyDescent="0.3">
      <c r="A3" s="389" t="s">
        <v>358</v>
      </c>
      <c r="B3" s="390" t="s">
        <v>388</v>
      </c>
      <c r="C3" s="469" t="str">
        <f>CONCATENATE("+",'Personal File'!$C$9*2," + 1")</f>
        <v>+10 + 1</v>
      </c>
      <c r="D3" s="561">
        <f>1+2</f>
        <v>3</v>
      </c>
      <c r="E3" s="411" t="s">
        <v>238</v>
      </c>
      <c r="F3" s="391" t="s">
        <v>199</v>
      </c>
      <c r="G3" s="408">
        <v>8</v>
      </c>
      <c r="H3" s="408" t="str">
        <f>CONCATENATE("+",'Personal File'!$B$7+'Personal File'!$C$9+D3+1)</f>
        <v>+23</v>
      </c>
      <c r="I3" s="392">
        <f t="shared" ref="I3:I15" ca="1" si="0">RANDBETWEEN(1,20)</f>
        <v>15</v>
      </c>
      <c r="J3" s="393">
        <f t="shared" ref="J3:J15" ca="1" si="1">I3+RIGHT(H3,2)</f>
        <v>38</v>
      </c>
      <c r="K3" s="438" t="s">
        <v>372</v>
      </c>
      <c r="M3" s="394">
        <v>21550</v>
      </c>
    </row>
    <row r="4" spans="1:13" x14ac:dyDescent="0.3">
      <c r="A4" s="400" t="s">
        <v>379</v>
      </c>
      <c r="B4" s="401" t="s">
        <v>388</v>
      </c>
      <c r="C4" s="470" t="str">
        <f>CONCATENATE("+",'Personal File'!$C$9*2," + 1")</f>
        <v>+10 + 1</v>
      </c>
      <c r="D4" s="562">
        <f t="shared" ref="D4:D6" si="2">1+2</f>
        <v>3</v>
      </c>
      <c r="E4" s="464" t="s">
        <v>238</v>
      </c>
      <c r="F4" s="403" t="s">
        <v>199</v>
      </c>
      <c r="G4" s="466"/>
      <c r="H4" s="406" t="str">
        <f t="shared" ref="H4:H5" si="3">CONCATENATE("+",H3-5)</f>
        <v>+18</v>
      </c>
      <c r="I4" s="405">
        <f t="shared" ca="1" si="0"/>
        <v>17</v>
      </c>
      <c r="J4" s="406">
        <f t="shared" ref="J4" ca="1" si="4">I4+RIGHT(H4,2)</f>
        <v>35</v>
      </c>
      <c r="K4" s="465" t="s">
        <v>373</v>
      </c>
      <c r="M4" s="395"/>
    </row>
    <row r="5" spans="1:13" x14ac:dyDescent="0.3">
      <c r="A5" s="400" t="s">
        <v>267</v>
      </c>
      <c r="B5" s="401" t="s">
        <v>388</v>
      </c>
      <c r="C5" s="470" t="str">
        <f>CONCATENATE("+",'Personal File'!$C$9*2," + 1")</f>
        <v>+10 + 1</v>
      </c>
      <c r="D5" s="562">
        <f t="shared" si="2"/>
        <v>3</v>
      </c>
      <c r="E5" s="464" t="s">
        <v>238</v>
      </c>
      <c r="F5" s="403" t="s">
        <v>199</v>
      </c>
      <c r="G5" s="466"/>
      <c r="H5" s="440" t="str">
        <f t="shared" si="3"/>
        <v>+13</v>
      </c>
      <c r="I5" s="405">
        <f t="shared" ca="1" si="0"/>
        <v>18</v>
      </c>
      <c r="J5" s="406">
        <f t="shared" ca="1" si="1"/>
        <v>31</v>
      </c>
      <c r="K5" s="465" t="s">
        <v>414</v>
      </c>
      <c r="M5" s="395"/>
    </row>
    <row r="6" spans="1:13" x14ac:dyDescent="0.3">
      <c r="A6" s="374" t="s">
        <v>268</v>
      </c>
      <c r="B6" s="375" t="s">
        <v>388</v>
      </c>
      <c r="C6" s="471" t="str">
        <f>CONCATENATE("+",'Personal File'!$C$9*2," + 1")</f>
        <v>+10 + 1</v>
      </c>
      <c r="D6" s="563">
        <f t="shared" si="2"/>
        <v>3</v>
      </c>
      <c r="E6" s="412" t="s">
        <v>238</v>
      </c>
      <c r="F6" s="377" t="s">
        <v>199</v>
      </c>
      <c r="G6" s="399"/>
      <c r="H6" s="398" t="str">
        <f>CONCATENATE("+",'Personal File'!$B$7+'Personal File'!$C$9+D6+1)</f>
        <v>+23</v>
      </c>
      <c r="I6" s="378">
        <f t="shared" ca="1" si="0"/>
        <v>10</v>
      </c>
      <c r="J6" s="379">
        <f t="shared" ref="J6" ca="1" si="5">I6+RIGHT(H6,2)</f>
        <v>33</v>
      </c>
      <c r="K6" s="380"/>
      <c r="M6" s="395"/>
    </row>
    <row r="7" spans="1:13" x14ac:dyDescent="0.3">
      <c r="A7" s="381" t="s">
        <v>192</v>
      </c>
      <c r="B7" s="382" t="s">
        <v>377</v>
      </c>
      <c r="C7" s="472" t="str">
        <f>CONCATENATE("+",'Personal File'!$C$9*2," - 1")</f>
        <v>+10 - 1</v>
      </c>
      <c r="D7" s="560" t="s">
        <v>175</v>
      </c>
      <c r="E7" s="383" t="s">
        <v>157</v>
      </c>
      <c r="F7" s="384" t="s">
        <v>158</v>
      </c>
      <c r="G7" s="385">
        <v>10</v>
      </c>
      <c r="H7" s="385" t="str">
        <f>CONCATENATE("+",'Personal File'!$B$7+'Personal File'!$C$9+D7)</f>
        <v>+20</v>
      </c>
      <c r="I7" s="386">
        <f t="shared" ca="1" si="0"/>
        <v>3</v>
      </c>
      <c r="J7" s="387">
        <f t="shared" ca="1" si="1"/>
        <v>23</v>
      </c>
      <c r="K7" s="388" t="s">
        <v>201</v>
      </c>
      <c r="M7" s="409">
        <v>405</v>
      </c>
    </row>
    <row r="8" spans="1:13" x14ac:dyDescent="0.3">
      <c r="A8" s="400" t="s">
        <v>379</v>
      </c>
      <c r="B8" s="401" t="s">
        <v>377</v>
      </c>
      <c r="C8" s="470" t="str">
        <f>CONCATENATE("+",'Personal File'!$C$9*2," - 1")</f>
        <v>+10 - 1</v>
      </c>
      <c r="D8" s="558" t="s">
        <v>175</v>
      </c>
      <c r="E8" s="402" t="s">
        <v>157</v>
      </c>
      <c r="F8" s="403" t="s">
        <v>158</v>
      </c>
      <c r="G8" s="467"/>
      <c r="H8" s="406" t="str">
        <f t="shared" ref="H8:H13" si="6">CONCATENATE("+",H7-5)</f>
        <v>+15</v>
      </c>
      <c r="I8" s="405">
        <f t="shared" ca="1" si="0"/>
        <v>14</v>
      </c>
      <c r="J8" s="406">
        <f t="shared" ca="1" si="1"/>
        <v>29</v>
      </c>
      <c r="K8" s="407"/>
      <c r="M8" s="395"/>
    </row>
    <row r="9" spans="1:13" x14ac:dyDescent="0.3">
      <c r="A9" s="400" t="s">
        <v>267</v>
      </c>
      <c r="B9" s="401" t="s">
        <v>377</v>
      </c>
      <c r="C9" s="470" t="str">
        <f>CONCATENATE("+",'Personal File'!$C$9*2," - 1")</f>
        <v>+10 - 1</v>
      </c>
      <c r="D9" s="558" t="s">
        <v>175</v>
      </c>
      <c r="E9" s="402" t="s">
        <v>157</v>
      </c>
      <c r="F9" s="403" t="s">
        <v>158</v>
      </c>
      <c r="G9" s="467"/>
      <c r="H9" s="440" t="str">
        <f t="shared" si="6"/>
        <v>+10</v>
      </c>
      <c r="I9" s="405">
        <f t="shared" ca="1" si="0"/>
        <v>4</v>
      </c>
      <c r="J9" s="406">
        <f t="shared" ref="J9:J10" ca="1" si="7">I9+RIGHT(H9,2)</f>
        <v>14</v>
      </c>
      <c r="K9" s="407"/>
      <c r="M9" s="468"/>
    </row>
    <row r="10" spans="1:13" x14ac:dyDescent="0.3">
      <c r="A10" s="374" t="s">
        <v>268</v>
      </c>
      <c r="B10" s="375" t="s">
        <v>377</v>
      </c>
      <c r="C10" s="471" t="str">
        <f>CONCATENATE("+",'Personal File'!$C$9*2," - 1")</f>
        <v>+10 - 1</v>
      </c>
      <c r="D10" s="559" t="s">
        <v>175</v>
      </c>
      <c r="E10" s="376" t="s">
        <v>157</v>
      </c>
      <c r="F10" s="377" t="s">
        <v>158</v>
      </c>
      <c r="G10" s="397"/>
      <c r="H10" s="398" t="str">
        <f>CONCATENATE("+",'Personal File'!$B$7+'Personal File'!$C$9+D10)</f>
        <v>+20</v>
      </c>
      <c r="I10" s="378">
        <f t="shared" ca="1" si="0"/>
        <v>5</v>
      </c>
      <c r="J10" s="379">
        <f t="shared" ca="1" si="7"/>
        <v>25</v>
      </c>
      <c r="K10" s="380"/>
      <c r="M10" s="468"/>
    </row>
    <row r="11" spans="1:13" x14ac:dyDescent="0.3">
      <c r="A11" s="381" t="s">
        <v>168</v>
      </c>
      <c r="B11" s="382" t="s">
        <v>376</v>
      </c>
      <c r="C11" s="472" t="str">
        <f>CONCATENATE("+",'Personal File'!$C$9*2)</f>
        <v>+10</v>
      </c>
      <c r="D11" s="560">
        <v>0</v>
      </c>
      <c r="E11" s="383" t="s">
        <v>195</v>
      </c>
      <c r="F11" s="384" t="s">
        <v>196</v>
      </c>
      <c r="G11" s="385" t="s">
        <v>178</v>
      </c>
      <c r="H11" s="385" t="str">
        <f>CONCATENATE("+",'Personal File'!$B$7+'Personal File'!$C$9+D11)</f>
        <v>+19</v>
      </c>
      <c r="I11" s="386">
        <f t="shared" ca="1" si="0"/>
        <v>6</v>
      </c>
      <c r="J11" s="387">
        <f t="shared" ca="1" si="1"/>
        <v>25</v>
      </c>
      <c r="K11" s="388"/>
      <c r="M11" s="282">
        <v>10</v>
      </c>
    </row>
    <row r="12" spans="1:13" x14ac:dyDescent="0.3">
      <c r="A12" s="400" t="s">
        <v>379</v>
      </c>
      <c r="B12" s="401" t="s">
        <v>376</v>
      </c>
      <c r="C12" s="470" t="str">
        <f>CONCATENATE("+",'Personal File'!$C$9*2)</f>
        <v>+10</v>
      </c>
      <c r="D12" s="558" t="s">
        <v>63</v>
      </c>
      <c r="E12" s="402" t="s">
        <v>195</v>
      </c>
      <c r="F12" s="403" t="s">
        <v>196</v>
      </c>
      <c r="G12" s="467"/>
      <c r="H12" s="406" t="str">
        <f t="shared" si="6"/>
        <v>+14</v>
      </c>
      <c r="I12" s="405">
        <f t="shared" ca="1" si="0"/>
        <v>17</v>
      </c>
      <c r="J12" s="406">
        <f t="shared" ca="1" si="1"/>
        <v>31</v>
      </c>
      <c r="K12" s="407"/>
      <c r="M12" s="395"/>
    </row>
    <row r="13" spans="1:13" x14ac:dyDescent="0.3">
      <c r="A13" s="400" t="s">
        <v>267</v>
      </c>
      <c r="B13" s="401" t="s">
        <v>376</v>
      </c>
      <c r="C13" s="470" t="str">
        <f>CONCATENATE("+",'Personal File'!$C$9*2)</f>
        <v>+10</v>
      </c>
      <c r="D13" s="558" t="s">
        <v>63</v>
      </c>
      <c r="E13" s="402" t="s">
        <v>195</v>
      </c>
      <c r="F13" s="403" t="s">
        <v>196</v>
      </c>
      <c r="G13" s="467"/>
      <c r="H13" s="440" t="str">
        <f t="shared" si="6"/>
        <v>+9</v>
      </c>
      <c r="I13" s="405">
        <f t="shared" ca="1" si="0"/>
        <v>9</v>
      </c>
      <c r="J13" s="406">
        <f t="shared" ref="J13:J14" ca="1" si="8">I13+RIGHT(H13,2)</f>
        <v>18</v>
      </c>
      <c r="K13" s="407"/>
      <c r="M13" s="468"/>
    </row>
    <row r="14" spans="1:13" x14ac:dyDescent="0.3">
      <c r="A14" s="374" t="s">
        <v>268</v>
      </c>
      <c r="B14" s="375" t="s">
        <v>376</v>
      </c>
      <c r="C14" s="471" t="str">
        <f>CONCATENATE("+",'Personal File'!$C$9*2)</f>
        <v>+10</v>
      </c>
      <c r="D14" s="559" t="s">
        <v>63</v>
      </c>
      <c r="E14" s="376" t="s">
        <v>195</v>
      </c>
      <c r="F14" s="377" t="s">
        <v>196</v>
      </c>
      <c r="G14" s="397"/>
      <c r="H14" s="398" t="str">
        <f>CONCATENATE("+",'Personal File'!$B$7+'Personal File'!$C$9+D14)</f>
        <v>+19</v>
      </c>
      <c r="I14" s="378">
        <f t="shared" ca="1" si="0"/>
        <v>14</v>
      </c>
      <c r="J14" s="379">
        <f t="shared" ca="1" si="8"/>
        <v>33</v>
      </c>
      <c r="K14" s="380"/>
      <c r="M14" s="468"/>
    </row>
    <row r="15" spans="1:13" ht="16.2" thickBot="1" x14ac:dyDescent="0.35">
      <c r="A15" s="265" t="s">
        <v>232</v>
      </c>
      <c r="B15" s="24" t="s">
        <v>204</v>
      </c>
      <c r="C15" s="25" t="s">
        <v>204</v>
      </c>
      <c r="D15" s="24">
        <v>0</v>
      </c>
      <c r="E15" s="24" t="s">
        <v>204</v>
      </c>
      <c r="F15" s="24" t="s">
        <v>204</v>
      </c>
      <c r="G15" s="26">
        <v>0</v>
      </c>
      <c r="H15" s="27" t="str">
        <f>CONCATENATE("+",'Personal File'!$B$7+'Personal File'!$C$9+D15)</f>
        <v>+19</v>
      </c>
      <c r="I15" s="370">
        <f t="shared" ca="1" si="0"/>
        <v>4</v>
      </c>
      <c r="J15" s="371">
        <f t="shared" ca="1" si="1"/>
        <v>23</v>
      </c>
      <c r="K15" s="28"/>
      <c r="M15" s="396"/>
    </row>
    <row r="16" spans="1:13" ht="16.8" thickTop="1" thickBot="1" x14ac:dyDescent="0.35"/>
    <row r="17" spans="1:13" ht="16.8" thickTop="1" thickBot="1" x14ac:dyDescent="0.35">
      <c r="A17" s="423" t="s">
        <v>8</v>
      </c>
      <c r="B17" s="424" t="s">
        <v>9</v>
      </c>
      <c r="C17" s="424" t="s">
        <v>25</v>
      </c>
      <c r="D17" s="424" t="s">
        <v>26</v>
      </c>
      <c r="E17" s="425" t="s">
        <v>65</v>
      </c>
      <c r="F17" s="424" t="s">
        <v>10</v>
      </c>
      <c r="G17" s="424" t="s">
        <v>27</v>
      </c>
      <c r="H17" s="426" t="s">
        <v>130</v>
      </c>
      <c r="I17" s="427" t="s">
        <v>151</v>
      </c>
      <c r="J17" s="426" t="s">
        <v>79</v>
      </c>
      <c r="K17" s="428" t="s">
        <v>5</v>
      </c>
      <c r="M17" s="269" t="s">
        <v>174</v>
      </c>
    </row>
    <row r="18" spans="1:13" x14ac:dyDescent="0.3">
      <c r="A18" s="400" t="s">
        <v>266</v>
      </c>
      <c r="B18" s="401" t="s">
        <v>376</v>
      </c>
      <c r="C18" s="439" t="s">
        <v>269</v>
      </c>
      <c r="D18" s="439" t="s">
        <v>175</v>
      </c>
      <c r="E18" s="401" t="s">
        <v>195</v>
      </c>
      <c r="F18" s="440" t="s">
        <v>253</v>
      </c>
      <c r="G18" s="404">
        <v>3</v>
      </c>
      <c r="H18" s="385" t="str">
        <f>CONCATENATE("+",'Personal File'!$B$7+'Personal File'!$C$10+D18)</f>
        <v>+16</v>
      </c>
      <c r="I18" s="386">
        <f ca="1">RANDBETWEEN(1,20)</f>
        <v>2</v>
      </c>
      <c r="J18" s="387">
        <f t="shared" ref="J18" ca="1" si="9">I18+RIGHT(H18,2)</f>
        <v>18</v>
      </c>
      <c r="K18" s="441"/>
      <c r="M18" s="409">
        <v>700</v>
      </c>
    </row>
    <row r="19" spans="1:13" x14ac:dyDescent="0.3">
      <c r="A19" s="400" t="s">
        <v>379</v>
      </c>
      <c r="B19" s="401" t="s">
        <v>376</v>
      </c>
      <c r="C19" s="439" t="s">
        <v>269</v>
      </c>
      <c r="D19" s="439" t="s">
        <v>175</v>
      </c>
      <c r="E19" s="401" t="s">
        <v>195</v>
      </c>
      <c r="F19" s="440" t="s">
        <v>253</v>
      </c>
      <c r="G19" s="467"/>
      <c r="H19" s="406" t="str">
        <f t="shared" ref="H19:H21" si="10">CONCATENATE("+",H18-5)</f>
        <v>+11</v>
      </c>
      <c r="I19" s="405">
        <f t="shared" ref="I19:I21" ca="1" si="11">RANDBETWEEN(1,20)</f>
        <v>16</v>
      </c>
      <c r="J19" s="406">
        <f t="shared" ref="J19:J21" ca="1" si="12">I19+RIGHT(H19,2)</f>
        <v>27</v>
      </c>
      <c r="K19" s="441"/>
      <c r="M19" s="468"/>
    </row>
    <row r="20" spans="1:13" x14ac:dyDescent="0.3">
      <c r="A20" s="400" t="s">
        <v>267</v>
      </c>
      <c r="B20" s="401" t="s">
        <v>376</v>
      </c>
      <c r="C20" s="439" t="s">
        <v>269</v>
      </c>
      <c r="D20" s="439" t="s">
        <v>175</v>
      </c>
      <c r="E20" s="401" t="s">
        <v>195</v>
      </c>
      <c r="F20" s="440" t="s">
        <v>253</v>
      </c>
      <c r="G20" s="467"/>
      <c r="H20" s="440" t="str">
        <f t="shared" si="10"/>
        <v>+6</v>
      </c>
      <c r="I20" s="405">
        <f t="shared" ca="1" si="11"/>
        <v>11</v>
      </c>
      <c r="J20" s="406">
        <f t="shared" ca="1" si="12"/>
        <v>17</v>
      </c>
      <c r="K20" s="441"/>
      <c r="M20" s="468"/>
    </row>
    <row r="21" spans="1:13" x14ac:dyDescent="0.3">
      <c r="A21" s="400" t="s">
        <v>268</v>
      </c>
      <c r="B21" s="401" t="s">
        <v>376</v>
      </c>
      <c r="C21" s="439" t="s">
        <v>269</v>
      </c>
      <c r="D21" s="439" t="s">
        <v>175</v>
      </c>
      <c r="E21" s="401" t="s">
        <v>195</v>
      </c>
      <c r="F21" s="440" t="s">
        <v>253</v>
      </c>
      <c r="G21" s="397"/>
      <c r="H21" s="398" t="str">
        <f t="shared" si="10"/>
        <v>+1</v>
      </c>
      <c r="I21" s="378">
        <f t="shared" ca="1" si="11"/>
        <v>7</v>
      </c>
      <c r="J21" s="379">
        <f t="shared" ca="1" si="12"/>
        <v>8</v>
      </c>
      <c r="K21" s="441"/>
      <c r="M21" s="468"/>
    </row>
    <row r="22" spans="1:13" ht="16.2" thickBot="1" x14ac:dyDescent="0.35">
      <c r="A22" s="265" t="s">
        <v>237</v>
      </c>
      <c r="B22" s="24" t="s">
        <v>378</v>
      </c>
      <c r="C22" s="429" t="s">
        <v>269</v>
      </c>
      <c r="D22" s="287" t="s">
        <v>63</v>
      </c>
      <c r="E22" s="430" t="s">
        <v>193</v>
      </c>
      <c r="F22" s="431" t="s">
        <v>194</v>
      </c>
      <c r="G22" s="27">
        <v>6</v>
      </c>
      <c r="H22" s="27" t="str">
        <f>CONCATENATE("+",'Personal File'!$B$7+'Personal File'!$C$10+D22)</f>
        <v>+15</v>
      </c>
      <c r="I22" s="370">
        <f ca="1">RANDBETWEEN(1,20)</f>
        <v>16</v>
      </c>
      <c r="J22" s="371">
        <f t="shared" ref="J22" ca="1" si="13">I22+RIGHT(H22,2)</f>
        <v>31</v>
      </c>
      <c r="K22" s="28"/>
      <c r="M22" s="289">
        <v>3</v>
      </c>
    </row>
    <row r="23" spans="1:13" ht="16.8" thickTop="1" thickBot="1" x14ac:dyDescent="0.35">
      <c r="D23" s="32"/>
      <c r="E23" s="32"/>
      <c r="G23" s="33"/>
      <c r="H23" s="33"/>
      <c r="I23" s="33"/>
      <c r="J23" s="33"/>
    </row>
    <row r="24" spans="1:13" ht="16.8" thickTop="1" thickBot="1" x14ac:dyDescent="0.35">
      <c r="A24" s="18" t="s">
        <v>69</v>
      </c>
      <c r="B24" s="19" t="s">
        <v>18</v>
      </c>
      <c r="C24" s="19" t="s">
        <v>34</v>
      </c>
      <c r="D24" s="19" t="s">
        <v>79</v>
      </c>
      <c r="E24" s="19" t="s">
        <v>80</v>
      </c>
      <c r="F24" s="19" t="s">
        <v>81</v>
      </c>
      <c r="G24" s="19" t="s">
        <v>27</v>
      </c>
      <c r="H24" s="34" t="s">
        <v>5</v>
      </c>
      <c r="I24" s="35"/>
      <c r="J24" s="35"/>
      <c r="K24" s="36"/>
      <c r="M24" s="269" t="s">
        <v>174</v>
      </c>
    </row>
    <row r="25" spans="1:13" x14ac:dyDescent="0.3">
      <c r="A25" s="489" t="s">
        <v>356</v>
      </c>
      <c r="B25" s="490">
        <f>8+3</f>
        <v>11</v>
      </c>
      <c r="C25" s="491">
        <v>8</v>
      </c>
      <c r="D25" s="490">
        <v>-5</v>
      </c>
      <c r="E25" s="492">
        <v>0.35</v>
      </c>
      <c r="F25" s="490" t="s">
        <v>202</v>
      </c>
      <c r="G25" s="493">
        <v>50</v>
      </c>
      <c r="H25" s="530" t="s">
        <v>360</v>
      </c>
      <c r="I25" s="531"/>
      <c r="J25" s="531"/>
      <c r="K25" s="532"/>
      <c r="M25" s="276">
        <v>10650</v>
      </c>
    </row>
    <row r="26" spans="1:13" x14ac:dyDescent="0.3">
      <c r="A26" s="494" t="s">
        <v>171</v>
      </c>
      <c r="B26" s="495" t="s">
        <v>204</v>
      </c>
      <c r="C26" s="496" t="s">
        <v>204</v>
      </c>
      <c r="D26" s="495" t="s">
        <v>204</v>
      </c>
      <c r="E26" s="497" t="s">
        <v>204</v>
      </c>
      <c r="F26" s="495" t="s">
        <v>204</v>
      </c>
      <c r="G26" s="498">
        <v>0</v>
      </c>
      <c r="H26" s="499" t="s">
        <v>357</v>
      </c>
      <c r="I26" s="500"/>
      <c r="J26" s="500"/>
      <c r="K26" s="501"/>
      <c r="M26" s="473">
        <v>500</v>
      </c>
    </row>
    <row r="27" spans="1:13" x14ac:dyDescent="0.3">
      <c r="A27" s="480" t="s">
        <v>203</v>
      </c>
      <c r="B27" s="481">
        <v>3</v>
      </c>
      <c r="C27" s="482">
        <v>0</v>
      </c>
      <c r="D27" s="481">
        <v>0</v>
      </c>
      <c r="E27" s="483">
        <v>0.15</v>
      </c>
      <c r="F27" s="481" t="s">
        <v>204</v>
      </c>
      <c r="G27" s="484">
        <v>5</v>
      </c>
      <c r="H27" s="485"/>
      <c r="I27" s="486"/>
      <c r="J27" s="486"/>
      <c r="K27" s="487"/>
      <c r="M27" s="409">
        <v>9257</v>
      </c>
    </row>
    <row r="28" spans="1:13" ht="16.2" thickBot="1" x14ac:dyDescent="0.35">
      <c r="A28" s="264" t="s">
        <v>250</v>
      </c>
      <c r="B28" s="30" t="s">
        <v>204</v>
      </c>
      <c r="C28" s="30" t="s">
        <v>204</v>
      </c>
      <c r="D28" s="30" t="s">
        <v>204</v>
      </c>
      <c r="E28" s="38" t="s">
        <v>204</v>
      </c>
      <c r="F28" s="338" t="s">
        <v>204</v>
      </c>
      <c r="G28" s="31">
        <v>0</v>
      </c>
      <c r="H28" s="488" t="s">
        <v>357</v>
      </c>
      <c r="I28" s="39"/>
      <c r="J28" s="39"/>
      <c r="K28" s="40"/>
      <c r="M28" s="289">
        <v>500</v>
      </c>
    </row>
    <row r="29" spans="1:13" ht="16.8" thickTop="1" thickBot="1" x14ac:dyDescent="0.35"/>
    <row r="30" spans="1:13" ht="16.8" thickTop="1" thickBot="1" x14ac:dyDescent="0.35">
      <c r="A30" s="41"/>
      <c r="B30" s="33"/>
      <c r="D30" s="42" t="s">
        <v>70</v>
      </c>
      <c r="E30" s="43"/>
      <c r="F30" s="34" t="s">
        <v>7</v>
      </c>
      <c r="G30" s="19" t="s">
        <v>27</v>
      </c>
      <c r="H30" s="21" t="s">
        <v>130</v>
      </c>
      <c r="I30" s="21"/>
      <c r="J30" s="35"/>
      <c r="K30" s="44" t="s">
        <v>5</v>
      </c>
      <c r="M30" s="269" t="s">
        <v>174</v>
      </c>
    </row>
    <row r="31" spans="1:13" x14ac:dyDescent="0.3">
      <c r="A31" s="41"/>
      <c r="B31" s="33"/>
      <c r="D31" s="442" t="s">
        <v>254</v>
      </c>
      <c r="E31" s="45"/>
      <c r="F31" s="46">
        <v>50</v>
      </c>
      <c r="G31" s="47">
        <f>F31/20</f>
        <v>2.5</v>
      </c>
      <c r="H31" s="48" t="s">
        <v>63</v>
      </c>
      <c r="I31" s="48"/>
      <c r="J31" s="37"/>
      <c r="K31" s="49"/>
      <c r="M31" s="276">
        <v>0</v>
      </c>
    </row>
    <row r="32" spans="1:13" ht="16.2" thickBot="1" x14ac:dyDescent="0.35">
      <c r="D32" s="50"/>
      <c r="E32" s="51"/>
      <c r="F32" s="52"/>
      <c r="G32" s="53"/>
      <c r="H32" s="54"/>
      <c r="I32" s="54"/>
      <c r="J32" s="55"/>
      <c r="K32" s="56"/>
      <c r="M32" s="289"/>
    </row>
    <row r="33" spans="4:13" ht="16.8" thickTop="1" thickBot="1" x14ac:dyDescent="0.35"/>
    <row r="34" spans="4:13" ht="16.8" thickTop="1" thickBot="1" x14ac:dyDescent="0.35">
      <c r="D34" s="42" t="s">
        <v>172</v>
      </c>
      <c r="E34" s="35"/>
      <c r="F34" s="35"/>
      <c r="G34" s="35"/>
      <c r="H34" s="267" t="s">
        <v>7</v>
      </c>
      <c r="I34" s="267" t="s">
        <v>4</v>
      </c>
      <c r="J34" s="267" t="s">
        <v>173</v>
      </c>
      <c r="K34" s="36" t="s">
        <v>77</v>
      </c>
      <c r="L34" s="268"/>
      <c r="M34" s="269" t="s">
        <v>174</v>
      </c>
    </row>
    <row r="35" spans="4:13" x14ac:dyDescent="0.3">
      <c r="D35" s="270" t="s">
        <v>249</v>
      </c>
      <c r="E35" s="271"/>
      <c r="F35" s="271"/>
      <c r="G35" s="272"/>
      <c r="H35" s="273">
        <v>1</v>
      </c>
      <c r="I35" s="274">
        <v>2</v>
      </c>
      <c r="J35" s="274">
        <v>4</v>
      </c>
      <c r="K35" s="275"/>
      <c r="L35" s="268"/>
      <c r="M35" s="276">
        <f>250*H35</f>
        <v>250</v>
      </c>
    </row>
    <row r="36" spans="4:13" x14ac:dyDescent="0.3">
      <c r="D36" s="564" t="s">
        <v>390</v>
      </c>
      <c r="E36" s="565"/>
      <c r="F36" s="565"/>
      <c r="G36" s="566"/>
      <c r="H36" s="567">
        <v>0</v>
      </c>
      <c r="I36" s="375">
        <v>2</v>
      </c>
      <c r="J36" s="375">
        <v>4</v>
      </c>
      <c r="K36" s="568"/>
      <c r="L36" s="268"/>
      <c r="M36" s="409">
        <f>250*H36</f>
        <v>0</v>
      </c>
    </row>
    <row r="37" spans="4:13" x14ac:dyDescent="0.3">
      <c r="D37" s="277" t="s">
        <v>251</v>
      </c>
      <c r="E37" s="278"/>
      <c r="F37" s="278"/>
      <c r="G37" s="279"/>
      <c r="H37" s="280">
        <v>1</v>
      </c>
      <c r="I37" s="15">
        <v>1</v>
      </c>
      <c r="J37" s="15">
        <v>1</v>
      </c>
      <c r="K37" s="281" t="s">
        <v>252</v>
      </c>
      <c r="L37" s="268"/>
      <c r="M37" s="282">
        <v>750</v>
      </c>
    </row>
    <row r="38" spans="4:13" ht="16.2" thickBot="1" x14ac:dyDescent="0.35">
      <c r="D38" s="283" t="s">
        <v>270</v>
      </c>
      <c r="E38" s="284"/>
      <c r="F38" s="284"/>
      <c r="G38" s="285"/>
      <c r="H38" s="286" t="s">
        <v>175</v>
      </c>
      <c r="I38" s="287">
        <v>2</v>
      </c>
      <c r="J38" s="287">
        <v>4</v>
      </c>
      <c r="K38" s="288"/>
      <c r="L38" s="268"/>
      <c r="M38" s="289">
        <f>H38*300</f>
        <v>300</v>
      </c>
    </row>
    <row r="39" spans="4:13" ht="16.2" thickTop="1" x14ac:dyDescent="0.3"/>
  </sheetData>
  <phoneticPr fontId="0" type="noConversion"/>
  <conditionalFormatting sqref="I3:I15">
    <cfRule type="cellIs" dxfId="5" priority="3" operator="equal">
      <formula>20</formula>
    </cfRule>
    <cfRule type="cellIs" dxfId="4" priority="4" operator="equal">
      <formula>1</formula>
    </cfRule>
  </conditionalFormatting>
  <conditionalFormatting sqref="I18:I22">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13" defaultRowHeight="15.6" x14ac:dyDescent="0.3"/>
  <cols>
    <col min="1" max="1" width="27.5" style="29" bestFit="1" customWidth="1"/>
    <col min="2" max="2" width="4.69921875" style="29" bestFit="1" customWidth="1"/>
    <col min="3" max="3" width="4.3984375" style="33" bestFit="1" customWidth="1"/>
    <col min="4" max="4" width="14.5" style="17" bestFit="1" customWidth="1"/>
    <col min="5" max="5" width="15.19921875" style="17" bestFit="1" customWidth="1"/>
    <col min="6" max="6" width="2.69921875" style="17" customWidth="1"/>
    <col min="7" max="7" width="8.296875" style="17" bestFit="1" customWidth="1"/>
    <col min="8" max="16384" width="13" style="17"/>
  </cols>
  <sheetData>
    <row r="1" spans="1:7" ht="23.4" thickBot="1" x14ac:dyDescent="0.35">
      <c r="A1" s="16" t="s">
        <v>74</v>
      </c>
      <c r="B1" s="16"/>
      <c r="C1" s="57"/>
      <c r="D1" s="16"/>
      <c r="E1" s="16"/>
    </row>
    <row r="2" spans="1:7" s="29" customFormat="1" ht="16.8" thickTop="1" thickBot="1" x14ac:dyDescent="0.35">
      <c r="A2" s="58" t="s">
        <v>75</v>
      </c>
      <c r="B2" s="58" t="s">
        <v>7</v>
      </c>
      <c r="C2" s="59" t="s">
        <v>27</v>
      </c>
      <c r="D2" s="60" t="s">
        <v>76</v>
      </c>
      <c r="E2" s="61" t="s">
        <v>77</v>
      </c>
      <c r="G2" s="290" t="s">
        <v>174</v>
      </c>
    </row>
    <row r="3" spans="1:7" x14ac:dyDescent="0.3">
      <c r="A3" s="231" t="s">
        <v>167</v>
      </c>
      <c r="B3" s="435">
        <v>1</v>
      </c>
      <c r="C3" s="63">
        <v>0</v>
      </c>
      <c r="D3" s="64"/>
      <c r="E3" s="65"/>
      <c r="G3" s="291">
        <v>25</v>
      </c>
    </row>
    <row r="4" spans="1:7" x14ac:dyDescent="0.3">
      <c r="A4" s="62" t="s">
        <v>335</v>
      </c>
      <c r="B4" s="433">
        <v>1</v>
      </c>
      <c r="C4" s="67" t="s">
        <v>154</v>
      </c>
      <c r="D4" s="64"/>
      <c r="E4" s="65"/>
      <c r="G4" s="335" t="s">
        <v>204</v>
      </c>
    </row>
    <row r="5" spans="1:7" x14ac:dyDescent="0.3">
      <c r="A5" s="62" t="s">
        <v>149</v>
      </c>
      <c r="B5" s="432">
        <v>1</v>
      </c>
      <c r="C5" s="63">
        <v>0.5</v>
      </c>
      <c r="D5" s="68"/>
      <c r="E5" s="69"/>
      <c r="G5" s="337">
        <v>0.5</v>
      </c>
    </row>
    <row r="6" spans="1:7" x14ac:dyDescent="0.3">
      <c r="A6" s="62" t="s">
        <v>354</v>
      </c>
      <c r="B6" s="432">
        <v>4</v>
      </c>
      <c r="C6" s="266">
        <v>0</v>
      </c>
      <c r="D6" s="68"/>
      <c r="E6" s="69"/>
      <c r="G6" s="291">
        <f>1000*B6</f>
        <v>4000</v>
      </c>
    </row>
    <row r="7" spans="1:7" x14ac:dyDescent="0.3">
      <c r="A7" s="62" t="s">
        <v>375</v>
      </c>
      <c r="B7" s="550">
        <v>1</v>
      </c>
      <c r="C7" s="550">
        <v>0.5</v>
      </c>
      <c r="D7" s="67"/>
      <c r="E7" s="551"/>
      <c r="F7" s="552"/>
      <c r="G7" s="553">
        <v>750</v>
      </c>
    </row>
    <row r="8" spans="1:7" x14ac:dyDescent="0.3">
      <c r="A8" s="62" t="s">
        <v>264</v>
      </c>
      <c r="B8" s="432">
        <v>1</v>
      </c>
      <c r="C8" s="266">
        <v>0</v>
      </c>
      <c r="D8" s="68"/>
      <c r="E8" s="69"/>
      <c r="G8" s="291">
        <v>4000</v>
      </c>
    </row>
    <row r="9" spans="1:7" x14ac:dyDescent="0.3">
      <c r="A9" s="62" t="s">
        <v>247</v>
      </c>
      <c r="B9" s="432">
        <v>1</v>
      </c>
      <c r="C9" s="266">
        <v>1</v>
      </c>
      <c r="D9" s="68"/>
      <c r="E9" s="69"/>
      <c r="G9" s="291">
        <v>4000</v>
      </c>
    </row>
    <row r="10" spans="1:7" x14ac:dyDescent="0.3">
      <c r="A10" s="62" t="s">
        <v>169</v>
      </c>
      <c r="B10" s="432">
        <v>1</v>
      </c>
      <c r="C10" s="266">
        <v>2</v>
      </c>
      <c r="D10" s="68"/>
      <c r="E10" s="69"/>
      <c r="G10" s="291">
        <v>4000</v>
      </c>
    </row>
    <row r="11" spans="1:7" ht="16.2" thickBot="1" x14ac:dyDescent="0.35">
      <c r="A11" s="334" t="s">
        <v>170</v>
      </c>
      <c r="B11" s="434">
        <v>1</v>
      </c>
      <c r="C11" s="222">
        <v>0</v>
      </c>
      <c r="D11" s="223"/>
      <c r="E11" s="224"/>
      <c r="G11" s="292">
        <v>4000</v>
      </c>
    </row>
    <row r="12" spans="1:7" ht="24" thickTop="1" thickBot="1" x14ac:dyDescent="0.35">
      <c r="A12" s="16" t="s">
        <v>78</v>
      </c>
      <c r="B12" s="16"/>
      <c r="C12" s="225"/>
      <c r="D12" s="16"/>
      <c r="E12" s="226"/>
    </row>
    <row r="13" spans="1:7" ht="16.8" thickTop="1" thickBot="1" x14ac:dyDescent="0.35">
      <c r="A13" s="58" t="s">
        <v>75</v>
      </c>
      <c r="B13" s="58" t="s">
        <v>7</v>
      </c>
      <c r="C13" s="59" t="s">
        <v>27</v>
      </c>
      <c r="D13" s="60" t="s">
        <v>76</v>
      </c>
      <c r="E13" s="61" t="s">
        <v>77</v>
      </c>
      <c r="G13" s="290" t="s">
        <v>174</v>
      </c>
    </row>
    <row r="14" spans="1:7" x14ac:dyDescent="0.3">
      <c r="A14" s="66" t="s">
        <v>150</v>
      </c>
      <c r="B14" s="433">
        <v>1</v>
      </c>
      <c r="C14" s="63">
        <v>0</v>
      </c>
      <c r="D14" s="227"/>
      <c r="E14" s="65"/>
      <c r="G14" s="291">
        <v>0</v>
      </c>
    </row>
    <row r="15" spans="1:7" x14ac:dyDescent="0.3">
      <c r="A15" s="463" t="s">
        <v>265</v>
      </c>
      <c r="B15" s="460">
        <v>1</v>
      </c>
      <c r="C15" s="266">
        <v>5</v>
      </c>
      <c r="D15" s="461"/>
      <c r="E15" s="69"/>
      <c r="G15" s="462">
        <v>3000</v>
      </c>
    </row>
    <row r="16" spans="1:7" ht="16.2" thickBot="1" x14ac:dyDescent="0.35">
      <c r="A16" s="334" t="s">
        <v>273</v>
      </c>
      <c r="B16" s="434">
        <v>1</v>
      </c>
      <c r="C16" s="222">
        <v>0.2</v>
      </c>
      <c r="D16" s="546" t="s">
        <v>370</v>
      </c>
      <c r="E16" s="224"/>
      <c r="G16" s="292" t="s">
        <v>274</v>
      </c>
    </row>
    <row r="17" spans="1:7" ht="24" thickTop="1" thickBot="1" x14ac:dyDescent="0.35">
      <c r="A17" s="184"/>
      <c r="B17" s="184"/>
      <c r="D17" s="230" t="s">
        <v>176</v>
      </c>
      <c r="E17" s="226"/>
    </row>
    <row r="18" spans="1:7" ht="16.8" thickTop="1" thickBot="1" x14ac:dyDescent="0.35">
      <c r="A18" s="58" t="s">
        <v>75</v>
      </c>
      <c r="B18" s="58" t="s">
        <v>7</v>
      </c>
      <c r="C18" s="59" t="s">
        <v>27</v>
      </c>
      <c r="D18" s="60" t="s">
        <v>76</v>
      </c>
      <c r="E18" s="61" t="s">
        <v>77</v>
      </c>
      <c r="G18" s="290" t="s">
        <v>174</v>
      </c>
    </row>
    <row r="19" spans="1:7" x14ac:dyDescent="0.3">
      <c r="A19" s="231" t="s">
        <v>147</v>
      </c>
      <c r="B19" s="435">
        <v>1</v>
      </c>
      <c r="C19" s="232">
        <v>8</v>
      </c>
      <c r="D19" s="227"/>
      <c r="E19" s="65"/>
      <c r="G19" s="291">
        <v>0</v>
      </c>
    </row>
    <row r="20" spans="1:7" x14ac:dyDescent="0.3">
      <c r="A20" s="66" t="s">
        <v>148</v>
      </c>
      <c r="B20" s="433">
        <v>1</v>
      </c>
      <c r="C20" s="63">
        <v>30</v>
      </c>
      <c r="D20" s="227"/>
      <c r="E20" s="65"/>
      <c r="G20" s="291">
        <v>0</v>
      </c>
    </row>
    <row r="21" spans="1:7" x14ac:dyDescent="0.3">
      <c r="A21" s="62" t="s">
        <v>177</v>
      </c>
      <c r="B21" s="432">
        <v>1</v>
      </c>
      <c r="C21" s="63">
        <v>10</v>
      </c>
      <c r="D21" s="233"/>
      <c r="E21" s="65"/>
      <c r="G21" s="335"/>
    </row>
    <row r="22" spans="1:7" ht="16.2" thickBot="1" x14ac:dyDescent="0.35">
      <c r="A22" s="228"/>
      <c r="B22" s="436"/>
      <c r="C22" s="222"/>
      <c r="D22" s="229"/>
      <c r="E22" s="224"/>
      <c r="G22" s="292"/>
    </row>
    <row r="23" spans="1:7" ht="23.4" thickTop="1" x14ac:dyDescent="0.3">
      <c r="A23" s="184" t="s">
        <v>156</v>
      </c>
      <c r="B23" s="33">
        <f>SUM(C19:C22)</f>
        <v>48</v>
      </c>
      <c r="C23" s="17"/>
      <c r="D23" s="234"/>
      <c r="E23" s="226"/>
    </row>
    <row r="24" spans="1:7" x14ac:dyDescent="0.3">
      <c r="E24" s="184" t="s">
        <v>200</v>
      </c>
      <c r="G24" s="336">
        <f>SUM(Martial!M3:M38,Equipment!G3:G22)</f>
        <v>68650.5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x14ac:dyDescent="0.3"/>
  <cols>
    <col min="1" max="1" width="13.296875" style="184" bestFit="1" customWidth="1"/>
    <col min="2" max="2" width="10.5" style="332" customWidth="1"/>
    <col min="3" max="3" width="5.8984375" style="332" customWidth="1"/>
    <col min="4" max="4" width="13.69921875" style="184" bestFit="1" customWidth="1"/>
    <col min="5" max="5" width="9.59765625" style="332" bestFit="1" customWidth="1"/>
    <col min="6" max="6" width="15.19921875" style="184" bestFit="1" customWidth="1"/>
    <col min="7" max="7" width="6.8984375" style="332" bestFit="1" customWidth="1"/>
    <col min="8" max="16384" width="13" style="268"/>
  </cols>
  <sheetData>
    <row r="1" spans="1:7" ht="29.4" thickTop="1" thickBot="1" x14ac:dyDescent="0.35">
      <c r="A1" s="293" t="s">
        <v>226</v>
      </c>
      <c r="B1" s="294"/>
      <c r="C1" s="294"/>
      <c r="D1" s="295"/>
      <c r="E1" s="296"/>
      <c r="F1" s="297"/>
      <c r="G1" s="298" t="s">
        <v>189</v>
      </c>
    </row>
    <row r="2" spans="1:7" ht="17.399999999999999" thickTop="1" x14ac:dyDescent="0.3">
      <c r="A2" s="194" t="s">
        <v>0</v>
      </c>
      <c r="B2" s="333" t="s">
        <v>191</v>
      </c>
      <c r="C2" s="299"/>
      <c r="D2" s="196" t="s">
        <v>1</v>
      </c>
      <c r="E2" s="197" t="s">
        <v>179</v>
      </c>
      <c r="F2" s="196" t="s">
        <v>180</v>
      </c>
      <c r="G2" s="300" t="s">
        <v>190</v>
      </c>
    </row>
    <row r="3" spans="1:7" ht="17.399999999999999" thickBot="1" x14ac:dyDescent="0.35">
      <c r="A3" s="301" t="s">
        <v>181</v>
      </c>
      <c r="B3" s="302" t="s">
        <v>182</v>
      </c>
      <c r="C3" s="303"/>
      <c r="D3" s="304"/>
      <c r="E3" s="305"/>
      <c r="F3" s="304" t="s">
        <v>183</v>
      </c>
      <c r="G3" s="306" t="s">
        <v>120</v>
      </c>
    </row>
    <row r="4" spans="1:7" ht="17.399999999999999" thickTop="1" x14ac:dyDescent="0.3">
      <c r="A4" s="202" t="s">
        <v>2</v>
      </c>
      <c r="B4" s="307">
        <v>19</v>
      </c>
      <c r="C4" s="308" t="str">
        <f t="shared" ref="C4:C9" si="0">IF(B4&gt;9.9,CONCATENATE("+",ROUNDDOWN((B4-10)/2,0)),ROUNDUP((B4-10)/2,0))</f>
        <v>+4</v>
      </c>
      <c r="D4" s="309" t="s">
        <v>15</v>
      </c>
      <c r="E4" s="310">
        <v>45</v>
      </c>
      <c r="F4" s="311">
        <v>45</v>
      </c>
      <c r="G4" s="312"/>
    </row>
    <row r="5" spans="1:7" ht="17.399999999999999" thickBot="1" x14ac:dyDescent="0.35">
      <c r="A5" s="205" t="s">
        <v>3</v>
      </c>
      <c r="B5" s="313">
        <v>13</v>
      </c>
      <c r="C5" s="314" t="str">
        <f t="shared" si="0"/>
        <v>+1</v>
      </c>
      <c r="D5" s="315" t="s">
        <v>184</v>
      </c>
      <c r="E5" s="316">
        <v>10</v>
      </c>
      <c r="F5" s="317">
        <v>22</v>
      </c>
      <c r="G5" s="318"/>
    </row>
    <row r="6" spans="1:7" ht="17.399999999999999" thickTop="1" x14ac:dyDescent="0.3">
      <c r="A6" s="209" t="s">
        <v>13</v>
      </c>
      <c r="B6" s="313">
        <v>17</v>
      </c>
      <c r="C6" s="314" t="str">
        <f t="shared" si="0"/>
        <v>+3</v>
      </c>
      <c r="D6" s="319" t="s">
        <v>185</v>
      </c>
      <c r="E6" s="320">
        <v>5</v>
      </c>
      <c r="F6" s="321"/>
      <c r="G6" s="318"/>
    </row>
    <row r="7" spans="1:7" ht="16.8" x14ac:dyDescent="0.3">
      <c r="A7" s="322" t="s">
        <v>14</v>
      </c>
      <c r="B7" s="313">
        <v>6</v>
      </c>
      <c r="C7" s="314">
        <f t="shared" si="0"/>
        <v>-2</v>
      </c>
      <c r="D7" s="319" t="s">
        <v>186</v>
      </c>
      <c r="E7" s="323">
        <v>10</v>
      </c>
      <c r="F7" s="324"/>
      <c r="G7" s="318"/>
    </row>
    <row r="8" spans="1:7" ht="16.8" x14ac:dyDescent="0.3">
      <c r="A8" s="214" t="s">
        <v>16</v>
      </c>
      <c r="B8" s="313">
        <v>11</v>
      </c>
      <c r="C8" s="325" t="str">
        <f t="shared" si="0"/>
        <v>+0</v>
      </c>
      <c r="D8" s="326" t="s">
        <v>187</v>
      </c>
      <c r="E8" s="323">
        <v>5</v>
      </c>
      <c r="F8" s="324"/>
      <c r="G8" s="318"/>
    </row>
    <row r="9" spans="1:7" ht="17.399999999999999" thickBot="1" x14ac:dyDescent="0.35">
      <c r="A9" s="216" t="s">
        <v>12</v>
      </c>
      <c r="B9" s="327">
        <v>4</v>
      </c>
      <c r="C9" s="328">
        <f t="shared" si="0"/>
        <v>-3</v>
      </c>
      <c r="D9" s="329" t="s">
        <v>188</v>
      </c>
      <c r="E9" s="330">
        <v>4</v>
      </c>
      <c r="F9" s="324"/>
      <c r="G9" s="318"/>
    </row>
    <row r="10" spans="1:7" ht="17.399999999999999" thickTop="1" x14ac:dyDescent="0.3">
      <c r="A10" s="194"/>
      <c r="B10" s="201"/>
      <c r="C10" s="201"/>
      <c r="D10" s="201"/>
      <c r="E10" s="199"/>
      <c r="F10" s="331"/>
      <c r="G10" s="318"/>
    </row>
    <row r="11" spans="1:7" ht="16.8" x14ac:dyDescent="0.3">
      <c r="A11" s="218"/>
      <c r="B11" s="201"/>
      <c r="C11" s="201"/>
      <c r="D11" s="201"/>
      <c r="E11" s="199"/>
      <c r="F11" s="201"/>
      <c r="G11" s="199"/>
    </row>
    <row r="12" spans="1:7" ht="17.399999999999999" thickBot="1" x14ac:dyDescent="0.35">
      <c r="A12" s="219"/>
      <c r="B12" s="220"/>
      <c r="C12" s="220"/>
      <c r="D12" s="220"/>
      <c r="E12" s="221"/>
      <c r="F12" s="220"/>
      <c r="G12" s="221"/>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Skills</vt:lpstr>
      <vt:lpstr>Sune</vt:lpstr>
      <vt:lpstr>Spells</vt:lpstr>
      <vt:lpstr>Feats</vt:lpstr>
      <vt:lpstr>Martial</vt:lpstr>
      <vt:lpstr>Equipment</vt:lpstr>
      <vt:lpstr>Mount</vt:lpstr>
      <vt:lpstr>Feats!OLE_LINK1</vt:lpstr>
      <vt:lpstr>Mount!Print_Area</vt:lpstr>
      <vt:lpstr>'Personal File'!Print_Area</vt:lpstr>
      <vt:lpstr>Skills!Print_Area</vt:lpstr>
      <vt:lpstr>Sune!Print_Area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2024-07-21T18:25:58Z</dcterms:modified>
</cp:coreProperties>
</file>