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A\Juegos\FoL\NPCs\"/>
    </mc:Choice>
  </mc:AlternateContent>
  <xr:revisionPtr revIDLastSave="0" documentId="13_ncr:1_{3D2BC03D-830D-439D-B818-8F8EE9B9BB7C}"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Favored Soul" sheetId="25" r:id="rId3"/>
    <sheet name="Harrier" sheetId="28" r:id="rId4"/>
    <sheet name="Spells" sheetId="27" r:id="rId5"/>
    <sheet name="Feats" sheetId="20" r:id="rId6"/>
    <sheet name="Martial" sheetId="6" r:id="rId7"/>
    <sheet name="Equipment" sheetId="19" r:id="rId8"/>
    <sheet name="Deity" sheetId="29" r:id="rId9"/>
    <sheet name="XP Awards" sheetId="26" r:id="rId10"/>
  </sheets>
  <definedNames>
    <definedName name="OLE_LINK1" localSheetId="5">Feats!#REF!</definedName>
    <definedName name="OLE_LINK1" localSheetId="4">Spells!#REF!</definedName>
    <definedName name="_xlnm.Print_Area" localSheetId="7">Equipment!#REF!</definedName>
    <definedName name="_xlnm.Print_Area" localSheetId="2">'Favored Soul'!$A$1:$J$10</definedName>
    <definedName name="_xlnm.Print_Area" localSheetId="5">Feats!#REF!</definedName>
    <definedName name="_xlnm.Print_Area" localSheetId="3">Harrier!$A$1:$I$11</definedName>
    <definedName name="_xlnm.Print_Area" localSheetId="6">Martial!#REF!</definedName>
    <definedName name="_xlnm.Print_Area" localSheetId="0">'Personal File'!$A$1:$H$77</definedName>
    <definedName name="_xlnm.Print_Area" localSheetId="1">Skills!$A$1:$K$27</definedName>
    <definedName name="_xlnm.Print_Area" localSheetId="4">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4" l="1"/>
  <c r="G23" i="19" l="1"/>
  <c r="B13" i="4" l="1"/>
  <c r="N12" i="27" l="1"/>
  <c r="P12" i="27"/>
  <c r="E5" i="27"/>
  <c r="K11" i="27" l="1"/>
  <c r="L11" i="27" l="1"/>
  <c r="N11" i="27"/>
  <c r="P11" i="27"/>
  <c r="B5" i="15"/>
  <c r="B18" i="4" l="1"/>
  <c r="H21" i="6" l="1"/>
  <c r="I21" i="6"/>
  <c r="J21" i="6" l="1"/>
  <c r="B4" i="15" l="1"/>
  <c r="B3" i="15"/>
  <c r="M22" i="6" l="1"/>
  <c r="M3" i="6"/>
  <c r="E14" i="4" l="1"/>
  <c r="G55" i="19"/>
  <c r="G46" i="19"/>
  <c r="G47" i="19"/>
  <c r="G45" i="19"/>
  <c r="G64" i="19"/>
  <c r="G65" i="19"/>
  <c r="M8" i="6" l="1"/>
  <c r="M29" i="6"/>
  <c r="L12" i="27" l="1"/>
  <c r="K12" i="27"/>
  <c r="I12" i="6" l="1"/>
  <c r="I13" i="6"/>
  <c r="C73" i="19"/>
  <c r="C57" i="19"/>
  <c r="C67" i="19"/>
  <c r="G34" i="6"/>
  <c r="F39" i="15" l="1"/>
  <c r="F33" i="15"/>
  <c r="F26" i="15"/>
  <c r="F23" i="15"/>
  <c r="F21" i="15"/>
  <c r="F16" i="15"/>
  <c r="F9" i="15"/>
  <c r="F7" i="15"/>
  <c r="H40"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I11" i="6" l="1"/>
  <c r="I9" i="6"/>
  <c r="I8" i="6"/>
  <c r="B1" i="26" l="1"/>
  <c r="J5" i="27" l="1"/>
  <c r="E22" i="27"/>
  <c r="E23" i="27" s="1"/>
  <c r="E24" i="27" s="1"/>
  <c r="E25" i="27" s="1"/>
  <c r="D16" i="27"/>
  <c r="D18" i="27" s="1"/>
  <c r="D19" i="27" s="1"/>
  <c r="C18" i="27"/>
  <c r="C19" i="27" s="1"/>
  <c r="C20" i="27" s="1"/>
  <c r="C21" i="27" s="1"/>
  <c r="C22" i="27" s="1"/>
  <c r="C23" i="27" s="1"/>
  <c r="C24" i="27" s="1"/>
  <c r="C25" i="27" s="1"/>
  <c r="D5" i="27"/>
  <c r="C5" i="27"/>
  <c r="B5" i="27"/>
  <c r="B42" i="15"/>
  <c r="M38" i="6" l="1"/>
  <c r="G91" i="19" s="1"/>
  <c r="I3" i="6" l="1"/>
  <c r="I4" i="6"/>
  <c r="I6" i="6"/>
  <c r="I20" i="6" l="1"/>
  <c r="H20" i="6"/>
  <c r="J20" i="6" l="1"/>
  <c r="I25" i="6" l="1"/>
  <c r="I23" i="6"/>
  <c r="I15" i="6"/>
  <c r="C62" i="19" l="1"/>
  <c r="E21" i="19" s="1"/>
  <c r="C12" i="26" l="1"/>
  <c r="B16" i="26" s="1"/>
  <c r="B18" i="26" s="1"/>
  <c r="B20" i="26" s="1"/>
  <c r="I19" i="6" l="1"/>
  <c r="I22" i="6"/>
  <c r="G35" i="6" l="1"/>
  <c r="H41" i="15" l="1"/>
  <c r="H39" i="15"/>
  <c r="H3" i="15" l="1"/>
  <c r="H4" i="15"/>
  <c r="H5" i="15"/>
  <c r="H6" i="15"/>
  <c r="C13" i="4" l="1"/>
  <c r="H6" i="6" l="1"/>
  <c r="J6" i="6" s="1"/>
  <c r="H4" i="6"/>
  <c r="J4" i="6" s="1"/>
  <c r="H3" i="6"/>
  <c r="J3" i="6" s="1"/>
  <c r="C14" i="6"/>
  <c r="C9" i="6"/>
  <c r="C6" i="6"/>
  <c r="C3" i="6"/>
  <c r="C8" i="6"/>
  <c r="C5" i="6"/>
  <c r="C4" i="6"/>
  <c r="C12" i="6"/>
  <c r="C10" i="6"/>
  <c r="C11" i="6"/>
  <c r="C13" i="6"/>
  <c r="H8" i="6"/>
  <c r="J8" i="6" s="1"/>
  <c r="H11" i="6"/>
  <c r="J11" i="6" s="1"/>
  <c r="H9" i="6"/>
  <c r="J9" i="6" s="1"/>
  <c r="H15" i="6"/>
  <c r="J15" i="6" s="1"/>
  <c r="C15" i="6"/>
  <c r="H13" i="6"/>
  <c r="J13" i="6" s="1"/>
  <c r="H12" i="6"/>
  <c r="J12" i="6" s="1"/>
  <c r="H16" i="6"/>
  <c r="C16" i="6"/>
  <c r="D9" i="15"/>
  <c r="D23" i="15"/>
  <c r="I16" i="6"/>
  <c r="J16" i="6" l="1"/>
  <c r="E23" i="15"/>
  <c r="G23" i="15"/>
  <c r="I23" i="15" s="1"/>
  <c r="E9" i="15"/>
  <c r="G9" i="15"/>
  <c r="I9" i="15" s="1"/>
  <c r="C18" i="4"/>
  <c r="C17" i="4"/>
  <c r="C16" i="4"/>
  <c r="C15" i="4"/>
  <c r="C14" i="4"/>
  <c r="C6" i="27" l="1"/>
  <c r="B6" i="27"/>
  <c r="F6" i="27"/>
  <c r="G6" i="27"/>
  <c r="E6" i="27"/>
  <c r="D6" i="27"/>
  <c r="B11" i="4"/>
  <c r="E16" i="4"/>
  <c r="E18" i="4" s="1"/>
  <c r="E17" i="4" s="1"/>
  <c r="E48" i="15"/>
  <c r="E53" i="15"/>
  <c r="E47" i="15"/>
  <c r="E50" i="15"/>
  <c r="E54" i="15"/>
  <c r="E49" i="15"/>
  <c r="E52" i="15"/>
  <c r="E15" i="4"/>
  <c r="L6" i="27"/>
  <c r="K6" i="27"/>
  <c r="A19" i="20"/>
  <c r="E12" i="4"/>
  <c r="N6" i="27"/>
  <c r="M6" i="27"/>
  <c r="J6" i="27"/>
  <c r="E51" i="15"/>
  <c r="E43" i="15"/>
  <c r="E46" i="15"/>
  <c r="E44" i="15"/>
  <c r="H19" i="6"/>
  <c r="J19" i="6" s="1"/>
  <c r="H23" i="6"/>
  <c r="J23" i="6" s="1"/>
  <c r="H25" i="6"/>
  <c r="J25" i="6" s="1"/>
  <c r="H22" i="6"/>
  <c r="J22" i="6" s="1"/>
  <c r="D24" i="15"/>
  <c r="G24" i="15" s="1"/>
  <c r="I24" i="15" s="1"/>
  <c r="D11" i="15"/>
  <c r="D14" i="15"/>
  <c r="D34" i="15"/>
  <c r="D6" i="15"/>
  <c r="D12" i="15"/>
  <c r="D17" i="15"/>
  <c r="D20" i="15"/>
  <c r="D5" i="15"/>
  <c r="D16" i="15"/>
  <c r="D7" i="15"/>
  <c r="D4" i="15"/>
  <c r="D21" i="15"/>
  <c r="D8" i="15"/>
  <c r="D15" i="15"/>
  <c r="D18" i="15"/>
  <c r="D19" i="15"/>
  <c r="D13" i="15"/>
  <c r="D22" i="15"/>
  <c r="D3" i="15"/>
  <c r="D10" i="15"/>
  <c r="E42" i="15" l="1"/>
  <c r="E24" i="15"/>
  <c r="G18" i="15"/>
  <c r="I18" i="15" s="1"/>
  <c r="E18" i="15"/>
  <c r="E21" i="15"/>
  <c r="G21" i="15"/>
  <c r="I21" i="15" s="1"/>
  <c r="E5" i="15"/>
  <c r="G5" i="15"/>
  <c r="I5" i="15" s="1"/>
  <c r="G22" i="15"/>
  <c r="I22" i="15" s="1"/>
  <c r="E22" i="15"/>
  <c r="E15" i="15"/>
  <c r="G15" i="15"/>
  <c r="I15" i="15" s="1"/>
  <c r="E4" i="15"/>
  <c r="G4" i="15"/>
  <c r="I4" i="15" s="1"/>
  <c r="E20" i="15"/>
  <c r="G20" i="15"/>
  <c r="I20" i="15" s="1"/>
  <c r="G34" i="15"/>
  <c r="I34" i="15" s="1"/>
  <c r="E34" i="15"/>
  <c r="E14" i="15"/>
  <c r="G14" i="15"/>
  <c r="I14" i="15" s="1"/>
  <c r="E10" i="15"/>
  <c r="G10" i="15"/>
  <c r="I10" i="15" s="1"/>
  <c r="E13" i="15"/>
  <c r="G13" i="15"/>
  <c r="I13" i="15" s="1"/>
  <c r="E8" i="15"/>
  <c r="G8" i="15"/>
  <c r="I8" i="15" s="1"/>
  <c r="E7" i="15"/>
  <c r="G7" i="15"/>
  <c r="I7" i="15" s="1"/>
  <c r="G17" i="15"/>
  <c r="I17" i="15" s="1"/>
  <c r="E17" i="15"/>
  <c r="E3" i="15"/>
  <c r="G3" i="15"/>
  <c r="I3" i="15" s="1"/>
  <c r="G19" i="15"/>
  <c r="I19" i="15" s="1"/>
  <c r="E19" i="15"/>
  <c r="E16" i="15"/>
  <c r="G16" i="15"/>
  <c r="I16" i="15" s="1"/>
  <c r="E12" i="15"/>
  <c r="G12" i="15"/>
  <c r="I12" i="15" s="1"/>
  <c r="E11" i="15"/>
  <c r="G11" i="15"/>
  <c r="I11" i="15" s="1"/>
  <c r="G6" i="15"/>
  <c r="I6" i="15" s="1"/>
  <c r="E6" i="15"/>
  <c r="D29" i="15"/>
  <c r="E29" i="15" l="1"/>
  <c r="G29" i="15"/>
  <c r="D35" i="15"/>
  <c r="G35" i="15" s="1"/>
  <c r="I35" i="15" s="1"/>
  <c r="D37" i="15"/>
  <c r="D39" i="15"/>
  <c r="D36" i="15"/>
  <c r="D38" i="15"/>
  <c r="D31" i="15"/>
  <c r="D40" i="15"/>
  <c r="G40" i="15" s="1"/>
  <c r="I40" i="15" s="1"/>
  <c r="D27" i="15"/>
  <c r="D33" i="15"/>
  <c r="D41" i="15"/>
  <c r="D32" i="15"/>
  <c r="D30" i="15"/>
  <c r="D28" i="15"/>
  <c r="D26" i="15"/>
  <c r="D25" i="15"/>
  <c r="I29" i="15" l="1"/>
  <c r="E25" i="15"/>
  <c r="G25" i="15"/>
  <c r="E28" i="15"/>
  <c r="G28" i="15"/>
  <c r="E32" i="15"/>
  <c r="G32" i="15"/>
  <c r="E27" i="15"/>
  <c r="G27" i="15"/>
  <c r="E31" i="15"/>
  <c r="G31" i="15"/>
  <c r="E36" i="15"/>
  <c r="G36" i="15"/>
  <c r="E37" i="15"/>
  <c r="G37" i="15"/>
  <c r="E26" i="15"/>
  <c r="G26" i="15"/>
  <c r="E30" i="15"/>
  <c r="G30" i="15"/>
  <c r="E41" i="15"/>
  <c r="G41" i="15"/>
  <c r="E33" i="15"/>
  <c r="G33" i="15"/>
  <c r="E40" i="15"/>
  <c r="E38" i="15"/>
  <c r="G38" i="15"/>
  <c r="E39" i="15"/>
  <c r="G39" i="15"/>
  <c r="E35" i="15"/>
  <c r="I39" i="15" l="1"/>
  <c r="I38" i="15"/>
  <c r="I33" i="15"/>
  <c r="I41" i="15"/>
  <c r="I30" i="15"/>
  <c r="I26" i="15"/>
  <c r="I37" i="15"/>
  <c r="I36" i="15"/>
  <c r="I31" i="15"/>
  <c r="I27" i="15"/>
  <c r="I32" i="15"/>
  <c r="I28" i="15"/>
  <c r="I2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10" authorId="0" shapeId="0" xr:uid="{00000000-0006-0000-0000-000001000000}">
      <text>
        <r>
          <rPr>
            <i/>
            <sz val="12"/>
            <color indexed="81"/>
            <rFont val="Times New Roman"/>
            <family val="1"/>
          </rPr>
          <t>aid +1
bless +1     haste +1
inspire courage +2</t>
        </r>
      </text>
    </comment>
    <comment ref="C11" authorId="0" shapeId="0" xr:uid="{00000000-0006-0000-0000-000002000000}">
      <text>
        <r>
          <rPr>
            <i/>
            <sz val="12"/>
            <color indexed="81"/>
            <rFont val="Times New Roman"/>
            <family val="1"/>
          </rPr>
          <t>Improved Initiative +4</t>
        </r>
      </text>
    </comment>
    <comment ref="C12" authorId="0" shapeId="0" xr:uid="{00000000-0006-0000-0000-000003000000}">
      <text>
        <r>
          <rPr>
            <sz val="12"/>
            <color indexed="81"/>
            <rFont val="Times New Roman"/>
            <family val="1"/>
          </rPr>
          <t>Next level at 78,000 XPs</t>
        </r>
      </text>
    </comment>
    <comment ref="E12" authorId="0" shapeId="0" xr:uid="{00000000-0006-0000-0000-000004000000}">
      <text>
        <r>
          <rPr>
            <sz val="12"/>
            <color indexed="81"/>
            <rFont val="Times New Roman"/>
            <family val="1"/>
          </rPr>
          <t>ECL + 2 (Cha) + 2 (Great Renown)
+1 (Fairness &amp; Generosity)</t>
        </r>
      </text>
    </comment>
    <comment ref="B13" authorId="0" shapeId="0" xr:uid="{00000000-0006-0000-0000-000005000000}">
      <text>
        <r>
          <rPr>
            <i/>
            <sz val="12"/>
            <color indexed="81"/>
            <rFont val="Times New Roman"/>
            <family val="1"/>
          </rPr>
          <t>vasuthant crush -6</t>
        </r>
      </text>
    </comment>
    <comment ref="E13" authorId="0" shapeId="0" xr:uid="{00000000-0006-0000-0000-000006000000}">
      <text>
        <r>
          <rPr>
            <sz val="12"/>
            <color indexed="81"/>
            <rFont val="Times New Roman"/>
            <family val="1"/>
          </rPr>
          <t>See PHB 162</t>
        </r>
      </text>
    </comment>
    <comment ref="E15" authorId="0" shapeId="0" xr:uid="{00000000-0006-0000-0000-000007000000}">
      <text>
        <r>
          <rPr>
            <sz val="12"/>
            <color indexed="81"/>
            <rFont val="Times New Roman"/>
            <family val="1"/>
          </rPr>
          <t xml:space="preserve">[(3 </t>
        </r>
        <r>
          <rPr>
            <i/>
            <sz val="12"/>
            <color indexed="81"/>
            <rFont val="Times New Roman"/>
            <family val="1"/>
          </rPr>
          <t>[4th-level]</t>
        </r>
        <r>
          <rPr>
            <sz val="12"/>
            <color indexed="81"/>
            <rFont val="Times New Roman"/>
            <family val="1"/>
          </rPr>
          <t xml:space="preserve"> * 10 Medusa) * 75%]
+[(4 * 8 Favored Soul) * 75%]
+[(3 * 8 Divine Agent) * 75%]
+[(0 * 10 Consecrated Harrier) * 75%]
+ (11 * 2 Con)</t>
        </r>
      </text>
    </comment>
    <comment ref="E16" authorId="0" shapeId="0" xr:uid="{00000000-0006-0000-0000-000008000000}">
      <text>
        <r>
          <rPr>
            <i/>
            <sz val="12"/>
            <color indexed="81"/>
            <rFont val="Times New Roman"/>
            <family val="1"/>
          </rPr>
          <t xml:space="preserve">Shield of Faith </t>
        </r>
        <r>
          <rPr>
            <sz val="12"/>
            <color indexed="81"/>
            <rFont val="Times New Roman"/>
            <family val="1"/>
          </rPr>
          <t xml:space="preserve">[Deflection] +3
</t>
        </r>
        <r>
          <rPr>
            <i/>
            <sz val="12"/>
            <color indexed="81"/>
            <rFont val="Times New Roman"/>
            <family val="1"/>
          </rPr>
          <t>haste +1</t>
        </r>
      </text>
    </comment>
    <comment ref="B18" authorId="0" shapeId="0" xr:uid="{00000000-0006-0000-0000-000009000000}">
      <text>
        <r>
          <rPr>
            <i/>
            <sz val="12"/>
            <color indexed="81"/>
            <rFont val="Times New Roman"/>
            <family val="1"/>
          </rPr>
          <t>eagle’s splendor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E8" authorId="0" shapeId="0" xr:uid="{00000000-0006-0000-0200-000001000000}">
      <text>
        <r>
          <rPr>
            <sz val="12"/>
            <color indexed="81"/>
            <rFont val="Times New Roman"/>
            <family val="1"/>
          </rPr>
          <t>Prism, lens, or monocle</t>
        </r>
      </text>
    </comment>
    <comment ref="E11" authorId="0" shapeId="0" xr:uid="{00000000-0006-0000-0200-000002000000}">
      <text>
        <r>
          <rPr>
            <sz val="12"/>
            <color indexed="81"/>
            <rFont val="Times New Roman"/>
            <family val="1"/>
          </rPr>
          <t>Soot &amp; Salt</t>
        </r>
      </text>
    </comment>
    <comment ref="E14" authorId="0" shapeId="0" xr:uid="{00000000-0006-0000-0200-000003000000}">
      <text>
        <r>
          <rPr>
            <sz val="12"/>
            <color indexed="81"/>
            <rFont val="Times New Roman"/>
            <family val="1"/>
          </rPr>
          <t>Parchment w/ holy text</t>
        </r>
      </text>
    </comment>
    <comment ref="E16" authorId="0" shapeId="0" xr:uid="{00000000-0006-0000-0200-000004000000}">
      <text>
        <r>
          <rPr>
            <sz val="12"/>
            <color indexed="81"/>
            <rFont val="Times New Roman"/>
            <family val="1"/>
          </rPr>
          <t>Miniature propeller or windmill</t>
        </r>
      </text>
    </comment>
    <comment ref="E19" authorId="0" shapeId="0" xr:uid="{00000000-0006-0000-0200-000005000000}">
      <text>
        <r>
          <rPr>
            <sz val="12"/>
            <color indexed="81"/>
            <rFont val="Times New Roman"/>
            <family val="1"/>
          </rPr>
          <t>Holy water, silver dust.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00000000-0006-0000-0300-000001000000}">
      <text>
        <r>
          <rPr>
            <sz val="12"/>
            <color indexed="81"/>
            <rFont val="Times New Roman"/>
            <family val="1"/>
          </rPr>
          <t>dead cockroach</t>
        </r>
      </text>
    </comment>
    <comment ref="D4" authorId="0" shapeId="0" xr:uid="{00000000-0006-0000-0300-000002000000}">
      <text>
        <r>
          <rPr>
            <sz val="12"/>
            <color indexed="81"/>
            <rFont val="Times New Roman"/>
            <family val="1"/>
          </rPr>
          <t>Tiny bell and a piece of fine silver wire</t>
        </r>
      </text>
    </comment>
    <comment ref="D5" authorId="0" shapeId="0" xr:uid="{00000000-0006-0000-0300-000003000000}">
      <text>
        <r>
          <rPr>
            <sz val="12"/>
            <color indexed="81"/>
            <rFont val="Times New Roman"/>
            <family val="1"/>
          </rPr>
          <t>Bait for animal</t>
        </r>
      </text>
    </comment>
    <comment ref="D22" authorId="0" shapeId="0" xr:uid="{00000000-0006-0000-0300-000004000000}">
      <text>
        <r>
          <rPr>
            <sz val="12"/>
            <color indexed="81"/>
            <rFont val="Times New Roman"/>
            <family val="1"/>
          </rPr>
          <t>powdered black gemstone</t>
        </r>
      </text>
    </comment>
    <comment ref="D31" authorId="0" shapeId="0" xr:uid="{00000000-0006-0000-0300-000005000000}">
      <text>
        <r>
          <rPr>
            <sz val="12"/>
            <color indexed="81"/>
            <rFont val="Times New Roman"/>
            <family val="1"/>
          </rPr>
          <t>small mint leaf</t>
        </r>
      </text>
    </comment>
    <comment ref="D37" authorId="0" shapeId="0" xr:uid="{00000000-0006-0000-0300-000006000000}">
      <text>
        <r>
          <rPr>
            <sz val="12"/>
            <color indexed="81"/>
            <rFont val="Times New Roman"/>
            <family val="1"/>
          </rPr>
          <t>grasshopper leg</t>
        </r>
      </text>
    </comment>
    <comment ref="D38" authorId="0" shapeId="0" xr:uid="{00000000-0006-0000-0300-000007000000}">
      <text>
        <r>
          <rPr>
            <sz val="12"/>
            <color indexed="81"/>
            <rFont val="Times New Roman"/>
            <family val="1"/>
          </rPr>
          <t>kuo-toa scale</t>
        </r>
      </text>
    </comment>
    <comment ref="D40" authorId="0" shapeId="0" xr:uid="{00000000-0006-0000-0300-000008000000}">
      <text>
        <r>
          <rPr>
            <sz val="12"/>
            <color indexed="81"/>
            <rFont val="Times New Roman"/>
            <family val="1"/>
          </rPr>
          <t>Pinch of dirt</t>
        </r>
      </text>
    </comment>
    <comment ref="D45" authorId="0" shapeId="0" xr:uid="{00000000-0006-0000-0300-000009000000}">
      <text>
        <r>
          <rPr>
            <sz val="12"/>
            <color indexed="81"/>
            <rFont val="Times New Roman"/>
            <family val="1"/>
          </rPr>
          <t>fish scale</t>
        </r>
      </text>
    </comment>
    <comment ref="D47" authorId="0" shapeId="0" xr:uid="{00000000-0006-0000-0300-00000A000000}">
      <text>
        <r>
          <rPr>
            <sz val="12"/>
            <color indexed="81"/>
            <rFont val="Times New Roman"/>
            <family val="1"/>
          </rPr>
          <t>Prism, lens, or monocle</t>
        </r>
      </text>
    </comment>
    <comment ref="D54" authorId="0" shapeId="0" xr:uid="{00000000-0006-0000-0300-00000B000000}">
      <text>
        <r>
          <rPr>
            <sz val="12"/>
            <color indexed="81"/>
            <rFont val="Times New Roman"/>
            <family val="1"/>
          </rPr>
          <t>tern feathers/guano</t>
        </r>
      </text>
    </comment>
    <comment ref="D56" authorId="0" shapeId="0" xr:uid="{00000000-0006-0000-0300-00000C000000}">
      <text>
        <r>
          <rPr>
            <sz val="12"/>
            <color indexed="81"/>
            <rFont val="Times New Roman"/>
            <family val="1"/>
          </rPr>
          <t>spine from a sea urchin</t>
        </r>
      </text>
    </comment>
    <comment ref="D59" authorId="0" shapeId="0" xr:uid="{00000000-0006-0000-0300-00000D000000}">
      <text>
        <r>
          <rPr>
            <sz val="12"/>
            <color indexed="81"/>
            <rFont val="Times New Roman"/>
            <family val="1"/>
          </rPr>
          <t>MW arrow/bolt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P11" authorId="0" shapeId="0" xr:uid="{00000000-0006-0000-0400-000001000000}">
      <text>
        <r>
          <rPr>
            <sz val="12"/>
            <color indexed="81"/>
            <rFont val="Times New Roman"/>
            <family val="1"/>
          </rPr>
          <t xml:space="preserve">Choose a spellcasting class that you possess.  Your spells cast from that class are more powerful.
</t>
        </r>
        <r>
          <rPr>
            <b/>
            <sz val="12"/>
            <color indexed="81"/>
            <rFont val="Times New Roman"/>
            <family val="1"/>
          </rPr>
          <t xml:space="preserve">Prerequisite:  </t>
        </r>
        <r>
          <rPr>
            <sz val="12"/>
            <color indexed="81"/>
            <rFont val="Times New Roman"/>
            <family val="1"/>
          </rPr>
          <t xml:space="preserve">Spellcraft 4 ranks.
</t>
        </r>
        <r>
          <rPr>
            <b/>
            <sz val="12"/>
            <color indexed="81"/>
            <rFont val="Times New Roman"/>
            <family val="1"/>
          </rPr>
          <t xml:space="preserve">Benefit:  </t>
        </r>
        <r>
          <rPr>
            <sz val="12"/>
            <color indexed="81"/>
            <rFont val="Times New Roman"/>
            <family val="1"/>
          </rPr>
          <t>Your caster level for the chosen spellcasting class increases by +4.  This can’t increase your caster level beyond your HD.  However, even if you can’t benefit from the full bonus immediately, if you later gain noncaster-level HD you may be able to apply the rest of the bonus.
For example, a human 5th-level cleric/3rd-level fighter who selects this feat would increase his cleric caster level from 5th to 8th (since he has 8 HD).  If he later gained a fighter level, he would gain the remainder of the bonus and his cleric caster level would become 9th (since he now has 9 HD).
A character with two or more spellcasting classes (such as a bard/sorcerer or a ranger/druid) must choose which class gains the feat’s effect.
This does not affect your spells per day or spells known.  It only increases your caster level, which would help you penetrate SR and increase the duration and other effects of your spells.
Complete Divine 82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00000000-0006-0000-0500-000001000000}">
      <text>
        <r>
          <rPr>
            <sz val="12"/>
            <color indexed="81"/>
            <rFont val="Times New Roman"/>
            <family val="1"/>
          </rPr>
          <t xml:space="preserve">You can follow the trails of creatures and characters across most
types of terrain.
</t>
        </r>
        <r>
          <rPr>
            <b/>
            <sz val="12"/>
            <color indexed="81"/>
            <rFont val="Times New Roman"/>
            <family val="1"/>
          </rPr>
          <t xml:space="preserve">Benefit:  </t>
        </r>
        <r>
          <rPr>
            <sz val="12"/>
            <color indexed="81"/>
            <rFont val="Times New Roman"/>
            <family val="1"/>
          </rPr>
          <t xml:space="preserve">To find tracks or to follow them for 1 mile requires a successful Survival check.  You must make another Survival check every time the tracks become difficult to follow, such as when other tracks cross them or when the tracks backtrack and diverge.
You move at half your normal speed (or at your normal speed with a –5 penalty on the check, or at up to twice your normal speed with a –20 penalty on the check).
If you fail a Survival check, you can retry after 1 hour (outdoors) or 10 minutes (indoors) of searching.
</t>
        </r>
        <r>
          <rPr>
            <b/>
            <sz val="12"/>
            <color indexed="81"/>
            <rFont val="Times New Roman"/>
            <family val="1"/>
          </rPr>
          <t xml:space="preserve">Normal:  </t>
        </r>
        <r>
          <rPr>
            <sz val="12"/>
            <color indexed="81"/>
            <rFont val="Times New Roman"/>
            <family val="1"/>
          </rPr>
          <t xml:space="preserve">Without this feat, you can use the Survival skill to find tracks, but you can follow them only if the DC for the task is 10 or lower. Alternatively, you can use the Search skill to find a footprint or similar sign of a creature’s passage using the DCs given above, but you can’t use Search to follow tracks, even if someone else has already found them.
</t>
        </r>
        <r>
          <rPr>
            <b/>
            <sz val="12"/>
            <color indexed="81"/>
            <rFont val="Times New Roman"/>
            <family val="1"/>
          </rPr>
          <t xml:space="preserve">Special:  </t>
        </r>
        <r>
          <rPr>
            <sz val="12"/>
            <color indexed="81"/>
            <rFont val="Times New Roman"/>
            <family val="1"/>
          </rPr>
          <t>A ranger automatically has Track as a bonus feat. He
need not select it.  This feat does not allow you to find or follow the tracks made by a subject of a pass without trace spell.
PHB 101</t>
        </r>
      </text>
    </comment>
    <comment ref="A4" authorId="0" shapeId="0" xr:uid="{00000000-0006-0000-0500-000002000000}">
      <text>
        <r>
          <rPr>
            <sz val="12"/>
            <color indexed="81"/>
            <rFont val="Times New Roman"/>
            <family val="1"/>
          </rPr>
          <t xml:space="preserve">You can cast spells without material components.
</t>
        </r>
        <r>
          <rPr>
            <b/>
            <sz val="12"/>
            <color indexed="81"/>
            <rFont val="Times New Roman"/>
            <family val="1"/>
          </rPr>
          <t xml:space="preserve">Prerequisite:  </t>
        </r>
        <r>
          <rPr>
            <sz val="12"/>
            <color indexed="81"/>
            <rFont val="Times New Roman"/>
            <family val="1"/>
          </rPr>
          <t xml:space="preserve">Any other metamagic feat.
</t>
        </r>
        <r>
          <rPr>
            <b/>
            <sz val="12"/>
            <color indexed="81"/>
            <rFont val="Times New Roman"/>
            <family val="1"/>
          </rPr>
          <t xml:space="preserve">Benefit:  </t>
        </r>
        <r>
          <rPr>
            <sz val="12"/>
            <color indexed="81"/>
            <rFont val="Times New Roman"/>
            <family val="1"/>
          </rPr>
          <t>A spell cast with Eschew Materials can be cast with no material components.  Spells without material compoentns are not affected.  Spells with material components with a gp cost of more than 1 gp are not affected.  An eschewed spell uses up a spell slot of the spell's normal level.
FR ~ Faiths and Pantheons 214</t>
        </r>
      </text>
    </comment>
    <comment ref="A5" authorId="0" shapeId="0" xr:uid="{00000000-0006-0000-0500-000003000000}">
      <text>
        <r>
          <rPr>
            <sz val="12"/>
            <color indexed="81"/>
            <rFont val="Times New Roman"/>
            <family val="1"/>
          </rPr>
          <t xml:space="preserve">You can cast spells silently.
</t>
        </r>
        <r>
          <rPr>
            <b/>
            <sz val="12"/>
            <color indexed="81"/>
            <rFont val="Times New Roman"/>
            <family val="1"/>
          </rPr>
          <t xml:space="preserve">Benefit:  </t>
        </r>
        <r>
          <rPr>
            <sz val="12"/>
            <color indexed="81"/>
            <rFont val="Times New Roman"/>
            <family val="1"/>
          </rPr>
          <t xml:space="preserve">A silent spell can be cast with no verbal components.
Spells without verbal components are not affected.  A silent spell uses up a spell slot one level higher than the spell’s actual level.
</t>
        </r>
        <r>
          <rPr>
            <b/>
            <sz val="12"/>
            <color indexed="81"/>
            <rFont val="Times New Roman"/>
            <family val="1"/>
          </rPr>
          <t xml:space="preserve">Special:  </t>
        </r>
        <r>
          <rPr>
            <sz val="12"/>
            <color indexed="81"/>
            <rFont val="Times New Roman"/>
            <family val="1"/>
          </rPr>
          <t>Bard spells cannot be enhanced by this metamagic feat.
PHB 100</t>
        </r>
      </text>
    </comment>
    <comment ref="A6" authorId="0" shapeId="0" xr:uid="{00000000-0006-0000-0500-000004000000}">
      <text>
        <r>
          <rPr>
            <sz val="12"/>
            <color indexed="81"/>
            <rFont val="Times New Roman"/>
            <family val="1"/>
          </rPr>
          <t xml:space="preserve">Choose a spellcasting class that you possess.  Your spells cast from that class are more powerful.
</t>
        </r>
        <r>
          <rPr>
            <b/>
            <sz val="12"/>
            <color indexed="81"/>
            <rFont val="Times New Roman"/>
            <family val="1"/>
          </rPr>
          <t xml:space="preserve">Prerequisite:  </t>
        </r>
        <r>
          <rPr>
            <sz val="12"/>
            <color indexed="81"/>
            <rFont val="Times New Roman"/>
            <family val="1"/>
          </rPr>
          <t xml:space="preserve">Spellcraft 4 ranks.
</t>
        </r>
        <r>
          <rPr>
            <b/>
            <sz val="12"/>
            <color indexed="81"/>
            <rFont val="Times New Roman"/>
            <family val="1"/>
          </rPr>
          <t xml:space="preserve">Benefit:  </t>
        </r>
        <r>
          <rPr>
            <sz val="12"/>
            <color indexed="81"/>
            <rFont val="Times New Roman"/>
            <family val="1"/>
          </rPr>
          <t>Your caster level for the chosen spellcasting class increases by +4.  This can’t increase your caster level beyond your HD.  However, even if you can’t benefit from the full bonus immediately, if you later gain noncaster-level HD you may be able to apply the rest of the bonus.
For example, a human 5th-level cleric/3rd-level fighter who selects this feat would increase his cleric caster level from 5th to 8th (since he has 8 HD).  If he later gained a fighter level, he would gain the remainder of the bonus and his cleric caster level would become 9th (since he now has 9 HD).
A character with two or more spellcasting classes (such as a bard/sorcerer or a ranger/druid) must choose which class gains the feat’s effect.
This does not affect your spells per day or spells known.  It only increases your caster level, which would help you penetrate SR and increase the duration and other effects of your spells.
Complete Divine 82</t>
        </r>
      </text>
    </comment>
    <comment ref="A9" authorId="0" shapeId="0" xr:uid="{00000000-0006-0000-0500-00000500000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A13" authorId="0" shapeId="0" xr:uid="{00000000-0006-0000-0500-000006000000}">
      <text>
        <r>
          <rPr>
            <sz val="12"/>
            <color indexed="81"/>
            <rFont val="Times New Roman"/>
            <family val="1"/>
          </rPr>
          <t xml:space="preserve">All consecrated harriers receive a +2 sacred bonus on Bluff, Listen, Sense Motive, Spot, and Survival checks when in pursuit of their church-assigned target. If the assigned target is a group, this bonus applies to the group’s leader. They receive the same bonus on weapon (or unarmed) damage rolls against their targets. This bonus increases to +4 at 5th level, and to +6 at 10th level.
</t>
        </r>
      </text>
    </comment>
    <comment ref="A14" authorId="0" shapeId="0" xr:uid="{00000000-0006-0000-0500-000007000000}">
      <text>
        <r>
          <rPr>
            <sz val="12"/>
            <color indexed="81"/>
            <rFont val="Times New Roman"/>
            <family val="1"/>
          </rPr>
          <t>A consecrated harrier can use detect chaos at will as a cleric of equal level.</t>
        </r>
      </text>
    </comment>
    <comment ref="A18" authorId="0" shapeId="0" xr:uid="{00000000-0006-0000-0500-000008000000}">
      <text>
        <r>
          <rPr>
            <sz val="12"/>
            <color indexed="81"/>
            <rFont val="Times New Roman"/>
            <family val="1"/>
          </rPr>
          <t xml:space="preserve">1 </t>
        </r>
        <r>
          <rPr>
            <b/>
            <sz val="12"/>
            <color indexed="81"/>
            <rFont val="Times New Roman"/>
            <family val="1"/>
          </rPr>
          <t xml:space="preserve">Magic Stone: </t>
        </r>
        <r>
          <rPr>
            <sz val="12"/>
            <color indexed="81"/>
            <rFont val="Times New Roman"/>
            <family val="1"/>
          </rPr>
          <t xml:space="preserve">Three stones become +1 projectiles, 1d6 +1 damage.
2 </t>
        </r>
        <r>
          <rPr>
            <b/>
            <sz val="12"/>
            <color indexed="81"/>
            <rFont val="Times New Roman"/>
            <family val="1"/>
          </rPr>
          <t xml:space="preserve">Soften Earth and Stone: </t>
        </r>
        <r>
          <rPr>
            <sz val="12"/>
            <color indexed="81"/>
            <rFont val="Times New Roman"/>
            <family val="1"/>
          </rPr>
          <t xml:space="preserve">Turns stone to clay or dirt to sand or mud.
3 </t>
        </r>
        <r>
          <rPr>
            <b/>
            <sz val="12"/>
            <color indexed="81"/>
            <rFont val="Times New Roman"/>
            <family val="1"/>
          </rPr>
          <t xml:space="preserve">Stone Shape: </t>
        </r>
        <r>
          <rPr>
            <sz val="12"/>
            <color indexed="81"/>
            <rFont val="Times New Roman"/>
            <family val="1"/>
          </rPr>
          <t xml:space="preserve">Sculpts stone into any shape.
4 </t>
        </r>
        <r>
          <rPr>
            <b/>
            <sz val="12"/>
            <color indexed="81"/>
            <rFont val="Times New Roman"/>
            <family val="1"/>
          </rPr>
          <t xml:space="preserve">Spike Stones: </t>
        </r>
        <r>
          <rPr>
            <sz val="12"/>
            <color indexed="81"/>
            <rFont val="Times New Roman"/>
            <family val="1"/>
          </rPr>
          <t xml:space="preserve">Creatures in area take 1d8 damage, may be lowed.
5 </t>
        </r>
        <r>
          <rPr>
            <b/>
            <sz val="12"/>
            <color indexed="81"/>
            <rFont val="Times New Roman"/>
            <family val="1"/>
          </rPr>
          <t xml:space="preserve">Wall of Stone: </t>
        </r>
        <r>
          <rPr>
            <sz val="12"/>
            <color indexed="81"/>
            <rFont val="Times New Roman"/>
            <family val="1"/>
          </rPr>
          <t xml:space="preserve">Creates a stone wall that can be shaped.
6 </t>
        </r>
        <r>
          <rPr>
            <b/>
            <sz val="12"/>
            <color indexed="81"/>
            <rFont val="Times New Roman"/>
            <family val="1"/>
          </rPr>
          <t xml:space="preserve">Stoneskin: </t>
        </r>
        <r>
          <rPr>
            <sz val="12"/>
            <color indexed="81"/>
            <rFont val="Times New Roman"/>
            <family val="1"/>
          </rPr>
          <t xml:space="preserve">Ignore 10 points of damage per attack.
7 </t>
        </r>
        <r>
          <rPr>
            <b/>
            <sz val="12"/>
            <color indexed="81"/>
            <rFont val="Times New Roman"/>
            <family val="1"/>
          </rPr>
          <t>Earthquake:</t>
        </r>
        <r>
          <rPr>
            <sz val="12"/>
            <color indexed="81"/>
            <rFont val="Times New Roman"/>
            <family val="1"/>
          </rPr>
          <t xml:space="preserve"> Intense tremor shakes 5-ft./level radius.
8 </t>
        </r>
        <r>
          <rPr>
            <b/>
            <sz val="12"/>
            <color indexed="81"/>
            <rFont val="Times New Roman"/>
            <family val="1"/>
          </rPr>
          <t xml:space="preserve">Iron Body: </t>
        </r>
        <r>
          <rPr>
            <sz val="12"/>
            <color indexed="81"/>
            <rFont val="Times New Roman"/>
            <family val="1"/>
          </rPr>
          <t xml:space="preserve">Your body becomes living iron.
9 </t>
        </r>
        <r>
          <rPr>
            <b/>
            <sz val="12"/>
            <color indexed="81"/>
            <rFont val="Times New Roman"/>
            <family val="1"/>
          </rPr>
          <t xml:space="preserve">Elemental Swarm*: </t>
        </r>
        <r>
          <rPr>
            <sz val="12"/>
            <color indexed="81"/>
            <rFont val="Times New Roman"/>
            <family val="1"/>
          </rPr>
          <t>Summons multiple elementals.
*Cast as an earth spell only.
PHB 186</t>
        </r>
      </text>
    </comment>
    <comment ref="A19" authorId="0" shapeId="0" xr:uid="{00000000-0006-0000-0500-000009000000}">
      <text>
        <r>
          <rPr>
            <sz val="12"/>
            <color indexed="81"/>
            <rFont val="Times New Roman"/>
            <family val="1"/>
          </rPr>
          <t xml:space="preserve">Although the ability to turn undead is arguably a defining cleric characteristic, some clerics (and paladins) find that they can be even more effective crusaders by opposing evil spellcasters.  The ability to negate an enemy spellcasters magic grants a character an unexpected edge.
</t>
        </r>
        <r>
          <rPr>
            <b/>
            <sz val="12"/>
            <color indexed="81"/>
            <rFont val="Times New Roman"/>
            <family val="1"/>
          </rPr>
          <t xml:space="preserve">Class:  </t>
        </r>
        <r>
          <rPr>
            <sz val="12"/>
            <color indexed="81"/>
            <rFont val="Times New Roman"/>
            <family val="1"/>
          </rPr>
          <t xml:space="preserve">Cleric or paladin.
</t>
        </r>
        <r>
          <rPr>
            <b/>
            <sz val="12"/>
            <color indexed="81"/>
            <rFont val="Times New Roman"/>
            <family val="1"/>
          </rPr>
          <t xml:space="preserve">Level:  </t>
        </r>
        <r>
          <rPr>
            <sz val="12"/>
            <color indexed="81"/>
            <rFont val="Times New Roman"/>
            <family val="1"/>
          </rPr>
          <t xml:space="preserve">1st (cleric) or 4th (paladin).
</t>
        </r>
        <r>
          <rPr>
            <b/>
            <sz val="12"/>
            <color indexed="81"/>
            <rFont val="Times New Roman"/>
            <family val="1"/>
          </rPr>
          <t xml:space="preserve">Special Requirement:  </t>
        </r>
        <r>
          <rPr>
            <sz val="12"/>
            <color indexed="81"/>
            <rFont val="Times New Roman"/>
            <family val="1"/>
          </rPr>
          <t xml:space="preserve">Knowledge (arcana) 1 rank.
</t>
        </r>
        <r>
          <rPr>
            <b/>
            <sz val="12"/>
            <color indexed="81"/>
            <rFont val="Times New Roman"/>
            <family val="1"/>
          </rPr>
          <t xml:space="preserve">Replaces:  </t>
        </r>
        <r>
          <rPr>
            <sz val="12"/>
            <color indexed="81"/>
            <rFont val="Times New Roman"/>
            <family val="1"/>
          </rPr>
          <t xml:space="preserve">You do not gain the ability to turn or rebuke undead.
</t>
        </r>
        <r>
          <rPr>
            <b/>
            <sz val="12"/>
            <color indexed="81"/>
            <rFont val="Times New Roman"/>
            <family val="1"/>
          </rPr>
          <t xml:space="preserve">Benefit:  </t>
        </r>
        <r>
          <rPr>
            <sz val="12"/>
            <color indexed="81"/>
            <rFont val="Times New Roman"/>
            <family val="1"/>
          </rPr>
          <t>You gain the supernatural ability to counter another spellcaster’s magic through pure force of will.  This ability functions just as if you were using dispel magic to counter the spell, except that you add your cleric level (instead of your caster level) to the d20 roll.  You don’t need to identify the spell the opposing spellcaster is casting to make the attempt.
If you don’t have a cleric level, use your effective cleric level for the purpose of turning undead.  For example, a paladin would normally turn undead as a cleric of three levels lower; her effective cleric level for counterspelling is equal to her paladin level – 3.
You can attempt to counterspell a number of times per day equal to 1 + your Cha modifier.
A character with 5 or more ranks in Knowledge (arcana) gets a +2 bonus on counterspelling attempts when using this ability.
Complete Mage 33</t>
        </r>
      </text>
    </comment>
    <comment ref="A20" authorId="0" shapeId="0" xr:uid="{00000000-0006-0000-0500-00000A000000}">
      <text>
        <r>
          <rPr>
            <sz val="12"/>
            <color indexed="81"/>
            <rFont val="Times New Roman"/>
            <family val="1"/>
          </rPr>
          <t>A divine agent of 2nd level or higher may be contacted mentally by her deity or its agents, usually to impart particular knowledge and orders to the divine agent. This contact only functions one way; the divine agent cannot initiate the contact, question the orders, or ask for clarifications. The nature of the contact depends on the deity: Dreams, ghostly visions, and illuminations from above are all possibilities. Contact from the deity rarely interrupts the divine agent’s normal actions.</t>
        </r>
      </text>
    </comment>
    <comment ref="A21" authorId="0" shapeId="0" xr:uid="{00000000-0006-0000-0500-00000B000000}">
      <text>
        <r>
          <rPr>
            <sz val="12"/>
            <color indexed="81"/>
            <rFont val="Times New Roman"/>
            <family val="1"/>
          </rPr>
          <t>At 3rd level, a divine agent gains the ability to generate an intangible, invisible aura of menace that weakens hostile creatures within a 20-foot radius.  Anyone about to attack the divine agent must attempt a Will save (DC the divine agent’s character level).  Those who fail the saving throw suffer a -2 morale penalty on attacks, checks, and saves for one full day or until they successfully damage the divine agent generating the aura.  A creature that made its initial save or damaged the divine agent is immune to that divine agent's aura for one day.</t>
        </r>
      </text>
    </comment>
    <comment ref="A22" authorId="0" shapeId="0" xr:uid="{00000000-0006-0000-0500-00000C000000}">
      <text>
        <r>
          <rPr>
            <sz val="12"/>
            <color indexed="81"/>
            <rFont val="Times New Roman"/>
            <family val="1"/>
          </rPr>
          <t>Macaria has changed Samara’s appearance to better enable diplomatic relations with racists.</t>
        </r>
      </text>
    </comment>
    <comment ref="A23" authorId="0" shapeId="0" xr:uid="{00000000-0006-0000-0500-00000D000000}">
      <text>
        <r>
          <rPr>
            <sz val="12"/>
            <color indexed="81"/>
            <rFont val="Times New Roman"/>
            <family val="1"/>
          </rPr>
          <t>Macaria has changed Samara’s appearance to better enable diplomatic relations with anti-medusites.
Her scaling takes on a golden tinge, as well as her eyes turning golden.  However, only the eyes will be visible while masked.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7" authorId="0" shapeId="0" xr:uid="{00000000-0006-0000-0600-000001000000}">
      <text>
        <r>
          <rPr>
            <b/>
            <sz val="12"/>
            <color indexed="81"/>
            <rFont val="Times New Roman"/>
            <family val="1"/>
          </rPr>
          <t xml:space="preserve">Price (Item Level):  </t>
        </r>
        <r>
          <rPr>
            <sz val="12"/>
            <color indexed="81"/>
            <rFont val="Times New Roman"/>
            <family val="1"/>
          </rPr>
          <t xml:space="preserve">1,000 gp (4th) (least); 5,000 gp (9th) (lesser); 10,000 gp (12th) (greater)
</t>
        </r>
        <r>
          <rPr>
            <b/>
            <sz val="12"/>
            <color indexed="81"/>
            <rFont val="Times New Roman"/>
            <family val="1"/>
          </rPr>
          <t xml:space="preserve">Body Slot:  </t>
        </r>
        <r>
          <rPr>
            <sz val="12"/>
            <color indexed="81"/>
            <rFont val="Times New Roman"/>
            <family val="1"/>
          </rPr>
          <t xml:space="preserve">— (weapon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evocation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This amethyst is carved in the shape of a humanoid skull.
Clerics craft truedeath crystals to aid themselves and others in sending undead to their final rest.
</t>
        </r>
        <r>
          <rPr>
            <b/>
            <sz val="12"/>
            <color indexed="81"/>
            <rFont val="Times New Roman"/>
            <family val="1"/>
          </rPr>
          <t xml:space="preserve">Least:  </t>
        </r>
        <r>
          <rPr>
            <sz val="12"/>
            <color indexed="81"/>
            <rFont val="Times New Roman"/>
            <family val="1"/>
          </rPr>
          <t xml:space="preserve">A weapon with this crystal attached deals an extra 1d6 points of damage to undead.
</t>
        </r>
        <r>
          <rPr>
            <b/>
            <sz val="12"/>
            <color indexed="81"/>
            <rFont val="Times New Roman"/>
            <family val="1"/>
          </rPr>
          <t xml:space="preserve">Lesser:  </t>
        </r>
        <r>
          <rPr>
            <sz val="12"/>
            <color indexed="81"/>
            <rFont val="Times New Roman"/>
            <family val="1"/>
          </rPr>
          <t xml:space="preserve">As the least crystal, and the weapon also functions as a ghost touch weapon (DMG 224).
</t>
        </r>
        <r>
          <rPr>
            <b/>
            <sz val="12"/>
            <color indexed="81"/>
            <rFont val="Times New Roman"/>
            <family val="1"/>
          </rPr>
          <t xml:space="preserve">Greater:  </t>
        </r>
        <r>
          <rPr>
            <sz val="12"/>
            <color indexed="81"/>
            <rFont val="Times New Roman"/>
            <family val="1"/>
          </rPr>
          <t>As the lesser crystal, and the weapon can deliver sneak attacks and critical hits against undead as if they were living creatures.
MIC 66</t>
        </r>
      </text>
    </comment>
    <comment ref="D27" authorId="0" shapeId="0" xr:uid="{00000000-0006-0000-0600-000002000000}">
      <text>
        <r>
          <rPr>
            <sz val="12"/>
            <color indexed="81"/>
            <rFont val="Times New Roman"/>
            <family val="1"/>
          </rPr>
          <t>Balance, Climb, Escape Artist, Hide, Jump, Move Silently, Sleight of Hand, Tumble.</t>
        </r>
      </text>
    </comment>
    <comment ref="K28" authorId="0" shapeId="0" xr:uid="{00000000-0006-0000-0600-000003000000}">
      <text>
        <r>
          <rPr>
            <b/>
            <sz val="12"/>
            <color indexed="81"/>
            <rFont val="Times New Roman"/>
            <family val="1"/>
          </rPr>
          <t xml:space="preserve">Price (Item Level):  </t>
        </r>
        <r>
          <rPr>
            <sz val="12"/>
            <color indexed="81"/>
            <rFont val="Times New Roman"/>
            <family val="1"/>
          </rPr>
          <t xml:space="preserve">250 gp (2nd) (least), 1,000 gp (4th) (lesser), or 3,000 gp (7th) (greater)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transmutation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This sea-green crystal always feels moist to the touch.
A crystal of aquatic action aids the wearer while underwater.
</t>
        </r>
        <r>
          <rPr>
            <b/>
            <sz val="12"/>
            <color indexed="81"/>
            <rFont val="Times New Roman"/>
            <family val="1"/>
          </rPr>
          <t xml:space="preserve">Least:  </t>
        </r>
        <r>
          <rPr>
            <sz val="12"/>
            <color indexed="81"/>
            <rFont val="Times New Roman"/>
            <family val="1"/>
          </rPr>
          <t xml:space="preserve">Any armor bearing this augment crystal does not impose an armor check penalty on your Swim checks.
</t>
        </r>
        <r>
          <rPr>
            <b/>
            <sz val="12"/>
            <color indexed="81"/>
            <rFont val="Times New Roman"/>
            <family val="1"/>
          </rPr>
          <t xml:space="preserve">Lesser:  </t>
        </r>
        <r>
          <rPr>
            <sz val="12"/>
            <color indexed="81"/>
            <rFont val="Times New Roman"/>
            <family val="1"/>
          </rPr>
          <t xml:space="preserve">As the least crystal, and you also gain a Swim speed equal to one-half your land speed (round down to the next 5-foot increment).
</t>
        </r>
        <r>
          <rPr>
            <b/>
            <sz val="12"/>
            <color indexed="81"/>
            <rFont val="Times New Roman"/>
            <family val="1"/>
          </rPr>
          <t xml:space="preserve">Greater:  </t>
        </r>
        <r>
          <rPr>
            <sz val="12"/>
            <color indexed="81"/>
            <rFont val="Times New Roman"/>
            <family val="1"/>
          </rPr>
          <t xml:space="preserve">As the lesser crystal, and you also take no penalties on attacks or movement while underwater (as if under the effect of freedom of movement) and you can breathe water as easily as air.
</t>
        </r>
        <r>
          <rPr>
            <b/>
            <sz val="12"/>
            <color indexed="81"/>
            <rFont val="Times New Roman"/>
            <family val="1"/>
          </rPr>
          <t xml:space="preserve">Prerequisites:  </t>
        </r>
        <r>
          <rPr>
            <sz val="12"/>
            <color indexed="81"/>
            <rFont val="Times New Roman"/>
            <family val="1"/>
          </rPr>
          <t xml:space="preserve">Craft Magic Arms and Armor, freedom of movement, water breathing.
</t>
        </r>
        <r>
          <rPr>
            <b/>
            <sz val="12"/>
            <color indexed="81"/>
            <rFont val="Times New Roman"/>
            <family val="1"/>
          </rPr>
          <t xml:space="preserve">Cost to Create:  </t>
        </r>
        <r>
          <rPr>
            <sz val="12"/>
            <color indexed="81"/>
            <rFont val="Times New Roman"/>
            <family val="1"/>
          </rPr>
          <t>125 gp, 10 XP, 1 day (least); 500 gp, 40 XP, 1 day (lesser); 1,500 gp, 120 XP, 3 days (greater).
MIC 77 - 78</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4" authorId="0" shapeId="0" xr:uid="{00000000-0006-0000-0700-000001000000}">
      <text>
        <r>
          <rPr>
            <sz val="12"/>
            <color indexed="81"/>
            <rFont val="Times New Roman"/>
            <family val="1"/>
          </rPr>
          <t xml:space="preserve">This item appears to be a normal string of prayer beads until the owner casts a divine spell.  Once that occurs, the owner instantly knows the powers of the prayer beads and how to activate them.  Each strand includes two or more special beads, each with a different magic power.
Special Bead Type Special Bead Ability
</t>
        </r>
        <r>
          <rPr>
            <b/>
            <sz val="12"/>
            <color indexed="81"/>
            <rFont val="Times New Roman"/>
            <family val="1"/>
          </rPr>
          <t xml:space="preserve">Bead of blessing:  </t>
        </r>
        <r>
          <rPr>
            <sz val="12"/>
            <color indexed="81"/>
            <rFont val="Times New Roman"/>
            <family val="1"/>
          </rPr>
          <t xml:space="preserve">Wearer can cast bless.
</t>
        </r>
        <r>
          <rPr>
            <b/>
            <sz val="12"/>
            <color indexed="81"/>
            <rFont val="Times New Roman"/>
            <family val="1"/>
          </rPr>
          <t xml:space="preserve">Bead of healing:  </t>
        </r>
        <r>
          <rPr>
            <sz val="12"/>
            <color indexed="81"/>
            <rFont val="Times New Roman"/>
            <family val="1"/>
          </rPr>
          <t xml:space="preserve">Wearer can cast his choice of cure serious wounds, remove blindness/deafness, or remove disease.
</t>
        </r>
        <r>
          <rPr>
            <b/>
            <sz val="12"/>
            <color indexed="81"/>
            <rFont val="Times New Roman"/>
            <family val="1"/>
          </rPr>
          <t xml:space="preserve">Bead of karma:  </t>
        </r>
        <r>
          <rPr>
            <sz val="12"/>
            <color indexed="81"/>
            <rFont val="Times New Roman"/>
            <family val="1"/>
          </rPr>
          <t xml:space="preserve">Wearer casts his spells at +4 caster level.  Effect lasts 10 minutes.
</t>
        </r>
        <r>
          <rPr>
            <b/>
            <sz val="12"/>
            <color indexed="81"/>
            <rFont val="Times New Roman"/>
            <family val="1"/>
          </rPr>
          <t xml:space="preserve">Bead of smiting:  </t>
        </r>
        <r>
          <rPr>
            <sz val="12"/>
            <color indexed="81"/>
            <rFont val="Times New Roman"/>
            <family val="1"/>
          </rPr>
          <t xml:space="preserve">Wearer can cast chaos hammer, holy smite, order’s wrath, or unholy blight (Will DC 17 partial).
</t>
        </r>
        <r>
          <rPr>
            <b/>
            <sz val="12"/>
            <color indexed="81"/>
            <rFont val="Times New Roman"/>
            <family val="1"/>
          </rPr>
          <t xml:space="preserve">Bead of summons:  </t>
        </r>
        <r>
          <rPr>
            <sz val="12"/>
            <color indexed="81"/>
            <rFont val="Times New Roman"/>
            <family val="1"/>
          </rPr>
          <t xml:space="preserve">Summons a powerful creature of appropriate alignment from the Outer Planes (an angel, devil, etc.) to aid the wearer for one day.  (If the wearer uses the bead of summons to summon a deity’s emissary frivolously, the deity takes that character’s items and places a geas upon him as punishment in the very least.)
</t>
        </r>
        <r>
          <rPr>
            <b/>
            <sz val="12"/>
            <color indexed="81"/>
            <rFont val="Times New Roman"/>
            <family val="1"/>
          </rPr>
          <t xml:space="preserve">Bead of wind walking:  </t>
        </r>
        <r>
          <rPr>
            <sz val="12"/>
            <color indexed="81"/>
            <rFont val="Times New Roman"/>
            <family val="1"/>
          </rPr>
          <t>Wearer can cast wind walk.
A lesser strand of prayer beads has a bead of blessing and a bead of healing.  A strand of prayer beads has a bead of healing, a bead of karma, and a bead of smiting.  A greater strand of prayer beads has a bead of healing, a bead of karma, a bead of summons, and a bead of wind walking.  Each special bead can be used once per day, except for the bead of summons, which works only once and then becomes nonmagical.  The beads of blessing, smiting, and wind walking function as spell trigger items; the beads of karma and summons can be activated by any character capable of casting divine spells.  The owner need not hold or wear the strand of prayer beads in any specific location, as long as he carries it somewhere on his person.  The power of a special bead is lost if it is removed.
DMG 267</t>
        </r>
      </text>
    </comment>
    <comment ref="A9" authorId="0" shapeId="0" xr:uid="{00000000-0006-0000-0700-000002000000}">
      <text>
        <r>
          <rPr>
            <sz val="12"/>
            <color indexed="81"/>
            <rFont val="Times New Roman"/>
            <family val="1"/>
          </rPr>
          <t>This appears to be an unremarkable robe, but a character who dons it notes that it is adorned with small cloth patches of various shapes.  Only the wearer of the robe can see these patches, recognize them for what items they become, and detach them.  One patch can be detached each round.  Detaching a patch causes it to become an actual item, as indicated below.  A newly created robe of useful items always has two each of the following patches:
• Dagger
• Bullseye Lantern (filled and lit)
• Mirror (a highly polished 2-foot-by-4-foot steel mirror)
• Pole (10-foot length)
• Hempen Rope (50-foot coil)
• Sack
In addition, the robe has several other patches.  Roll 4d4 for the number of other patches and then roll for each patch on the table below to determine its nature.
Multiple items of the same kind are permissible.  Once removed, a patch cannot be replaced.
DMG 266</t>
        </r>
      </text>
    </comment>
    <comment ref="D21" authorId="0" shapeId="0" xr:uid="{00000000-0006-0000-0700-000003000000}">
      <text>
        <r>
          <rPr>
            <sz val="12"/>
            <color indexed="81"/>
            <rFont val="Times New Roman"/>
            <family val="1"/>
          </rPr>
          <t>This appears to be a common cloth sack about 2 feet by 4 feet in size.  The bag of holding opens into a nondimensional space: Its inside is larger than its outside dimensions.  Regardless of what is put into the bag, it weighs a fixed amount.  This weight, and the limits in weight and volume of the bag’s contents, depend on the bag’s type.
If the bag is overloaded, or if sharp objects pierce it (from inside or outside), the bag ruptures and is ruined.  All contents are lost forever.  If a bag of holding is turned inside out, its contents spill out, unharmed, but the bag must be put right before it can be used again.  If living creatures are placed within the bag, they can survive for up to 10 minutes, after which time they suffocate.  Retrieving a specific item from a bag of holding is a move action—unless the bag contains more than an ordinary backpack would hold, in which case retrieving a specific item is a full-round action.
If a bag of holding is placed within a portable hole (page 264), a rift to the Astral Plane is torn in the space: Bag and hole alike are sucked into the void and forever lost.  If a portable hole is placed within a bag of holding, it opens a gate to the Astral Plane: The hole, the bag, and any creatures within a 10-foot radius are drawn there, destroying the portable hole and bag of holding in the process.
DMG 248</t>
        </r>
      </text>
    </comment>
    <comment ref="A23" authorId="0" shapeId="0" xr:uid="{00000000-0006-0000-0700-000004000000}">
      <text>
        <r>
          <rPr>
            <sz val="12"/>
            <color indexed="81"/>
            <rFont val="Times New Roman"/>
            <family val="1"/>
          </rPr>
          <t xml:space="preserve">This small black sphere appears to be a lusterless pearl.  You can throw it up to 60 feet with no range penalties.  Upon sharp impact, the bead explodes, sending forth a burst that deals 5d6 points of force damage to all creatures within a 10-foot radius.
It functions like an </t>
        </r>
        <r>
          <rPr>
            <i/>
            <sz val="12"/>
            <color indexed="81"/>
            <rFont val="Times New Roman"/>
            <family val="1"/>
          </rPr>
          <t xml:space="preserve">Otiluke’s resilient sphere </t>
        </r>
        <r>
          <rPr>
            <sz val="12"/>
            <color indexed="81"/>
            <rFont val="Times New Roman"/>
            <family val="1"/>
          </rPr>
          <t>spell (Reflex DC 16 negates) with a radius of 10 feet and a duration of 10 minutes.  A globe of shimmering force encloses a creature, provided the latter is small enough to fit within the diameter of the sphere.  The sphere contains its subject for the spell’s duration.  The sphere is not subject to damage of any sort except from a rod of cancellation, a rod of negation, disintegrate, or a targeted dispel magic spell. These effects destroy the sphere without harm to the subject. Nothing can pass through the sphere, inside or out, though the subject can breathe normally. The subject may struggle, but the globe cannot be physically moved either by people outside it or by the struggles of those within.
The explosion completely consumes the bead, making this a one-use item.
DMG 248</t>
        </r>
      </text>
    </comment>
    <comment ref="A36" authorId="0" shapeId="0" xr:uid="{00000000-0006-0000-0700-000005000000}">
      <text>
        <r>
          <rPr>
            <sz val="12"/>
            <color indexed="81"/>
            <rFont val="Times New Roman"/>
            <family val="1"/>
          </rPr>
          <t>A folding boat looks like a small wooden box—about 12 inches long, 6 inches wide, and 6 inches deep.  It can be used to store items like any other box.  If a command word is given, however, the box unfolds itself to form a boat 10 feet long, 4 feet wide, and 2 feet in depth.  A second command word causes it to unfold to a ship 24 feet long, 8 feet wide, and 6 feet deep.  Any objects formerly stored in the box now rest inside the boat or ship.
In its smaller form, the boat has one pair of oars, an anchor, a mast, and a lateen sail.  In its larger form, the boat has a deck, single rowing seats, five sets of oars, a steering oar, an anchor, a deck cabin, and a mast with a square sail.  The boat can hold four people comfortably, while the ship carries fifteen with ease.
A third word of command causes the boat or ship to fold itself into a box once again.  The words of command may be inscribed visibly or invisibly on the box, or they may be written elsewhere— perhaps on an item within the box.
Faint transmutation; CL 6th; Craft Wondrous Item, fabricate, creator must have 2 ranks in the Craft (shipmaking) skill; Price 7,200 gp; Weight 4 lb.
DMG 249</t>
        </r>
      </text>
    </comment>
    <comment ref="A40" authorId="0" shapeId="0" xr:uid="{00000000-0006-0000-0700-000006000000}">
      <text>
        <r>
          <rPr>
            <sz val="12"/>
            <color indexed="81"/>
            <rFont val="Times New Roman"/>
            <family val="1"/>
          </rPr>
          <t>A jar of this unguent is 3 inches in diameter and 1 inch deep and contains five applications.  Placed upon a poisoned wound or swallowed, the ointment detoxifies any poison (as neutralize poison).  Applied to a diseased area, it removes disease (as remove disease).  Rubbed on a wound, the ointment cures 1d8+5 points of damage (as cure light wounds).
DMG 261</t>
        </r>
      </text>
    </comment>
    <comment ref="A45" authorId="0" shapeId="0" xr:uid="{00000000-0006-0000-0700-000007000000}">
      <text>
        <r>
          <rPr>
            <sz val="12"/>
            <color indexed="81"/>
            <rFont val="Times New Roman"/>
            <family val="1"/>
          </rPr>
          <t xml:space="preserve">Each of these items is a small feather that has a power to suit a special need.  The kinds of tokens are described below.  Each token is usable once.
</t>
        </r>
        <r>
          <rPr>
            <b/>
            <sz val="12"/>
            <color indexed="81"/>
            <rFont val="Times New Roman"/>
            <family val="1"/>
          </rPr>
          <t xml:space="preserve">Anchor:  </t>
        </r>
        <r>
          <rPr>
            <sz val="12"/>
            <color indexed="81"/>
            <rFont val="Times New Roman"/>
            <family val="1"/>
          </rPr>
          <t xml:space="preserve">A token useful to moor a craft in water so as to render it immobile for up to one day.
</t>
        </r>
        <r>
          <rPr>
            <b/>
            <sz val="12"/>
            <color indexed="81"/>
            <rFont val="Times New Roman"/>
            <family val="1"/>
          </rPr>
          <t xml:space="preserve">Bird:  </t>
        </r>
        <r>
          <rPr>
            <sz val="12"/>
            <color indexed="81"/>
            <rFont val="Times New Roman"/>
            <family val="1"/>
          </rPr>
          <t xml:space="preserve">A token that can be used to deliver a small written message unerringly to a designated target as would a carrier pigeon.  The token lasts as long as it takes to carry the message.
</t>
        </r>
        <r>
          <rPr>
            <b/>
            <sz val="12"/>
            <color indexed="81"/>
            <rFont val="Times New Roman"/>
            <family val="1"/>
          </rPr>
          <t xml:space="preserve">Fan:  </t>
        </r>
        <r>
          <rPr>
            <sz val="12"/>
            <color indexed="81"/>
            <rFont val="Times New Roman"/>
            <family val="1"/>
          </rPr>
          <t xml:space="preserve">A token that forms a huge flapping fan, causing a breeze of sufficient strength to propel one ship (about 25 mph).  This wind is not cumulative with existing wind speed—if a severe wind is already blowing, for example, this wind cannot be added to it to create a windstorm.  The token can, however, be used to lessen existing winds, creating an area of relative calm or lighter winds (but wave size in a storm is not affected).  The fan can be used for up to 8 hours.  It does not function on land.
</t>
        </r>
        <r>
          <rPr>
            <b/>
            <sz val="12"/>
            <color indexed="81"/>
            <rFont val="Times New Roman"/>
            <family val="1"/>
          </rPr>
          <t xml:space="preserve">Swan Boat:  </t>
        </r>
        <r>
          <rPr>
            <sz val="12"/>
            <color indexed="81"/>
            <rFont val="Times New Roman"/>
            <family val="1"/>
          </rPr>
          <t xml:space="preserve">A token that forms a swanlike boat capable of moving on water at a speed of 60 feet.  It can carry eight horses and gear or thirty-two Medium characters or any equivalent combination.  The boat lasts for one day.
</t>
        </r>
        <r>
          <rPr>
            <b/>
            <sz val="12"/>
            <color indexed="81"/>
            <rFont val="Times New Roman"/>
            <family val="1"/>
          </rPr>
          <t xml:space="preserve">Tree:  </t>
        </r>
        <r>
          <rPr>
            <sz val="12"/>
            <color indexed="81"/>
            <rFont val="Times New Roman"/>
            <family val="1"/>
          </rPr>
          <t xml:space="preserve">A token that causes a great oak to spring into being (5-footdiameter trunk, 60-foot height, 40-foot top diameter).  This is an instantaneous effect.
</t>
        </r>
        <r>
          <rPr>
            <b/>
            <sz val="12"/>
            <color indexed="81"/>
            <rFont val="Times New Roman"/>
            <family val="1"/>
          </rPr>
          <t xml:space="preserve">Whip:  </t>
        </r>
        <r>
          <rPr>
            <sz val="12"/>
            <color indexed="81"/>
            <rFont val="Times New Roman"/>
            <family val="1"/>
          </rPr>
          <t>A token that forms into a huge leather whip and wields itself against any opponent desired just like a dancing weapon (see page 224).  The weapon has a +10 base attack bonus, does 1d6+1 points of damage, has a +1 enhancement bonus on attack and damage rolls, and a makes a free grapple attack (with a +15 attack bonus) if it hits.  The whip lasts no longer than 1 hour.
DMG 264</t>
        </r>
      </text>
    </comment>
    <comment ref="A46" authorId="0" shapeId="0" xr:uid="{00000000-0006-0000-0700-000008000000}">
      <text>
        <r>
          <rPr>
            <sz val="12"/>
            <color indexed="81"/>
            <rFont val="Times New Roman"/>
            <family val="1"/>
          </rPr>
          <t xml:space="preserve">Each of these items is a small feather that has a power to suit a special need.  The kinds of tokens are described below.  Each token is usable once.
</t>
        </r>
        <r>
          <rPr>
            <b/>
            <sz val="12"/>
            <color indexed="81"/>
            <rFont val="Times New Roman"/>
            <family val="1"/>
          </rPr>
          <t xml:space="preserve">Anchor:  </t>
        </r>
        <r>
          <rPr>
            <sz val="12"/>
            <color indexed="81"/>
            <rFont val="Times New Roman"/>
            <family val="1"/>
          </rPr>
          <t xml:space="preserve">A token useful to moor a craft in water so as to render it immobile for up to one day.
</t>
        </r>
        <r>
          <rPr>
            <b/>
            <sz val="12"/>
            <color indexed="81"/>
            <rFont val="Times New Roman"/>
            <family val="1"/>
          </rPr>
          <t xml:space="preserve">Bird:  </t>
        </r>
        <r>
          <rPr>
            <sz val="12"/>
            <color indexed="81"/>
            <rFont val="Times New Roman"/>
            <family val="1"/>
          </rPr>
          <t xml:space="preserve">A token that can be used to deliver a small written message unerringly to a designated target as would a carrier pigeon.  The token lasts as long as it takes to carry the message.
</t>
        </r>
        <r>
          <rPr>
            <b/>
            <sz val="12"/>
            <color indexed="81"/>
            <rFont val="Times New Roman"/>
            <family val="1"/>
          </rPr>
          <t xml:space="preserve">Fan:  </t>
        </r>
        <r>
          <rPr>
            <sz val="12"/>
            <color indexed="81"/>
            <rFont val="Times New Roman"/>
            <family val="1"/>
          </rPr>
          <t xml:space="preserve">A token that forms a huge flapping fan, causing a breeze of sufficient strength to propel one ship (about 25 mph).  This wind is not cumulative with existing wind speed—if a severe wind is already blowing, for example, this wind cannot be added to it to create a windstorm.  The token can, however, be used to lessen existing winds, creating an area of relative calm or lighter winds (but wave size in a storm is not affected).  The fan can be used for up to 8 hours.  It does not function on land.
</t>
        </r>
        <r>
          <rPr>
            <b/>
            <sz val="12"/>
            <color indexed="81"/>
            <rFont val="Times New Roman"/>
            <family val="1"/>
          </rPr>
          <t xml:space="preserve">Swan Boat:  </t>
        </r>
        <r>
          <rPr>
            <sz val="12"/>
            <color indexed="81"/>
            <rFont val="Times New Roman"/>
            <family val="1"/>
          </rPr>
          <t xml:space="preserve">A token that forms a swanlike boat capable of moving on water at a speed of 60 feet.  It can carry eight horses and gear or thirty-two Medium characters or any equivalent combination.  The boat lasts for one day.
</t>
        </r>
        <r>
          <rPr>
            <b/>
            <sz val="12"/>
            <color indexed="81"/>
            <rFont val="Times New Roman"/>
            <family val="1"/>
          </rPr>
          <t xml:space="preserve">Tree:  </t>
        </r>
        <r>
          <rPr>
            <sz val="12"/>
            <color indexed="81"/>
            <rFont val="Times New Roman"/>
            <family val="1"/>
          </rPr>
          <t xml:space="preserve">A token that causes a great oak to spring into being (5-footdiameter trunk, 60-foot height, 40-foot top diameter).  This is an instantaneous effect.
</t>
        </r>
        <r>
          <rPr>
            <b/>
            <sz val="12"/>
            <color indexed="81"/>
            <rFont val="Times New Roman"/>
            <family val="1"/>
          </rPr>
          <t xml:space="preserve">Whip:  </t>
        </r>
        <r>
          <rPr>
            <sz val="12"/>
            <color indexed="81"/>
            <rFont val="Times New Roman"/>
            <family val="1"/>
          </rPr>
          <t>A token that forms into a huge leather whip and wields itself against any opponent desired just like a dancing weapon (see page 224).  The weapon has a +10 base attack bonus, does 1d6+1 points of damage, has a +1 enhancement bonus on attack and damage rolls, and a makes a free grapple attack (with a +15 attack bonus) if it hits.  The whip lasts no longer than 1 hour.
DMG 264</t>
        </r>
      </text>
    </comment>
    <comment ref="A47" authorId="0" shapeId="0" xr:uid="{00000000-0006-0000-0700-000009000000}">
      <text>
        <r>
          <rPr>
            <sz val="12"/>
            <color indexed="81"/>
            <rFont val="Times New Roman"/>
            <family val="1"/>
          </rPr>
          <t xml:space="preserve">Each of these items is a small feather that has a power to suit a special need.  The kinds of tokens are described below.  Each token is usable once.
</t>
        </r>
        <r>
          <rPr>
            <b/>
            <sz val="12"/>
            <color indexed="81"/>
            <rFont val="Times New Roman"/>
            <family val="1"/>
          </rPr>
          <t xml:space="preserve">Anchor:  </t>
        </r>
        <r>
          <rPr>
            <sz val="12"/>
            <color indexed="81"/>
            <rFont val="Times New Roman"/>
            <family val="1"/>
          </rPr>
          <t xml:space="preserve">A token useful to moor a craft in water so as to render it immobile for up to one day.
</t>
        </r>
        <r>
          <rPr>
            <b/>
            <sz val="12"/>
            <color indexed="81"/>
            <rFont val="Times New Roman"/>
            <family val="1"/>
          </rPr>
          <t xml:space="preserve">Bird:  </t>
        </r>
        <r>
          <rPr>
            <sz val="12"/>
            <color indexed="81"/>
            <rFont val="Times New Roman"/>
            <family val="1"/>
          </rPr>
          <t xml:space="preserve">A token that can be used to deliver a small written message unerringly to a designated target as would a carrier pigeon.  The token lasts as long as it takes to carry the message.
</t>
        </r>
        <r>
          <rPr>
            <b/>
            <sz val="12"/>
            <color indexed="81"/>
            <rFont val="Times New Roman"/>
            <family val="1"/>
          </rPr>
          <t xml:space="preserve">Fan:  </t>
        </r>
        <r>
          <rPr>
            <sz val="12"/>
            <color indexed="81"/>
            <rFont val="Times New Roman"/>
            <family val="1"/>
          </rPr>
          <t xml:space="preserve">A token that forms a huge flapping fan, causing a breeze of sufficient strength to propel one ship (about 25 mph).  This wind is not cumulative with existing wind speed—if a severe wind is already blowing, for example, this wind cannot be added to it to create a windstorm.  The token can, however, be used to lessen existing winds, creating an area of relative calm or lighter winds (but wave size in a storm is not affected).  The fan can be used for up to 8 hours.  It does not function on land.
</t>
        </r>
        <r>
          <rPr>
            <b/>
            <sz val="12"/>
            <color indexed="81"/>
            <rFont val="Times New Roman"/>
            <family val="1"/>
          </rPr>
          <t xml:space="preserve">Swan Boat:  </t>
        </r>
        <r>
          <rPr>
            <sz val="12"/>
            <color indexed="81"/>
            <rFont val="Times New Roman"/>
            <family val="1"/>
          </rPr>
          <t xml:space="preserve">A token that forms a swanlike boat capable of moving on water at a speed of 60 feet.  It can carry eight horses and gear or thirty-two Medium characters or any equivalent combination.  The boat lasts for one day.
</t>
        </r>
        <r>
          <rPr>
            <b/>
            <sz val="12"/>
            <color indexed="81"/>
            <rFont val="Times New Roman"/>
            <family val="1"/>
          </rPr>
          <t xml:space="preserve">Tree:  </t>
        </r>
        <r>
          <rPr>
            <sz val="12"/>
            <color indexed="81"/>
            <rFont val="Times New Roman"/>
            <family val="1"/>
          </rPr>
          <t xml:space="preserve">A token that causes a great oak to spring into being (5-footdiameter trunk, 60-foot height, 40-foot top diameter).  This is an instantaneous effect.
</t>
        </r>
        <r>
          <rPr>
            <b/>
            <sz val="12"/>
            <color indexed="81"/>
            <rFont val="Times New Roman"/>
            <family val="1"/>
          </rPr>
          <t xml:space="preserve">Whip:  </t>
        </r>
        <r>
          <rPr>
            <sz val="12"/>
            <color indexed="81"/>
            <rFont val="Times New Roman"/>
            <family val="1"/>
          </rPr>
          <t>A token that forms into a huge leather whip and wields itself against any opponent desired just like a dancing weapon (see page 224).  The weapon has a +10 base attack bonus, does 1d6+1 points of damage, has a +1 enhancement bonus on attack and damage rolls, and a makes a free grapple attack (with a +15 attack bonus) if it hits.  The whip lasts no longer than 1 hour.
DMG 264</t>
        </r>
      </text>
    </comment>
    <comment ref="A49" authorId="0" shapeId="0" xr:uid="{00000000-0006-0000-0700-00000A000000}">
      <text>
        <r>
          <rPr>
            <sz val="12"/>
            <color indexed="81"/>
            <rFont val="Times New Roman"/>
            <family val="1"/>
          </rPr>
          <t>This substance provides a +20 competence bonus on all Escape Artist checks, meaning that it is almost impossible to grapple such a character or to tie or chain him up.  In addition, such obstructions as webs (magical or otherwise) do not affect an anointed individual.  Magic ropes and the like do not avail against this salve.  If it is smeared on a floor or on steps, the area should be treated as a long-lasting grease spell.  The salve requires 8 hours to wear off normally, or it can be wiped off with an alcohol solution (even wine).
Salve of slipperiness is needed to coat the inside of a container that is meant to hold sovereign glue (see below).
DMG 266</t>
        </r>
      </text>
    </comment>
    <comment ref="A55" authorId="0" shapeId="0" xr:uid="{00000000-0006-0000-0700-00000B000000}">
      <text>
        <r>
          <rPr>
            <sz val="12"/>
            <color indexed="81"/>
            <rFont val="Times New Roman"/>
            <family val="1"/>
          </rPr>
          <t>This substance can be applied to a weapon as a standard action.  It will give the weapon the properties of alchemical silver (see page 284) for 1 hour, replacing the properties of any other special material it might have.  For example, a +1 holy adamantine longsword becomes a +1 holy silver longsword for the duration of the effect.  One vial will coat a single melee weapon or 20 units of ammunition.
DMG 266</t>
        </r>
      </text>
    </comment>
    <comment ref="A58" authorId="0" shapeId="0" xr:uid="{00000000-0006-0000-0700-00000C000000}">
      <text>
        <r>
          <rPr>
            <sz val="12"/>
            <color indexed="81"/>
            <rFont val="Times New Roman"/>
            <family val="1"/>
          </rPr>
          <t>This pale amber substance is thick and viscous.  Because of its particular powers, it can be contained only in a flask whose inside has been coated with 1 ounce of salve of slipperiness (see the previous page), and each time any of the bonding agent is poured from the flask, a new application of the salve of slipperiness must be put in the flask within 1 round to prevent the remaining glue from adhering to the side of the container.  A flask of sovereign glue, when found, holds anywhere from 1 to 7 ounces of the stuff (1d8–1, minimum 1), with the other ounce of the flask’s capacity taken up by the salve of slipperiness.  One ounce of this adhesive covers 1 square foot of surface, bonding virtually any two substances together in a permanent union.  The glue takes 1 round to set.  If the objects are pulled apart (a move action) before that time has elapsed, that application of the glue loses its stickiness and is worthless.  If the glue is allowed to set, then attempting to separate the two bonded objects has no effect, except when universal solvent is applied to the bond.  (Sovereign glue is dissolved by universal solvent.)
DMG 266 - 7</t>
        </r>
      </text>
    </comment>
    <comment ref="A60" authorId="0" shapeId="0" xr:uid="{00000000-0006-0000-0700-00000D000000}">
      <text>
        <r>
          <rPr>
            <sz val="12"/>
            <color indexed="81"/>
            <rFont val="Times New Roman"/>
            <family val="1"/>
          </rPr>
          <t>This ointment has two uses.  If an ounce of it is applied to the flesh of a petrified creature, it returns the creature to flesh as the stone to flesh spell.  If an ounce of it is applied to the flesh of a nonpetrified creature, it protects the creature as a stoneskin spell.
DMG 267</t>
        </r>
      </text>
    </comment>
    <comment ref="A64" authorId="0" shapeId="0" xr:uid="{00000000-0006-0000-0700-00000E000000}">
      <text>
        <r>
          <rPr>
            <sz val="12"/>
            <color indexed="81"/>
            <rFont val="Times New Roman"/>
            <family val="1"/>
          </rPr>
          <t>When applied to any matter that was once alive (leather, leaves, paper, wood, dead flesh, and so on), this ointment allows that substance to resist the passage of time.  Each year of actual time affects the substance as if only a day had passed.  The coated object gains a +1 resistance bonus on all saving throws.  The unguent never wears off, although it can be magically removed (by dispelling the effect, for instance).  One flask contains enough material to coat eight Medium or smaller objects.  A Large object counts as two Medium objects, and a Huge object counts as two Large objects.
DMG 268</t>
        </r>
      </text>
    </comment>
    <comment ref="A65" authorId="0" shapeId="0" xr:uid="{00000000-0006-0000-0700-00000F000000}">
      <text>
        <r>
          <rPr>
            <sz val="12"/>
            <color indexed="81"/>
            <rFont val="Times New Roman"/>
            <family val="1"/>
          </rPr>
          <t>This substance has the unique property of being able to dissolve sovereign glue (see page 266), tanglefoot bags (see page 128 of the Player’s Handbook), and the adhesive created by a kuo-toa (see page 163 of the Monster Manual).  Applying the solvent is a standard action.
DMG 268</t>
        </r>
      </text>
    </comment>
    <comment ref="D71" authorId="0" shapeId="0" xr:uid="{00000000-0006-0000-0700-000010000000}">
      <text>
        <r>
          <rPr>
            <sz val="12"/>
            <color indexed="81"/>
            <rFont val="Times New Roman"/>
            <family val="1"/>
          </rPr>
          <t>This appears to be an unremarkable robe, but a character who dons it notes that it is adorned with small cloth patches of various shapes.  Only the wearer of the robe can see these patches, recognize them for what items they become, and detach them.  One patch can be detached each round.  Detaching a patch causes it to become an actual item, as indicated below.  A newly created robe of useful items always has two each of the following patches:
• Dagger
• Bullseye Lantern (filled and lit)
• Mirror (a highly polished 2-foot-by-4-foot steel mirror)
• Pole (10-foot length)
• Hempen Rope (50-foot coil)
• Sack
In addition, the robe has several other patches.  Roll 4d4 for the number of other patches and then roll for each patch on the table below to determine its nature.
Multiple items of the same kind are permissible.  Once removed, a patch cannot be replaced.
DMG 266</t>
        </r>
      </text>
    </comment>
  </commentList>
</comments>
</file>

<file path=xl/sharedStrings.xml><?xml version="1.0" encoding="utf-8"?>
<sst xmlns="http://schemas.openxmlformats.org/spreadsheetml/2006/main" count="1222" uniqueCount="503">
  <si>
    <t>Properties</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</si>
  <si>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</si>
  <si>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</si>
  <si>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</si>
  <si>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</si>
  <si>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</si>
  <si>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</si>
  <si>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</si>
  <si>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</si>
  <si>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</si>
  <si>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</si>
  <si>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</si>
  <si>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</si>
  <si>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</si>
  <si>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</si>
  <si>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</si>
  <si>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</si>
  <si>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</si>
  <si>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</si>
  <si>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</si>
  <si>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</si>
  <si>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</si>
  <si>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</si>
  <si>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</si>
  <si>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</si>
  <si>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</si>
  <si>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</si>
  <si>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</si>
  <si>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</si>
  <si>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</si>
  <si>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</si>
  <si>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</si>
  <si>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</si>
  <si>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</si>
  <si>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</si>
  <si>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</si>
  <si>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</si>
  <si>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</si>
  <si>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</si>
  <si>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</si>
  <si>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</si>
  <si>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</si>
  <si>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</si>
  <si>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</si>
  <si>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</si>
  <si>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</si>
  <si>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</si>
  <si>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</si>
  <si>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</si>
  <si>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</si>
  <si>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</si>
  <si>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</si>
  <si>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</si>
  <si>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</si>
  <si>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</si>
  <si>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</si>
  <si>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</si>
  <si>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</si>
  <si>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</si>
  <si>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</si>
  <si>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</si>
  <si>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</si>
  <si>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</si>
  <si>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Languages</t>
  </si>
  <si>
    <t>Item</t>
  </si>
  <si>
    <t>Effects/</t>
  </si>
  <si>
    <t>Notes</t>
  </si>
  <si>
    <t>Equipment Carried</t>
  </si>
  <si>
    <t>Check</t>
  </si>
  <si>
    <t>Arcane</t>
  </si>
  <si>
    <t>Speed</t>
  </si>
  <si>
    <t>Sleight of Hand</t>
  </si>
  <si>
    <t>Survival</t>
  </si>
  <si>
    <t>Atk</t>
  </si>
  <si>
    <t>Feats</t>
  </si>
  <si>
    <t>1</t>
  </si>
  <si>
    <t>Bedroll</t>
  </si>
  <si>
    <t>Trail Rations</t>
  </si>
  <si>
    <t>Roll</t>
  </si>
  <si>
    <t>Perform:  [type]</t>
  </si>
  <si>
    <t>Waterskin</t>
  </si>
  <si>
    <t>Flint and Steel</t>
  </si>
  <si>
    <t>1d6</t>
  </si>
  <si>
    <t>30’</t>
  </si>
  <si>
    <t>Value</t>
  </si>
  <si>
    <t>Level</t>
  </si>
  <si>
    <t>-</t>
  </si>
  <si>
    <t>Female</t>
  </si>
  <si>
    <t>Speak Language</t>
  </si>
  <si>
    <t>Craft:  [type]</t>
  </si>
  <si>
    <t>x3</t>
  </si>
  <si>
    <t>60’</t>
  </si>
  <si>
    <t>Arrows</t>
  </si>
  <si>
    <t>+0</t>
  </si>
  <si>
    <t>Proficiencies</t>
  </si>
  <si>
    <t>Shields (not tower)</t>
  </si>
  <si>
    <t>DC</t>
  </si>
  <si>
    <t>Cast?</t>
  </si>
  <si>
    <t>Duration</t>
  </si>
  <si>
    <t>Range</t>
  </si>
  <si>
    <t>Casting</t>
  </si>
  <si>
    <t>Components</t>
  </si>
  <si>
    <t>School</t>
  </si>
  <si>
    <t>Spell</t>
  </si>
  <si>
    <t>Reference</t>
  </si>
  <si>
    <t>Page</t>
  </si>
  <si>
    <t>+2 vs. Enchantments</t>
  </si>
  <si>
    <t>Ranged Touch Attack</t>
  </si>
  <si>
    <t>varies</t>
  </si>
  <si>
    <t>+2 vs. Enchantments; +2 vs. all spells</t>
  </si>
  <si>
    <t>Grapple</t>
  </si>
  <si>
    <t>Total Equity:</t>
  </si>
  <si>
    <t>1st</t>
  </si>
  <si>
    <t>2nd</t>
  </si>
  <si>
    <t>3rd</t>
  </si>
  <si>
    <t>4th</t>
  </si>
  <si>
    <t>5th</t>
  </si>
  <si>
    <t>* Proper refers to staying within the parameters of the rules, stats and setting.</t>
  </si>
  <si>
    <t>Current XP Balance</t>
  </si>
  <si>
    <t>Previous XP Balance</t>
  </si>
  <si>
    <t>Extra XPs</t>
  </si>
  <si>
    <t xml:space="preserve"> Character award for this segment</t>
  </si>
  <si>
    <t>Maximum award for this segment</t>
  </si>
  <si>
    <t>Missed Posts</t>
  </si>
  <si>
    <t>Consistency with other characters’ actions or setting description</t>
  </si>
  <si>
    <t>Excellent</t>
  </si>
  <si>
    <t>Convincing role-playing and creative storytelling</t>
  </si>
  <si>
    <t>Creative use of skills, feats, and other abilities</t>
  </si>
  <si>
    <t>Proper* representation of die rolls and PC limitations</t>
  </si>
  <si>
    <t>Overall organization and clarity</t>
  </si>
  <si>
    <t>Attention to spelling, punctuation &amp; grammar</t>
  </si>
  <si>
    <t>Consistent use of past tense, third person</t>
  </si>
  <si>
    <t>Length of IC posts (ideal is ½ a page)</t>
  </si>
  <si>
    <t>Punctuality of IC posts (Friday 17:00 PST/GMT-8)</t>
  </si>
  <si>
    <t>%</t>
  </si>
  <si>
    <t>Character:</t>
  </si>
  <si>
    <t>Unarmed Punch/Kick</t>
  </si>
  <si>
    <t>1d4</t>
  </si>
  <si>
    <t>x2</t>
  </si>
  <si>
    <t>Bludgeon</t>
  </si>
  <si>
    <t>Truedeath Crystal, Lesser</t>
  </si>
  <si>
    <t>vs.</t>
  </si>
  <si>
    <t>undead</t>
  </si>
  <si>
    <t>Specificity</t>
  </si>
  <si>
    <t>Unarmed, 2nd Attack</t>
  </si>
  <si>
    <t>Unarmed, 3rd Attack</t>
  </si>
  <si>
    <r>
      <t xml:space="preserve">Unarmed, </t>
    </r>
    <r>
      <rPr>
        <i/>
        <sz val="12"/>
        <rFont val="Times New Roman"/>
        <family val="1"/>
      </rPr>
      <t>haste</t>
    </r>
  </si>
  <si>
    <t>Overcome Spell Resistance</t>
  </si>
  <si>
    <t>0th</t>
  </si>
  <si>
    <t>Total Daily Spells</t>
  </si>
  <si>
    <t>Caster Class</t>
  </si>
  <si>
    <t>CL</t>
  </si>
  <si>
    <t>Scrolls and Potions</t>
  </si>
  <si>
    <t>CLev</t>
  </si>
  <si>
    <t>Played by Liz</t>
  </si>
  <si>
    <t>Medusa</t>
  </si>
  <si>
    <t>Favored Soul</t>
  </si>
  <si>
    <t>Consecrated Harrier</t>
  </si>
  <si>
    <t>Darkvision 60’</t>
  </si>
  <si>
    <t>Medusa Features</t>
  </si>
  <si>
    <t>Poison (1 Str, 2 Str)</t>
  </si>
  <si>
    <t>Profession:  []</t>
  </si>
  <si>
    <t>Medusa 1</t>
  </si>
  <si>
    <t>Medusa 2</t>
  </si>
  <si>
    <t>Medusa 3</t>
  </si>
  <si>
    <t>Medusa 4</t>
  </si>
  <si>
    <t>Favored Soul 1</t>
  </si>
  <si>
    <t>Favored Soul Known Spells</t>
  </si>
  <si>
    <t>Favored Soul Spells</t>
  </si>
  <si>
    <t>Daily Favored Soul Spells</t>
  </si>
  <si>
    <t>Harrier Spells</t>
  </si>
  <si>
    <t>Charisma Bonus</t>
  </si>
  <si>
    <t>Wisdom Bonus</t>
  </si>
  <si>
    <t>Daily Harrier Spells</t>
  </si>
  <si>
    <t>Harrier Features</t>
  </si>
  <si>
    <t>Favored Soul Features</t>
  </si>
  <si>
    <t>Samara</t>
  </si>
  <si>
    <t>nas Jaddah nas Nuraila var Yahg</t>
  </si>
  <si>
    <t>Divine Agent</t>
  </si>
  <si>
    <t>Lawful Good</t>
  </si>
  <si>
    <t>195 lbs</t>
  </si>
  <si>
    <t>5’ 11”</t>
  </si>
  <si>
    <t>Common, Medusan</t>
  </si>
  <si>
    <t>Snakes 1d4+1</t>
  </si>
  <si>
    <t>Natural Armor</t>
  </si>
  <si>
    <t>1d8</t>
  </si>
  <si>
    <t>Piercing</t>
  </si>
  <si>
    <t>2 Decorated Masterwork Daggers</t>
  </si>
  <si>
    <t>19-20/x2</t>
  </si>
  <si>
    <t>Pierce/Slash</t>
  </si>
  <si>
    <t>Spear, 2nd Attack</t>
  </si>
  <si>
    <t>Spear, 3rd Attack</t>
  </si>
  <si>
    <r>
      <t xml:space="preserve">Spear, </t>
    </r>
    <r>
      <rPr>
        <i/>
        <sz val="12"/>
        <rFont val="Times New Roman"/>
        <family val="1"/>
      </rPr>
      <t>haste</t>
    </r>
  </si>
  <si>
    <t>+1 Seeking Darkwood Composite Longbow</t>
  </si>
  <si>
    <t>+1</t>
  </si>
  <si>
    <t>Longbow 2nd Attack</t>
  </si>
  <si>
    <t>Longbow, 3rd Attack</t>
  </si>
  <si>
    <r>
      <t xml:space="preserve">Longbow, </t>
    </r>
    <r>
      <rPr>
        <i/>
        <sz val="12"/>
        <rFont val="Times New Roman"/>
        <family val="1"/>
      </rPr>
      <t>haste</t>
    </r>
  </si>
  <si>
    <t>Can be thrown 10’</t>
  </si>
  <si>
    <t>Ignores Hardness, can be thrown 20’</t>
  </si>
  <si>
    <t>Dagger, 2nd Attack</t>
  </si>
  <si>
    <t>Dagger, 3rd Attack</t>
  </si>
  <si>
    <t>Dagger, haste</t>
  </si>
  <si>
    <t>Glamered Mithral Scale Mail</t>
  </si>
  <si>
    <t>Treated as light, can look like clothes</t>
  </si>
  <si>
    <t>Quiver of Elhonna</t>
  </si>
  <si>
    <t>Divine Agent Features</t>
  </si>
  <si>
    <t>Macaria</t>
  </si>
  <si>
    <t>1st:  Composite Longbow Proficiency</t>
  </si>
  <si>
    <t>3rd:  Track</t>
  </si>
  <si>
    <t>6th:  Eschew Materials</t>
  </si>
  <si>
    <t>9th:  Silent Spell</t>
  </si>
  <si>
    <t>Cure Minor Wounds</t>
  </si>
  <si>
    <t>Detect Magic</t>
  </si>
  <si>
    <t>Guidance</t>
  </si>
  <si>
    <t>Mending</t>
  </si>
  <si>
    <t>Read Magic</t>
  </si>
  <si>
    <t>Resistance</t>
  </si>
  <si>
    <t>Magic Stone</t>
  </si>
  <si>
    <t>Comprehend Languages</t>
  </si>
  <si>
    <t>Cure Light Wounds</t>
  </si>
  <si>
    <t>Sanctuary</t>
  </si>
  <si>
    <t>Shield of Faith</t>
  </si>
  <si>
    <t>Vigor, Lesser</t>
  </si>
  <si>
    <t>Updraft</t>
  </si>
  <si>
    <t>Close Wounds</t>
  </si>
  <si>
    <t>Consecrate</t>
  </si>
  <si>
    <t>Cure Moderate Wounds</t>
  </si>
  <si>
    <t>Deific Vengeance</t>
  </si>
  <si>
    <t>Stone Shape</t>
  </si>
  <si>
    <t>Chain of Eyes</t>
  </si>
  <si>
    <t>Cure Serious Wounds</t>
  </si>
  <si>
    <t>Weapon of the Deity</t>
  </si>
  <si>
    <t>Domain</t>
  </si>
  <si>
    <t>Earth</t>
  </si>
  <si>
    <t>Knowledge:  Religion</t>
  </si>
  <si>
    <t>Favored Soul 2</t>
  </si>
  <si>
    <t>Favored Soul 3</t>
  </si>
  <si>
    <t>Favored Soul 4</t>
  </si>
  <si>
    <t>Divine Agent 1</t>
  </si>
  <si>
    <t>Rowboat</t>
  </si>
  <si>
    <t>Mule</t>
  </si>
  <si>
    <t>Sack</t>
  </si>
  <si>
    <t>Pole</t>
  </si>
  <si>
    <t>Mirror</t>
  </si>
  <si>
    <t>filled and lit</t>
  </si>
  <si>
    <t>Dagger</t>
  </si>
  <si>
    <t>Robe of Useful Items</t>
  </si>
  <si>
    <t>Whetstone</t>
  </si>
  <si>
    <t>Tent</t>
  </si>
  <si>
    <t>Spyglass</t>
  </si>
  <si>
    <t>Shovel</t>
  </si>
  <si>
    <t>Inkpen</t>
  </si>
  <si>
    <t>Ink</t>
  </si>
  <si>
    <t>Flask (empty)</t>
  </si>
  <si>
    <t>In case of accidental petrification</t>
  </si>
  <si>
    <t>Silversheen</t>
  </si>
  <si>
    <t>Sovereign Glue</t>
  </si>
  <si>
    <t>Salve of Slipperiness</t>
  </si>
  <si>
    <t>Universal Solvent</t>
  </si>
  <si>
    <t>Unguent of Timelessness</t>
  </si>
  <si>
    <t>Bead of Force</t>
  </si>
  <si>
    <t>Elixir of Reckoning</t>
  </si>
  <si>
    <t>Mask</t>
  </si>
  <si>
    <t>Strand of Prayer Beads</t>
  </si>
  <si>
    <t>Divine Focus</t>
  </si>
  <si>
    <t>Rosary of Eye-carved Beads</t>
  </si>
  <si>
    <t>Hat of Disguise</t>
  </si>
  <si>
    <t>Bag of Holding, Type I</t>
  </si>
  <si>
    <t>Iron Pot</t>
  </si>
  <si>
    <t>Small Steel Mirror</t>
  </si>
  <si>
    <t>Map Case + Maps</t>
  </si>
  <si>
    <t>Keoghtom’s Ointment</t>
  </si>
  <si>
    <t>Vial of Antitoxin</t>
  </si>
  <si>
    <t>Disguise Kit</t>
  </si>
  <si>
    <t>Scraps of Holy Writing</t>
  </si>
  <si>
    <t>Modeling Clay</t>
  </si>
  <si>
    <t>Clear Crystal Prisms</t>
  </si>
  <si>
    <t>Paper Sheets</t>
  </si>
  <si>
    <t>Parchment Sheets</t>
  </si>
  <si>
    <t>Bucket</t>
  </si>
  <si>
    <t>Pair of War Dogs</t>
  </si>
  <si>
    <t>Portable Ram</t>
  </si>
  <si>
    <t>10’ length</t>
  </si>
  <si>
    <t>50’ coil</t>
  </si>
  <si>
    <t>24’ length</t>
  </si>
  <si>
    <t>Gems</t>
  </si>
  <si>
    <t>Bag of GP</t>
  </si>
  <si>
    <t>Hempen Rope</t>
  </si>
  <si>
    <t>Wooden Ladder</t>
  </si>
  <si>
    <t>Open Pit</t>
  </si>
  <si>
    <t>Potion of Cure Serious Wounds</t>
  </si>
  <si>
    <t>body explodes upon death</t>
  </si>
  <si>
    <t>Quaal’s Feather Token-Anchor</t>
  </si>
  <si>
    <t>Quaal’s Feather Token-Bird</t>
  </si>
  <si>
    <t>Quaal’s Feather Token-Fan</t>
  </si>
  <si>
    <t>Silver Dust</t>
  </si>
  <si>
    <t>Cold Weather Outfit</t>
  </si>
  <si>
    <t>Winter Blanket</t>
  </si>
  <si>
    <t>Traveler’s Outfit (military)</t>
  </si>
  <si>
    <t>Clay Jug</t>
  </si>
  <si>
    <t>Empty Sacks</t>
  </si>
  <si>
    <t>Sealing Wax</t>
  </si>
  <si>
    <t>Soap</t>
  </si>
  <si>
    <t>Empty Vials</t>
  </si>
  <si>
    <t>Flask of Holy Water</t>
  </si>
  <si>
    <t>CL 7</t>
  </si>
  <si>
    <r>
      <t xml:space="preserve">Potion of </t>
    </r>
    <r>
      <rPr>
        <i/>
        <sz val="12"/>
        <rFont val="Times New Roman"/>
        <family val="1"/>
      </rPr>
      <t>cure serious wounds</t>
    </r>
  </si>
  <si>
    <t>Feat 1:  Still Spell</t>
  </si>
  <si>
    <t>Substitutes for K: Arcana as in-class</t>
  </si>
  <si>
    <t>10’</t>
  </si>
  <si>
    <t>Per Day</t>
  </si>
  <si>
    <t>Effects</t>
  </si>
  <si>
    <t>Alarm</t>
  </si>
  <si>
    <t>Easy Trail</t>
  </si>
  <si>
    <t>Endure Elements</t>
  </si>
  <si>
    <t>Eyes of the Avoral</t>
  </si>
  <si>
    <t>Hide from Animals</t>
  </si>
  <si>
    <t>Resist Energy</t>
  </si>
  <si>
    <t>Resist Planar Alignment</t>
  </si>
  <si>
    <t>Deep Breath</t>
  </si>
  <si>
    <t>Delay Poison</t>
  </si>
  <si>
    <t>Summon Nature’s Ally I</t>
  </si>
  <si>
    <t>Arrow Mind</t>
  </si>
  <si>
    <t>Bloodhound</t>
  </si>
  <si>
    <t>Detect Animals/Plants</t>
  </si>
  <si>
    <t>Detect Poison</t>
  </si>
  <si>
    <t>Detect Snares &amp; Pits</t>
  </si>
  <si>
    <t>Guided Shot</t>
  </si>
  <si>
    <t>Healing Lorecall</t>
  </si>
  <si>
    <t>Insightful Feint</t>
  </si>
  <si>
    <t>Instant Locksmith</t>
  </si>
  <si>
    <t>Instant Search</t>
  </si>
  <si>
    <t>Lay of the Land</t>
  </si>
  <si>
    <t>Sniper’s Shot</t>
  </si>
  <si>
    <t>Speak with Animals</t>
  </si>
  <si>
    <t>Vine Strike</t>
  </si>
  <si>
    <t>Animal Messenger</t>
  </si>
  <si>
    <t>Calm Animals</t>
  </si>
  <si>
    <t>Charm Animal</t>
  </si>
  <si>
    <t>Enrage Animals</t>
  </si>
  <si>
    <t>Ease of Breath</t>
  </si>
  <si>
    <t>Naturewatch</t>
  </si>
  <si>
    <t>Accelerated Movement</t>
  </si>
  <si>
    <t>Ebon Eyes</t>
  </si>
  <si>
    <t>Embrace the Wild</t>
  </si>
  <si>
    <t>Entangle</t>
  </si>
  <si>
    <t>Exacting Shot</t>
  </si>
  <si>
    <t>Hawkeye</t>
  </si>
  <si>
    <t>Horrible Taste</t>
  </si>
  <si>
    <t>Kuo-Toa Skin</t>
  </si>
  <si>
    <t>Longstrider</t>
  </si>
  <si>
    <t>Low-light Vision</t>
  </si>
  <si>
    <t>Magic Fang</t>
  </si>
  <si>
    <t>Pass without Trace</t>
  </si>
  <si>
    <t>Quickswim</t>
  </si>
  <si>
    <t>Raptor’s Sight</t>
  </si>
  <si>
    <t>Silvered Claws</t>
  </si>
  <si>
    <t>Tern’s Persistence</t>
  </si>
  <si>
    <t>Traveler’s Mount</t>
  </si>
  <si>
    <t>Urchin’s Spines</t>
  </si>
  <si>
    <t>Webfoot</t>
  </si>
  <si>
    <t>Woodwisp Arrow</t>
  </si>
  <si>
    <t>Abjuration</t>
  </si>
  <si>
    <t>V S M/DF</t>
  </si>
  <si>
    <t>1 SA</t>
  </si>
  <si>
    <t>25’ + 2½’/lvl</t>
  </si>
  <si>
    <t>2 hrs/lvl</t>
  </si>
  <si>
    <t>PHB</t>
  </si>
  <si>
    <t>V S</t>
  </si>
  <si>
    <t>40’</t>
  </si>
  <si>
    <t>1 hr/lvl</t>
  </si>
  <si>
    <t>Complete Adventurer</t>
  </si>
  <si>
    <t>Touch</t>
  </si>
  <si>
    <t>24 hours</t>
  </si>
  <si>
    <t>V S F DF</t>
  </si>
  <si>
    <t>Book of Exalted Deeds</t>
  </si>
  <si>
    <t>S DF</t>
  </si>
  <si>
    <t>10 min/lvl</t>
  </si>
  <si>
    <t>V S DF</t>
  </si>
  <si>
    <t>Planar Handbook</t>
  </si>
  <si>
    <t>Conjuration</t>
  </si>
  <si>
    <t>V</t>
  </si>
  <si>
    <t>Swift</t>
  </si>
  <si>
    <t>Personal</t>
  </si>
  <si>
    <t>1 rnd/lvl</t>
  </si>
  <si>
    <t>Spell Compendium</t>
  </si>
  <si>
    <t>Divination</t>
  </si>
  <si>
    <t>V S M</t>
  </si>
  <si>
    <t>1 min/lvl</t>
  </si>
  <si>
    <t>400’ + 40’/lvl</t>
  </si>
  <si>
    <t>Instant</t>
  </si>
  <si>
    <t>1 round</t>
  </si>
  <si>
    <t>V S F</t>
  </si>
  <si>
    <t>3 FR</t>
  </si>
  <si>
    <t>V DF</t>
  </si>
  <si>
    <t>Enchantment</t>
  </si>
  <si>
    <t>1 day/lvl</t>
  </si>
  <si>
    <t>Champions of Ruin</t>
  </si>
  <si>
    <t>Necromancy</t>
  </si>
  <si>
    <t>Frostburn</t>
  </si>
  <si>
    <t>S</t>
  </si>
  <si>
    <t>Complete Divine</t>
  </si>
  <si>
    <t>Transmutation</t>
  </si>
  <si>
    <t>Immediate</t>
  </si>
  <si>
    <t>Champions of Valor</t>
  </si>
  <si>
    <t>Stormwrack</t>
  </si>
  <si>
    <t>Complete Arcane</t>
  </si>
  <si>
    <t>Races of the Wild</t>
  </si>
  <si>
    <t xml:space="preserve">Book of Exalted Deeds </t>
  </si>
  <si>
    <t>Universal</t>
  </si>
  <si>
    <t>Animate Rope</t>
  </si>
  <si>
    <t>100’ + 10’/lvl</t>
  </si>
  <si>
    <t>Calm Emotions</t>
  </si>
  <si>
    <t>Command</t>
  </si>
  <si>
    <t>Doom</t>
  </si>
  <si>
    <t>Disguise Self</t>
  </si>
  <si>
    <t>Illusion</t>
  </si>
  <si>
    <t>1 minute</t>
  </si>
  <si>
    <t>Purify Food &amp; Drink</t>
  </si>
  <si>
    <t>30 minutes</t>
  </si>
  <si>
    <t>special</t>
  </si>
  <si>
    <t>Soften Earth &amp; Stone</t>
  </si>
  <si>
    <t>Evocation</t>
  </si>
  <si>
    <t>Defenders of the Faith</t>
  </si>
  <si>
    <t>Consecrated Harrier Spells</t>
  </si>
  <si>
    <t>Caster Levels</t>
  </si>
  <si>
    <t>110’</t>
  </si>
  <si>
    <t>Folding Boat/Ship</t>
  </si>
  <si>
    <t>Scarab figurine</t>
  </si>
  <si>
    <t>Stone Salve, oz.</t>
  </si>
  <si>
    <t>Bag of Holding</t>
  </si>
  <si>
    <t>See below</t>
  </si>
  <si>
    <t>Spears</t>
  </si>
  <si>
    <t>CL 1</t>
  </si>
  <si>
    <t>Signet Ring (Hand of Viongozi)</t>
  </si>
  <si>
    <t>Bullseye Lantern</t>
  </si>
  <si>
    <t>Randomly Generated Minor Scroll</t>
  </si>
  <si>
    <r>
      <t xml:space="preserve">1 spell of </t>
    </r>
    <r>
      <rPr>
        <i/>
        <sz val="12"/>
        <rFont val="Times New Roman"/>
        <family val="1"/>
      </rPr>
      <t>delay poison</t>
    </r>
    <r>
      <rPr>
        <sz val="12"/>
        <rFont val="Times New Roman"/>
        <family val="1"/>
      </rPr>
      <t xml:space="preserve"> (divine caster level 3)</t>
    </r>
  </si>
  <si>
    <t>Equipment Worn</t>
  </si>
  <si>
    <t>With saddlebags, alive</t>
  </si>
  <si>
    <t>Treat as riding dogs, alive</t>
  </si>
  <si>
    <t>Polished 2’ x 4’ steel mirror</t>
  </si>
  <si>
    <t>Darkwood Haft Adamantine Spear</t>
  </si>
  <si>
    <r>
      <t>FS</t>
    </r>
    <r>
      <rPr>
        <vertAlign val="subscript"/>
        <sz val="13"/>
        <color indexed="10"/>
        <rFont val="Times New Roman"/>
        <family val="1"/>
      </rPr>
      <t>3</t>
    </r>
    <r>
      <rPr>
        <sz val="13"/>
        <color indexed="10"/>
        <rFont val="Times New Roman"/>
        <family val="1"/>
      </rPr>
      <t>:  Spear Weapon Focus</t>
    </r>
  </si>
  <si>
    <t>Weapon Focus included</t>
  </si>
  <si>
    <t>DMG II 268</t>
  </si>
  <si>
    <r>
      <t xml:space="preserve">Spell component:  </t>
    </r>
    <r>
      <rPr>
        <i/>
        <sz val="12"/>
        <rFont val="Times New Roman"/>
        <family val="1"/>
      </rPr>
      <t>read magic</t>
    </r>
  </si>
  <si>
    <t>Elven, Dwarven, Abyssal</t>
  </si>
  <si>
    <r>
      <t>DA</t>
    </r>
    <r>
      <rPr>
        <vertAlign val="subscript"/>
        <sz val="13"/>
        <color rgb="FF0000FF"/>
        <rFont val="Times New Roman"/>
        <family val="1"/>
      </rPr>
      <t>1</t>
    </r>
    <r>
      <rPr>
        <sz val="13"/>
        <color rgb="FF0000FF"/>
        <rFont val="Times New Roman"/>
        <family val="1"/>
      </rPr>
      <t>:  Granted Domain:  Earth</t>
    </r>
  </si>
  <si>
    <r>
      <t>@ HF</t>
    </r>
    <r>
      <rPr>
        <vertAlign val="subscript"/>
        <sz val="13"/>
        <color rgb="FF0000FF"/>
        <rFont val="Times New Roman"/>
        <family val="1"/>
      </rPr>
      <t>1</t>
    </r>
    <r>
      <rPr>
        <sz val="13"/>
        <color rgb="FF0000FF"/>
        <rFont val="Times New Roman"/>
        <family val="1"/>
      </rPr>
      <t>:  Blessing of Scripture +2</t>
    </r>
  </si>
  <si>
    <r>
      <t>@ HF</t>
    </r>
    <r>
      <rPr>
        <vertAlign val="subscript"/>
        <sz val="13"/>
        <color rgb="FF0000FF"/>
        <rFont val="Times New Roman"/>
        <family val="1"/>
      </rPr>
      <t>1</t>
    </r>
    <r>
      <rPr>
        <sz val="13"/>
        <color rgb="FF0000FF"/>
        <rFont val="Times New Roman"/>
        <family val="1"/>
      </rPr>
      <t>:  Detect Chaos @ will, CL 1</t>
    </r>
  </si>
  <si>
    <t>Armor (Lt. &amp; Med.)</t>
  </si>
  <si>
    <t>Simple Weapons, Spears</t>
  </si>
  <si>
    <r>
      <t>DA</t>
    </r>
    <r>
      <rPr>
        <vertAlign val="subscript"/>
        <sz val="13"/>
        <color rgb="FF0000FF"/>
        <rFont val="Times New Roman"/>
        <family val="1"/>
      </rPr>
      <t>2</t>
    </r>
    <r>
      <rPr>
        <sz val="13"/>
        <color rgb="FF0000FF"/>
        <rFont val="Times New Roman"/>
        <family val="1"/>
      </rPr>
      <t>:  Contact</t>
    </r>
  </si>
  <si>
    <r>
      <t>DA</t>
    </r>
    <r>
      <rPr>
        <vertAlign val="subscript"/>
        <sz val="13"/>
        <color indexed="10"/>
        <rFont val="Times New Roman"/>
        <family val="1"/>
      </rPr>
      <t>3</t>
    </r>
    <r>
      <rPr>
        <sz val="13"/>
        <color indexed="10"/>
        <rFont val="Times New Roman"/>
        <family val="1"/>
      </rPr>
      <t>:  Menacing Aura, 20’</t>
    </r>
  </si>
  <si>
    <r>
      <t>DA</t>
    </r>
    <r>
      <rPr>
        <vertAlign val="subscript"/>
        <sz val="13"/>
        <color indexed="12"/>
        <rFont val="Times New Roman"/>
        <family val="1"/>
      </rPr>
      <t>3</t>
    </r>
    <r>
      <rPr>
        <sz val="13"/>
        <color indexed="12"/>
        <rFont val="Times New Roman"/>
        <family val="1"/>
      </rPr>
      <t>:  Godly Gift</t>
    </r>
  </si>
  <si>
    <r>
      <t>43</t>
    </r>
    <r>
      <rPr>
        <sz val="13"/>
        <rFont val="Times New Roman"/>
        <family val="1"/>
      </rPr>
      <t>/</t>
    </r>
    <r>
      <rPr>
        <sz val="13"/>
        <color indexed="52"/>
        <rFont val="Times New Roman"/>
        <family val="1"/>
      </rPr>
      <t>86</t>
    </r>
    <r>
      <rPr>
        <sz val="13"/>
        <rFont val="Times New Roman"/>
        <family val="1"/>
      </rPr>
      <t>/</t>
    </r>
    <r>
      <rPr>
        <sz val="13"/>
        <color indexed="10"/>
        <rFont val="Times New Roman"/>
        <family val="1"/>
      </rPr>
      <t>130</t>
    </r>
  </si>
  <si>
    <t>Rope, 50’ Silk</t>
  </si>
  <si>
    <t>Sword Mountains</t>
  </si>
  <si>
    <r>
      <t xml:space="preserve">1 spell of </t>
    </r>
    <r>
      <rPr>
        <i/>
        <sz val="12"/>
        <rFont val="Times New Roman"/>
        <family val="1"/>
      </rPr>
      <t>eagle’s splendor</t>
    </r>
    <r>
      <rPr>
        <sz val="12"/>
        <rFont val="Times New Roman"/>
        <family val="1"/>
      </rPr>
      <t xml:space="preserve"> (arcane caster level 3)</t>
    </r>
  </si>
  <si>
    <t>Divine Counterspell</t>
  </si>
  <si>
    <t>Bead of Karma:</t>
  </si>
  <si>
    <t>+4 to CL when activated</t>
  </si>
  <si>
    <r>
      <t xml:space="preserve">+2 vs. Enchantments, +1 </t>
    </r>
    <r>
      <rPr>
        <i/>
        <sz val="13"/>
        <rFont val="Times New Roman"/>
        <family val="1"/>
      </rPr>
      <t>haste</t>
    </r>
  </si>
  <si>
    <t>Skill/Save</t>
  </si>
  <si>
    <t>12th:  Practiced Spellcaster</t>
  </si>
  <si>
    <t>Divine Agent 2</t>
  </si>
  <si>
    <t>Divine Agent 3</t>
  </si>
  <si>
    <t>Divine Agent 4</t>
  </si>
  <si>
    <t>Restoration, Lesser</t>
  </si>
  <si>
    <r>
      <t>DA</t>
    </r>
    <r>
      <rPr>
        <vertAlign val="subscript"/>
        <sz val="13"/>
        <color indexed="12"/>
        <rFont val="Times New Roman"/>
        <family val="1"/>
      </rPr>
      <t>4</t>
    </r>
    <r>
      <rPr>
        <sz val="13"/>
        <color indexed="12"/>
        <rFont val="Times New Roman"/>
        <family val="1"/>
      </rPr>
      <t>:  Altered Appearance</t>
    </r>
  </si>
  <si>
    <t>Known</t>
  </si>
  <si>
    <r>
      <t xml:space="preserve">+8 </t>
    </r>
    <r>
      <rPr>
        <i/>
        <sz val="13"/>
        <rFont val="Times New Roman"/>
        <family val="1"/>
      </rPr>
      <t>eyes of the avoral (cast by Flint)</t>
    </r>
  </si>
  <si>
    <t>Fur Clothing</t>
  </si>
  <si>
    <t>seven</t>
  </si>
  <si>
    <t>Race</t>
  </si>
  <si>
    <t>Sex</t>
  </si>
  <si>
    <t>Class</t>
  </si>
  <si>
    <t>Deity</t>
  </si>
  <si>
    <t>Age</t>
  </si>
  <si>
    <t>Region</t>
  </si>
  <si>
    <t>Height</t>
  </si>
  <si>
    <t>Alignment</t>
  </si>
  <si>
    <t>Weight</t>
  </si>
  <si>
    <t>Attack Bonus</t>
  </si>
  <si>
    <t>Land Speed</t>
  </si>
  <si>
    <t>Initiative</t>
  </si>
  <si>
    <t>Swim Speed</t>
  </si>
  <si>
    <t>XP</t>
  </si>
  <si>
    <t>Leadership</t>
  </si>
  <si>
    <t>Strength</t>
  </si>
  <si>
    <t>Lb. Capacity</t>
  </si>
  <si>
    <t>Dexterity</t>
  </si>
  <si>
    <t>Lb. Carried</t>
  </si>
  <si>
    <t>Constitution</t>
  </si>
  <si>
    <t>Hit Points</t>
  </si>
  <si>
    <t>Intelligence</t>
  </si>
  <si>
    <t>Touch AC</t>
  </si>
  <si>
    <t>Wisdom</t>
  </si>
  <si>
    <t>FF AC</t>
  </si>
  <si>
    <t>Charisma</t>
  </si>
  <si>
    <t>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</si>
</sst>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 [$₲-474]"/>
  </numFmts>
  <fonts count="80"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sz val="10"/>
      <name val="Arial"/>
      <family val="2"/>
    </font>
    <font>
      <sz val="12"/>
      <name val="Times New Roman"/>
      <family val="1"/>
      <charset val="1"/>
    </font>
    <font>
      <b/>
      <sz val="13"/>
      <color rgb="FF00CC00"/>
      <name val="Times New Roman"/>
      <family val="1"/>
    </font>
    <font>
      <sz val="13"/>
      <color rgb="FFFF0000"/>
      <name val="Times New Roman"/>
      <family val="1"/>
    </font>
    <font>
      <b/>
      <sz val="12"/>
      <color indexed="81"/>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2"/>
      <color indexed="81"/>
      <name val="Times New Roman"/>
      <family val="1"/>
    </font>
    <font>
      <i/>
      <sz val="18"/>
      <color rgb="FF0000FF"/>
      <name val="Times New Roman"/>
      <family val="1"/>
    </font>
    <font>
      <b/>
      <sz val="12"/>
      <color theme="1"/>
      <name val="Times New Roman"/>
      <family val="1"/>
    </font>
    <font>
      <i/>
      <sz val="16"/>
      <color indexed="53"/>
      <name val="Times New Roman"/>
      <family val="1"/>
    </font>
    <font>
      <i/>
      <sz val="16"/>
      <color indexed="10"/>
      <name val="Times New Roman"/>
      <family val="1"/>
    </font>
    <font>
      <i/>
      <sz val="16"/>
      <color indexed="57"/>
      <name val="Times New Roman"/>
      <family val="1"/>
    </font>
    <font>
      <sz val="12"/>
      <name val="Times New Roman"/>
      <family val="1"/>
    </font>
    <font>
      <sz val="13"/>
      <color rgb="FF0000FF"/>
      <name val="Times New Roman"/>
      <family val="1"/>
    </font>
    <font>
      <b/>
      <sz val="12"/>
      <color rgb="FFFF0000"/>
      <name val="Times New Roman"/>
      <family val="1"/>
    </font>
    <font>
      <i/>
      <sz val="12"/>
      <name val="Times New Roman"/>
      <family val="1"/>
    </font>
    <font>
      <b/>
      <sz val="12"/>
      <color theme="0"/>
      <name val="Times New Roman"/>
      <family val="1"/>
    </font>
    <font>
      <i/>
      <sz val="18"/>
      <color rgb="FF7030A0"/>
      <name val="Times New Roman"/>
      <family val="1"/>
    </font>
    <font>
      <sz val="13"/>
      <color rgb="FF7030A0"/>
      <name val="Times New Roman"/>
      <family val="1"/>
    </font>
    <font>
      <i/>
      <sz val="12"/>
      <color rgb="FF00FFFF"/>
      <name val="Times New Roman"/>
      <family val="1"/>
    </font>
    <font>
      <i/>
      <sz val="22"/>
      <color rgb="FF92D050"/>
      <name val="Times New Roman"/>
      <family val="1"/>
    </font>
    <font>
      <i/>
      <sz val="16"/>
      <color rgb="FF7030A0"/>
      <name val="Times New Roman"/>
      <family val="1"/>
    </font>
    <font>
      <b/>
      <sz val="11"/>
      <color rgb="FF009900"/>
      <name val="Times New Roman"/>
      <family val="1"/>
    </font>
    <font>
      <b/>
      <sz val="12"/>
      <color rgb="FF009900"/>
      <name val="Times New Roman"/>
      <family val="1"/>
    </font>
    <font>
      <sz val="12"/>
      <color rgb="FF009900"/>
      <name val="Times New Roman"/>
      <family val="1"/>
    </font>
    <font>
      <b/>
      <sz val="12"/>
      <color rgb="FF9933FF"/>
      <name val="Times New Roman"/>
      <family val="1"/>
    </font>
    <font>
      <b/>
      <sz val="11"/>
      <color rgb="FF9933FF"/>
      <name val="Times New Roman"/>
      <family val="1"/>
    </font>
    <font>
      <sz val="12"/>
      <color rgb="FF9933FF"/>
      <name val="Times New Roman"/>
      <family val="1"/>
    </font>
    <font>
      <i/>
      <sz val="18"/>
      <color rgb="FF009900"/>
      <name val="Times New Roman"/>
      <family val="1"/>
    </font>
    <font>
      <i/>
      <sz val="16"/>
      <color rgb="FF9966FF"/>
      <name val="Times New Roman"/>
      <family val="1"/>
    </font>
    <font>
      <i/>
      <sz val="16"/>
      <color rgb="FF009900"/>
      <name val="Times New Roman"/>
      <family val="1"/>
    </font>
    <font>
      <b/>
      <sz val="12"/>
      <color rgb="FF9966FF"/>
      <name val="Times New Roman"/>
      <family val="1"/>
    </font>
    <font>
      <i/>
      <sz val="18"/>
      <color rgb="FF9933FF"/>
      <name val="Times New Roman"/>
      <family val="1"/>
    </font>
    <font>
      <sz val="13"/>
      <color rgb="FF009900"/>
      <name val="Times New Roman"/>
      <family val="1"/>
    </font>
    <font>
      <vertAlign val="subscript"/>
      <sz val="13"/>
      <color indexed="10"/>
      <name val="Times New Roman"/>
      <family val="1"/>
    </font>
    <font>
      <vertAlign val="subscript"/>
      <sz val="13"/>
      <color rgb="FF0000FF"/>
      <name val="Times New Roman"/>
      <family val="1"/>
    </font>
    <font>
      <vertAlign val="subscript"/>
      <sz val="13"/>
      <color indexed="12"/>
      <name val="Times New Roman"/>
      <family val="1"/>
    </font>
    <font>
      <sz val="11"/>
      <name val="Times New Roman"/>
      <family val="1"/>
    </font>
    <font>
      <i/>
      <sz val="13"/>
      <name val="Times New Roman"/>
      <family val="1"/>
    </font>
    <font>
      <sz val="12"/>
      <color rgb="FFFF0000"/>
      <name val="Times New Roman"/>
      <family val="1"/>
    </font>
  </fonts>
  <fills count="16">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9966FF"/>
        <bgColor indexed="64"/>
      </patternFill>
    </fill>
    <fill>
      <patternFill patternType="solid">
        <fgColor rgb="FF009900"/>
        <bgColor indexed="64"/>
      </patternFill>
    </fill>
    <fill>
      <patternFill patternType="solid">
        <fgColor rgb="FF9999FF"/>
        <bgColor indexed="64"/>
      </patternFill>
    </fill>
    <fill>
      <patternFill patternType="solid">
        <fgColor rgb="FFFFFF00"/>
        <bgColor indexed="64"/>
      </patternFill>
    </fill>
  </fills>
  <borders count="151">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double">
        <color indexed="64"/>
      </right>
      <top/>
      <bottom style="hair">
        <color indexed="64"/>
      </bottom>
      <diagonal/>
    </border>
    <border>
      <left style="double">
        <color indexed="64"/>
      </left>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style="double">
        <color indexed="64"/>
      </right>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thin">
        <color auto="1"/>
      </right>
      <top/>
      <bottom style="thin">
        <color auto="1"/>
      </bottom>
      <diagonal/>
    </border>
    <border>
      <left/>
      <right style="medium">
        <color auto="1"/>
      </right>
      <top style="thin">
        <color auto="1"/>
      </top>
      <bottom style="thin">
        <color auto="1"/>
      </bottom>
      <diagonal/>
    </border>
    <border>
      <left style="double">
        <color indexed="64"/>
      </left>
      <right style="double">
        <color indexed="64"/>
      </right>
      <top style="medium">
        <color indexed="64"/>
      </top>
      <bottom style="hair">
        <color indexed="64"/>
      </bottom>
      <diagonal/>
    </border>
    <border>
      <left style="double">
        <color indexed="64"/>
      </left>
      <right/>
      <top style="double">
        <color indexed="64"/>
      </top>
      <bottom style="thick">
        <color rgb="FF00B0F0"/>
      </bottom>
      <diagonal/>
    </border>
    <border>
      <left/>
      <right/>
      <top style="double">
        <color indexed="64"/>
      </top>
      <bottom style="thick">
        <color rgb="FF00B0F0"/>
      </bottom>
      <diagonal/>
    </border>
    <border>
      <left/>
      <right style="double">
        <color indexed="64"/>
      </right>
      <top style="double">
        <color indexed="64"/>
      </top>
      <bottom style="thick">
        <color rgb="FF00B0F0"/>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indexed="64"/>
      </right>
      <top style="double">
        <color auto="1"/>
      </top>
      <bottom style="thin">
        <color auto="1"/>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right style="hair">
        <color indexed="64"/>
      </right>
      <top/>
      <bottom style="hair">
        <color indexed="64"/>
      </bottom>
      <diagonal/>
    </border>
    <border>
      <left style="double">
        <color auto="1"/>
      </left>
      <right style="medium">
        <color auto="1"/>
      </right>
      <top style="hair">
        <color indexed="64"/>
      </top>
      <bottom style="hair">
        <color indexed="64"/>
      </bottom>
      <diagonal/>
    </border>
    <border>
      <left/>
      <right style="hair">
        <color indexed="64"/>
      </right>
      <top style="hair">
        <color indexed="64"/>
      </top>
      <bottom style="hair">
        <color indexed="64"/>
      </bottom>
      <diagonal/>
    </border>
    <border>
      <left style="double">
        <color auto="1"/>
      </left>
      <right style="medium">
        <color auto="1"/>
      </right>
      <top style="hair">
        <color indexed="64"/>
      </top>
      <bottom style="double">
        <color indexed="64"/>
      </bottom>
      <diagonal/>
    </border>
    <border>
      <left/>
      <right style="hair">
        <color indexed="64"/>
      </right>
      <top style="hair">
        <color indexed="64"/>
      </top>
      <bottom style="double">
        <color indexed="64"/>
      </bottom>
      <diagonal/>
    </border>
    <border>
      <left style="thin">
        <color auto="1"/>
      </left>
      <right style="medium">
        <color auto="1"/>
      </right>
      <top style="thin">
        <color auto="1"/>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hair">
        <color indexed="64"/>
      </left>
      <right style="hair">
        <color indexed="64"/>
      </right>
      <top/>
      <bottom/>
      <diagonal/>
    </border>
    <border>
      <left style="hair">
        <color indexed="64"/>
      </left>
      <right/>
      <top/>
      <bottom/>
      <diagonal/>
    </border>
    <border>
      <left style="double">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hair">
        <color indexed="64"/>
      </top>
      <bottom style="thin">
        <color indexed="64"/>
      </bottom>
      <diagonal/>
    </border>
    <border>
      <left style="double">
        <color auto="1"/>
      </left>
      <right/>
      <top style="double">
        <color auto="1"/>
      </top>
      <bottom style="thin">
        <color auto="1"/>
      </bottom>
      <diagonal/>
    </border>
    <border>
      <left style="double">
        <color indexed="64"/>
      </left>
      <right/>
      <top style="thin">
        <color auto="1"/>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thin">
        <color indexed="64"/>
      </top>
      <bottom style="hair">
        <color indexed="64"/>
      </bottom>
      <diagonal/>
    </border>
    <border>
      <left/>
      <right style="thin">
        <color indexed="64"/>
      </right>
      <top style="thin">
        <color auto="1"/>
      </top>
      <bottom style="hair">
        <color indexed="64"/>
      </bottom>
      <diagonal/>
    </border>
    <border>
      <left/>
      <right style="thin">
        <color indexed="64"/>
      </right>
      <top style="hair">
        <color indexed="64"/>
      </top>
      <bottom style="double">
        <color indexed="64"/>
      </bottom>
      <diagonal/>
    </border>
    <border>
      <left/>
      <right style="thin">
        <color indexed="64"/>
      </right>
      <top style="hair">
        <color indexed="64"/>
      </top>
      <bottom style="hair">
        <color indexed="64"/>
      </bottom>
      <diagonal/>
    </border>
    <border>
      <left/>
      <right/>
      <top style="hair">
        <color indexed="64"/>
      </top>
      <bottom/>
      <diagonal/>
    </border>
    <border>
      <left style="double">
        <color indexed="64"/>
      </left>
      <right style="double">
        <color indexed="64"/>
      </right>
      <top style="medium">
        <color indexed="64"/>
      </top>
      <bottom/>
      <diagonal/>
    </border>
    <border>
      <left style="thin">
        <color indexed="64"/>
      </left>
      <right style="double">
        <color indexed="64"/>
      </right>
      <top style="hair">
        <color indexed="64"/>
      </top>
      <bottom style="double">
        <color indexed="64"/>
      </bottom>
      <diagonal/>
    </border>
  </borders>
  <cellStyleXfs count="10">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4" fillId="0" borderId="0"/>
    <xf numFmtId="0" fontId="1" fillId="0" borderId="0"/>
    <xf numFmtId="0" fontId="35" fillId="0" borderId="0"/>
    <xf numFmtId="9" fontId="1" fillId="0" borderId="0" applyFont="0" applyFill="0" applyBorder="0" applyAlignment="0" applyProtection="0"/>
    <xf numFmtId="0" fontId="1" fillId="0" borderId="0"/>
    <xf numFmtId="43" fontId="52" fillId="0" borderId="0" applyFont="0" applyFill="0" applyBorder="0" applyAlignment="0" applyProtection="0"/>
  </cellStyleXfs>
  <cellXfs count="655">
    <xf numFmtId="0" fontId="0" fillId="0" borderId="0" xfId="0"/>
    <xf numFmtId="0" fontId="11" fillId="3" borderId="63" xfId="0" applyFont="1" applyFill="1" applyBorder="1" applyAlignment="1">
      <alignment horizontal="centerContinuous" vertical="center"/>
    </xf>
    <xf numFmtId="0" fontId="11" fillId="3" borderId="33" xfId="0" applyFont="1" applyFill="1" applyBorder="1" applyAlignment="1">
      <alignment horizontal="center" vertical="center"/>
    </xf>
    <xf numFmtId="0" fontId="11" fillId="3" borderId="33" xfId="0" applyFont="1" applyFill="1" applyBorder="1" applyAlignment="1">
      <alignment horizontal="center" vertical="center" wrapText="1"/>
    </xf>
    <xf numFmtId="0" fontId="11" fillId="3" borderId="64" xfId="0" applyFont="1" applyFill="1" applyBorder="1" applyAlignment="1">
      <alignment horizontal="center" vertical="center"/>
    </xf>
    <xf numFmtId="1" fontId="1" fillId="0" borderId="73" xfId="0" applyNumberFormat="1" applyFont="1" applyBorder="1" applyAlignment="1">
      <alignment horizontal="center" vertical="center"/>
    </xf>
    <xf numFmtId="0" fontId="1" fillId="0" borderId="73" xfId="0" applyFont="1" applyBorder="1" applyAlignment="1">
      <alignment horizontal="center" vertical="center"/>
    </xf>
    <xf numFmtId="0" fontId="1" fillId="0" borderId="73" xfId="0" quotePrefix="1" applyFont="1" applyBorder="1" applyAlignment="1">
      <alignment horizontal="center" vertical="center" wrapText="1"/>
    </xf>
    <xf numFmtId="49" fontId="1" fillId="0" borderId="73" xfId="2" applyNumberFormat="1" applyFont="1" applyFill="1" applyBorder="1" applyAlignment="1">
      <alignment horizontal="center" vertical="center"/>
    </xf>
    <xf numFmtId="0" fontId="1" fillId="0" borderId="73" xfId="0" applyFont="1" applyBorder="1" applyAlignment="1">
      <alignment horizontal="center" vertical="center" shrinkToFit="1"/>
    </xf>
    <xf numFmtId="164" fontId="1" fillId="0" borderId="73" xfId="0" applyNumberFormat="1" applyFont="1" applyBorder="1" applyAlignment="1">
      <alignment horizontal="center" vertical="center"/>
    </xf>
    <xf numFmtId="1" fontId="45" fillId="9" borderId="75" xfId="0" applyNumberFormat="1" applyFont="1" applyFill="1" applyBorder="1" applyAlignment="1">
      <alignment horizontal="center" vertical="center"/>
    </xf>
    <xf numFmtId="0" fontId="43" fillId="9" borderId="32" xfId="0" applyFont="1" applyFill="1" applyBorder="1" applyAlignment="1">
      <alignment horizontal="center" vertical="center" wrapText="1"/>
    </xf>
    <xf numFmtId="164" fontId="4" fillId="0" borderId="75" xfId="0" applyNumberFormat="1" applyFont="1" applyBorder="1" applyAlignment="1">
      <alignment horizontal="center"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vertical="center"/>
    </xf>
    <xf numFmtId="0" fontId="6" fillId="0" borderId="0" xfId="0" applyFont="1" applyAlignment="1">
      <alignment horizontal="center" vertical="center"/>
    </xf>
    <xf numFmtId="0" fontId="5" fillId="0" borderId="0" xfId="0" applyFont="1" applyAlignment="1">
      <alignment horizontal="right" vertical="center"/>
    </xf>
    <xf numFmtId="0" fontId="0" fillId="0" borderId="0" xfId="0" applyAlignment="1">
      <alignment vertical="center"/>
    </xf>
    <xf numFmtId="0" fontId="6" fillId="0" borderId="2" xfId="0" applyFont="1" applyBorder="1" applyAlignment="1">
      <alignment horizontal="left" vertical="center"/>
    </xf>
    <xf numFmtId="0" fontId="5" fillId="4" borderId="68" xfId="0" applyFont="1" applyFill="1" applyBorder="1" applyAlignment="1">
      <alignment horizontal="right" vertical="center"/>
    </xf>
    <xf numFmtId="0" fontId="5" fillId="4" borderId="82" xfId="0" applyFont="1" applyFill="1" applyBorder="1" applyAlignment="1">
      <alignment horizontal="right" vertical="center"/>
    </xf>
    <xf numFmtId="49" fontId="6" fillId="0" borderId="71" xfId="0" applyNumberFormat="1" applyFont="1" applyBorder="1" applyAlignment="1">
      <alignment horizontal="center" vertical="center"/>
    </xf>
    <xf numFmtId="0" fontId="6" fillId="0" borderId="0" xfId="0" applyFont="1" applyAlignment="1">
      <alignment horizontal="left" vertical="center"/>
    </xf>
    <xf numFmtId="0" fontId="5" fillId="4" borderId="14" xfId="0" applyFont="1" applyFill="1" applyBorder="1" applyAlignment="1">
      <alignment horizontal="right" vertical="center"/>
    </xf>
    <xf numFmtId="0" fontId="5" fillId="4" borderId="83" xfId="0" applyFont="1" applyFill="1" applyBorder="1" applyAlignment="1">
      <alignment horizontal="right" vertical="center"/>
    </xf>
    <xf numFmtId="49" fontId="6" fillId="0" borderId="29" xfId="0" applyNumberFormat="1" applyFont="1" applyBorder="1" applyAlignment="1">
      <alignment horizontal="center" vertical="center"/>
    </xf>
    <xf numFmtId="0" fontId="3" fillId="4" borderId="11" xfId="0" applyFont="1" applyFill="1" applyBorder="1" applyAlignment="1">
      <alignment horizontal="right" vertical="center"/>
    </xf>
    <xf numFmtId="0" fontId="7" fillId="2" borderId="14" xfId="0" applyFont="1" applyFill="1" applyBorder="1" applyAlignment="1">
      <alignment horizontal="right" vertical="center"/>
    </xf>
    <xf numFmtId="0" fontId="25" fillId="0" borderId="15" xfId="0" applyFont="1" applyBorder="1" applyAlignment="1">
      <alignment horizontal="center" vertical="center"/>
    </xf>
    <xf numFmtId="0" fontId="7" fillId="4" borderId="60" xfId="0" applyFont="1" applyFill="1" applyBorder="1" applyAlignment="1">
      <alignment horizontal="right" vertical="center"/>
    </xf>
    <xf numFmtId="0" fontId="12" fillId="2" borderId="4" xfId="0" applyFont="1" applyFill="1" applyBorder="1" applyAlignment="1">
      <alignment horizontal="right" vertical="center"/>
    </xf>
    <xf numFmtId="0" fontId="6" fillId="0" borderId="3" xfId="0" quotePrefix="1" applyFont="1" applyBorder="1" applyAlignment="1">
      <alignment horizontal="center" vertical="center"/>
    </xf>
    <xf numFmtId="49" fontId="25" fillId="0" borderId="15" xfId="0" applyNumberFormat="1" applyFont="1" applyBorder="1" applyAlignment="1">
      <alignment horizontal="center" vertical="center"/>
    </xf>
    <xf numFmtId="0" fontId="7" fillId="4" borderId="58" xfId="0" applyFont="1" applyFill="1" applyBorder="1" applyAlignment="1">
      <alignment horizontal="right" vertical="center"/>
    </xf>
    <xf numFmtId="164" fontId="5" fillId="5" borderId="27" xfId="0" applyNumberFormat="1" applyFont="1" applyFill="1" applyBorder="1" applyAlignment="1">
      <alignment horizontal="center" vertical="center"/>
    </xf>
    <xf numFmtId="0" fontId="9" fillId="2" borderId="4" xfId="0" applyFont="1" applyFill="1" applyBorder="1" applyAlignment="1">
      <alignment horizontal="right" vertical="center"/>
    </xf>
    <xf numFmtId="0" fontId="8" fillId="0" borderId="3" xfId="0" quotePrefix="1" applyFont="1" applyBorder="1" applyAlignment="1">
      <alignment horizontal="center" vertical="center"/>
    </xf>
    <xf numFmtId="49" fontId="25" fillId="0" borderId="3" xfId="0" applyNumberFormat="1" applyFont="1" applyBorder="1" applyAlignment="1">
      <alignment horizontal="center" vertical="center"/>
    </xf>
    <xf numFmtId="0" fontId="5" fillId="0" borderId="26" xfId="0" applyFont="1" applyBorder="1" applyAlignment="1">
      <alignment horizontal="center" vertical="center"/>
    </xf>
    <xf numFmtId="0" fontId="36" fillId="2" borderId="4" xfId="0" applyFont="1" applyFill="1" applyBorder="1" applyAlignment="1">
      <alignment horizontal="right" vertical="center"/>
    </xf>
    <xf numFmtId="0" fontId="10" fillId="4" borderId="58" xfId="0" applyFont="1" applyFill="1" applyBorder="1" applyAlignment="1">
      <alignment horizontal="right" vertical="center"/>
    </xf>
    <xf numFmtId="49" fontId="6" fillId="0" borderId="26" xfId="0" applyNumberFormat="1" applyFont="1" applyBorder="1" applyAlignment="1">
      <alignment horizontal="center" vertical="center"/>
    </xf>
    <xf numFmtId="0" fontId="21" fillId="2" borderId="4" xfId="0" applyFont="1" applyFill="1" applyBorder="1" applyAlignment="1">
      <alignment horizontal="right" vertical="center"/>
    </xf>
    <xf numFmtId="0" fontId="13" fillId="2" borderId="16" xfId="0" applyFont="1" applyFill="1" applyBorder="1" applyAlignment="1">
      <alignment horizontal="right" vertical="center"/>
    </xf>
    <xf numFmtId="49" fontId="25" fillId="0" borderId="22" xfId="0" applyNumberFormat="1" applyFont="1" applyBorder="1" applyAlignment="1">
      <alignment horizontal="center" vertical="center"/>
    </xf>
    <xf numFmtId="0" fontId="10" fillId="4" borderId="59" xfId="0" applyFont="1" applyFill="1" applyBorder="1" applyAlignment="1">
      <alignment horizontal="right"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3" fillId="0" borderId="0" xfId="0" applyFont="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24" fillId="0" borderId="21" xfId="0" applyFont="1" applyBorder="1" applyAlignment="1">
      <alignment horizontal="centerContinuous" vertical="center"/>
    </xf>
    <xf numFmtId="0" fontId="15" fillId="0" borderId="0" xfId="0" applyFont="1" applyAlignment="1">
      <alignment horizontal="centerContinuous" vertical="center"/>
    </xf>
    <xf numFmtId="0" fontId="39" fillId="0" borderId="1" xfId="0" applyFont="1" applyBorder="1" applyAlignment="1">
      <alignment vertical="center"/>
    </xf>
    <xf numFmtId="0" fontId="6" fillId="0" borderId="23" xfId="0" applyFont="1" applyBorder="1" applyAlignment="1">
      <alignment horizontal="center" vertical="center"/>
    </xf>
    <xf numFmtId="0" fontId="40" fillId="0" borderId="23" xfId="0" applyFont="1" applyBorder="1" applyAlignment="1">
      <alignment horizontal="center" vertical="center" wrapText="1"/>
    </xf>
    <xf numFmtId="1" fontId="6" fillId="0" borderId="23" xfId="0" applyNumberFormat="1" applyFont="1" applyBorder="1" applyAlignment="1">
      <alignment horizontal="center" vertical="center" wrapText="1"/>
    </xf>
    <xf numFmtId="0" fontId="41" fillId="9" borderId="24" xfId="0" applyFont="1" applyFill="1" applyBorder="1" applyAlignment="1">
      <alignment horizontal="center" vertical="center"/>
    </xf>
    <xf numFmtId="49" fontId="6" fillId="0" borderId="23" xfId="0" applyNumberFormat="1" applyFont="1" applyBorder="1" applyAlignment="1">
      <alignment horizontal="center" vertical="center" wrapText="1"/>
    </xf>
    <xf numFmtId="0" fontId="42" fillId="0" borderId="1" xfId="0" applyFont="1" applyBorder="1" applyAlignment="1">
      <alignment vertical="center"/>
    </xf>
    <xf numFmtId="0" fontId="12" fillId="0" borderId="24" xfId="0" applyFont="1" applyBorder="1" applyAlignment="1">
      <alignment horizontal="center" vertical="center"/>
    </xf>
    <xf numFmtId="0" fontId="6" fillId="0" borderId="2" xfId="0" quotePrefix="1" applyFont="1" applyBorder="1" applyAlignment="1">
      <alignment horizontal="center" vertical="center"/>
    </xf>
    <xf numFmtId="0" fontId="40" fillId="0" borderId="65" xfId="0" applyFont="1" applyBorder="1" applyAlignment="1">
      <alignment vertical="center"/>
    </xf>
    <xf numFmtId="0" fontId="6" fillId="0" borderId="66" xfId="0" applyFont="1" applyBorder="1" applyAlignment="1">
      <alignment horizontal="center" vertical="center"/>
    </xf>
    <xf numFmtId="0" fontId="43" fillId="0" borderId="66" xfId="0" applyFont="1" applyBorder="1" applyAlignment="1">
      <alignment horizontal="center" vertical="center" wrapText="1"/>
    </xf>
    <xf numFmtId="1" fontId="6" fillId="0" borderId="66" xfId="0" applyNumberFormat="1" applyFont="1" applyBorder="1" applyAlignment="1">
      <alignment horizontal="center" vertical="center" wrapText="1"/>
    </xf>
    <xf numFmtId="0" fontId="41" fillId="9" borderId="66" xfId="0" applyFont="1" applyFill="1" applyBorder="1" applyAlignment="1">
      <alignment horizontal="center" vertical="center"/>
    </xf>
    <xf numFmtId="49" fontId="6" fillId="0" borderId="66" xfId="0" applyNumberFormat="1" applyFont="1" applyBorder="1" applyAlignment="1">
      <alignment horizontal="center" vertical="center" wrapText="1"/>
    </xf>
    <xf numFmtId="0" fontId="10" fillId="0" borderId="1" xfId="0" applyFont="1" applyBorder="1" applyAlignment="1">
      <alignment vertical="center"/>
    </xf>
    <xf numFmtId="49" fontId="16" fillId="0" borderId="23" xfId="0" applyNumberFormat="1" applyFont="1" applyBorder="1" applyAlignment="1">
      <alignment horizontal="center" vertical="center"/>
    </xf>
    <xf numFmtId="0" fontId="16" fillId="0" borderId="24" xfId="0" applyFont="1" applyBorder="1" applyAlignment="1">
      <alignment horizontal="center" vertical="center"/>
    </xf>
    <xf numFmtId="0" fontId="10" fillId="0" borderId="24" xfId="0" applyFont="1" applyBorder="1" applyAlignment="1">
      <alignment horizontal="center" vertical="center"/>
    </xf>
    <xf numFmtId="49" fontId="6" fillId="0" borderId="24" xfId="0" applyNumberFormat="1" applyFont="1" applyBorder="1" applyAlignment="1">
      <alignment horizontal="center" vertical="center"/>
    </xf>
    <xf numFmtId="0" fontId="6" fillId="0" borderId="25" xfId="0" applyFont="1" applyBorder="1" applyAlignment="1">
      <alignment horizontal="center" vertical="center"/>
    </xf>
    <xf numFmtId="0" fontId="18" fillId="0" borderId="0" xfId="0" applyFont="1" applyAlignment="1">
      <alignment vertical="center"/>
    </xf>
    <xf numFmtId="0" fontId="12" fillId="0" borderId="1" xfId="0" applyFont="1" applyBorder="1" applyAlignment="1">
      <alignment vertical="center"/>
    </xf>
    <xf numFmtId="49" fontId="23" fillId="0" borderId="23" xfId="0" applyNumberFormat="1" applyFont="1" applyBorder="1" applyAlignment="1">
      <alignment horizontal="center" vertical="center"/>
    </xf>
    <xf numFmtId="0" fontId="23" fillId="0" borderId="24" xfId="0" applyFont="1" applyBorder="1" applyAlignment="1">
      <alignment horizontal="center" vertical="center"/>
    </xf>
    <xf numFmtId="0" fontId="41" fillId="9" borderId="23" xfId="0" applyFont="1" applyFill="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2" fillId="0" borderId="23" xfId="0" applyNumberFormat="1" applyFont="1" applyBorder="1" applyAlignment="1">
      <alignment horizontal="center" vertical="center"/>
    </xf>
    <xf numFmtId="0" fontId="22" fillId="0" borderId="24" xfId="0" applyFont="1" applyBorder="1" applyAlignment="1">
      <alignment horizontal="center" vertical="center"/>
    </xf>
    <xf numFmtId="0" fontId="13" fillId="0" borderId="24" xfId="0" applyFont="1" applyBorder="1" applyAlignment="1">
      <alignment horizontal="center" vertical="center"/>
    </xf>
    <xf numFmtId="0" fontId="29" fillId="0" borderId="0" xfId="0" applyFont="1" applyAlignment="1">
      <alignment vertical="center"/>
    </xf>
    <xf numFmtId="0" fontId="6" fillId="6" borderId="23" xfId="0" applyFont="1" applyFill="1" applyBorder="1" applyAlignment="1">
      <alignment horizontal="center" vertical="center"/>
    </xf>
    <xf numFmtId="49" fontId="6" fillId="6" borderId="24" xfId="0" applyNumberFormat="1" applyFont="1" applyFill="1" applyBorder="1" applyAlignment="1">
      <alignment horizontal="center" vertical="center"/>
    </xf>
    <xf numFmtId="0" fontId="6" fillId="6" borderId="25" xfId="0" applyFont="1" applyFill="1" applyBorder="1" applyAlignment="1">
      <alignment horizontal="center" vertical="center"/>
    </xf>
    <xf numFmtId="0" fontId="28" fillId="0" borderId="0" xfId="0" applyFont="1" applyAlignment="1">
      <alignment vertical="center"/>
    </xf>
    <xf numFmtId="0" fontId="10" fillId="6" borderId="1" xfId="0" applyFont="1" applyFill="1" applyBorder="1" applyAlignment="1">
      <alignment vertical="center"/>
    </xf>
    <xf numFmtId="49" fontId="16" fillId="6" borderId="23" xfId="0" applyNumberFormat="1" applyFont="1" applyFill="1" applyBorder="1" applyAlignment="1">
      <alignment horizontal="center" vertical="center"/>
    </xf>
    <xf numFmtId="0" fontId="16" fillId="6" borderId="24" xfId="0" applyFont="1" applyFill="1" applyBorder="1" applyAlignment="1">
      <alignment horizontal="center" vertical="center"/>
    </xf>
    <xf numFmtId="0" fontId="10" fillId="6" borderId="24" xfId="0" applyFont="1" applyFill="1" applyBorder="1" applyAlignment="1">
      <alignment horizontal="center" vertical="center"/>
    </xf>
    <xf numFmtId="0" fontId="10" fillId="8" borderId="1" xfId="0" applyFont="1" applyFill="1" applyBorder="1" applyAlignment="1">
      <alignment vertical="center"/>
    </xf>
    <xf numFmtId="0" fontId="6" fillId="8" borderId="23" xfId="0" applyFont="1" applyFill="1" applyBorder="1" applyAlignment="1">
      <alignment horizontal="center" vertical="center"/>
    </xf>
    <xf numFmtId="49" fontId="16" fillId="8" borderId="23" xfId="0" applyNumberFormat="1" applyFont="1" applyFill="1" applyBorder="1" applyAlignment="1">
      <alignment horizontal="center" vertical="center"/>
    </xf>
    <xf numFmtId="0" fontId="16" fillId="8" borderId="24" xfId="0" applyFont="1" applyFill="1" applyBorder="1" applyAlignment="1">
      <alignment horizontal="center" vertical="center"/>
    </xf>
    <xf numFmtId="0" fontId="10" fillId="8" borderId="24" xfId="0" applyFont="1" applyFill="1" applyBorder="1" applyAlignment="1">
      <alignment horizontal="center" vertical="center"/>
    </xf>
    <xf numFmtId="49" fontId="6" fillId="8" borderId="24" xfId="0" applyNumberFormat="1" applyFont="1" applyFill="1" applyBorder="1" applyAlignment="1">
      <alignment horizontal="center" vertical="center"/>
    </xf>
    <xf numFmtId="0" fontId="6" fillId="8" borderId="25" xfId="0" applyFont="1" applyFill="1" applyBorder="1" applyAlignment="1">
      <alignment horizontal="center" vertical="center"/>
    </xf>
    <xf numFmtId="0" fontId="30" fillId="0" borderId="0" xfId="0" applyFont="1" applyAlignment="1">
      <alignment vertical="center"/>
    </xf>
    <xf numFmtId="0" fontId="21" fillId="6" borderId="1" xfId="0" applyFont="1" applyFill="1" applyBorder="1" applyAlignment="1">
      <alignment vertical="center"/>
    </xf>
    <xf numFmtId="49" fontId="27" fillId="6" borderId="23" xfId="0" applyNumberFormat="1" applyFont="1" applyFill="1" applyBorder="1" applyAlignment="1">
      <alignment horizontal="center" vertical="center"/>
    </xf>
    <xf numFmtId="0" fontId="27" fillId="6" borderId="24" xfId="0" applyFont="1" applyFill="1" applyBorder="1" applyAlignment="1">
      <alignment horizontal="center" vertical="center"/>
    </xf>
    <xf numFmtId="0" fontId="21" fillId="6" borderId="24" xfId="0" applyFont="1" applyFill="1" applyBorder="1" applyAlignment="1">
      <alignment horizontal="center" vertical="center"/>
    </xf>
    <xf numFmtId="0" fontId="7" fillId="0" borderId="1" xfId="0" applyFont="1" applyBorder="1" applyAlignment="1">
      <alignment vertical="center"/>
    </xf>
    <xf numFmtId="49" fontId="17" fillId="0" borderId="23" xfId="0" applyNumberFormat="1" applyFont="1" applyBorder="1" applyAlignment="1">
      <alignment horizontal="center" vertical="center"/>
    </xf>
    <xf numFmtId="0" fontId="17" fillId="0" borderId="24" xfId="0" applyFont="1" applyBorder="1" applyAlignment="1">
      <alignment horizontal="center" vertical="center"/>
    </xf>
    <xf numFmtId="0" fontId="7" fillId="0" borderId="24" xfId="0" applyFont="1" applyBorder="1" applyAlignment="1">
      <alignment horizontal="center" vertical="center"/>
    </xf>
    <xf numFmtId="0" fontId="12" fillId="8" borderId="1" xfId="0" applyFont="1" applyFill="1" applyBorder="1" applyAlignment="1">
      <alignment vertical="center"/>
    </xf>
    <xf numFmtId="49" fontId="23" fillId="8" borderId="23" xfId="0" applyNumberFormat="1" applyFont="1" applyFill="1" applyBorder="1" applyAlignment="1">
      <alignment horizontal="center" vertical="center"/>
    </xf>
    <xf numFmtId="0" fontId="23" fillId="8" borderId="24" xfId="0" applyFont="1" applyFill="1" applyBorder="1" applyAlignment="1">
      <alignment horizontal="center" vertical="center"/>
    </xf>
    <xf numFmtId="0" fontId="12" fillId="8" borderId="24" xfId="0" applyFont="1" applyFill="1" applyBorder="1" applyAlignment="1">
      <alignment horizontal="center" vertical="center"/>
    </xf>
    <xf numFmtId="0" fontId="13" fillId="8" borderId="1" xfId="0" applyFont="1" applyFill="1" applyBorder="1" applyAlignment="1">
      <alignment vertical="center"/>
    </xf>
    <xf numFmtId="0" fontId="12" fillId="6" borderId="1" xfId="0" applyFont="1" applyFill="1" applyBorder="1" applyAlignment="1">
      <alignment vertical="center"/>
    </xf>
    <xf numFmtId="49" fontId="23" fillId="6" borderId="23" xfId="0" applyNumberFormat="1" applyFont="1" applyFill="1" applyBorder="1" applyAlignment="1">
      <alignment horizontal="center" vertical="center"/>
    </xf>
    <xf numFmtId="0" fontId="23" fillId="6" borderId="24" xfId="0" applyFont="1" applyFill="1" applyBorder="1" applyAlignment="1">
      <alignment horizontal="center" vertical="center"/>
    </xf>
    <xf numFmtId="0" fontId="12" fillId="6" borderId="24" xfId="0" applyFont="1" applyFill="1" applyBorder="1" applyAlignment="1">
      <alignment horizontal="center" vertical="center"/>
    </xf>
    <xf numFmtId="0" fontId="21" fillId="0" borderId="1" xfId="0" applyFont="1" applyBorder="1" applyAlignment="1">
      <alignment vertical="center"/>
    </xf>
    <xf numFmtId="49" fontId="27" fillId="0" borderId="23" xfId="0" applyNumberFormat="1" applyFont="1" applyBorder="1" applyAlignment="1">
      <alignment horizontal="center" vertical="center"/>
    </xf>
    <xf numFmtId="0" fontId="27" fillId="0" borderId="24" xfId="0" applyFont="1" applyBorder="1" applyAlignment="1">
      <alignment horizontal="center" vertical="center"/>
    </xf>
    <xf numFmtId="0" fontId="21" fillId="0" borderId="24" xfId="0" applyFont="1" applyBorder="1" applyAlignment="1">
      <alignment horizontal="center" vertical="center"/>
    </xf>
    <xf numFmtId="0" fontId="6" fillId="6" borderId="25" xfId="0" quotePrefix="1" applyFont="1" applyFill="1" applyBorder="1" applyAlignment="1">
      <alignment horizontal="center" vertical="center"/>
    </xf>
    <xf numFmtId="0" fontId="41" fillId="9" borderId="54"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0" fontId="4" fillId="0" borderId="0" xfId="0" applyFont="1" applyAlignment="1">
      <alignment horizontal="center" vertical="center"/>
    </xf>
    <xf numFmtId="0" fontId="6" fillId="0" borderId="0" xfId="0" applyFont="1" applyAlignment="1">
      <alignment vertical="center" wrapText="1"/>
    </xf>
    <xf numFmtId="0" fontId="37" fillId="0" borderId="31" xfId="0" applyFont="1" applyBorder="1" applyAlignment="1">
      <alignment horizontal="centerContinuous" vertical="center"/>
    </xf>
    <xf numFmtId="0" fontId="2" fillId="0" borderId="0" xfId="0" applyFont="1" applyAlignment="1">
      <alignment horizontal="centerContinuous" vertical="center"/>
    </xf>
    <xf numFmtId="0" fontId="20" fillId="7" borderId="17" xfId="0" applyFont="1" applyFill="1" applyBorder="1" applyAlignment="1">
      <alignment horizontal="center" vertical="center"/>
    </xf>
    <xf numFmtId="0" fontId="20" fillId="7" borderId="18" xfId="0" applyFont="1" applyFill="1" applyBorder="1" applyAlignment="1">
      <alignment horizontal="center" vertical="center"/>
    </xf>
    <xf numFmtId="49" fontId="20" fillId="7" borderId="18" xfId="0" applyNumberFormat="1" applyFont="1" applyFill="1" applyBorder="1" applyAlignment="1">
      <alignment horizontal="center" vertical="center"/>
    </xf>
    <xf numFmtId="0" fontId="20" fillId="7" borderId="20" xfId="0" applyFont="1" applyFill="1" applyBorder="1" applyAlignment="1">
      <alignment horizontal="center" vertical="center"/>
    </xf>
    <xf numFmtId="0" fontId="44" fillId="9" borderId="20" xfId="0" applyFont="1" applyFill="1" applyBorder="1" applyAlignment="1">
      <alignment horizontal="center" vertical="center"/>
    </xf>
    <xf numFmtId="0" fontId="20" fillId="7" borderId="19" xfId="0" applyFont="1" applyFill="1" applyBorder="1" applyAlignment="1">
      <alignment horizontal="center" vertical="center"/>
    </xf>
    <xf numFmtId="0" fontId="20" fillId="7" borderId="28" xfId="0" applyFont="1" applyFill="1" applyBorder="1" applyAlignment="1">
      <alignment horizontal="center" vertical="center"/>
    </xf>
    <xf numFmtId="1" fontId="1" fillId="0" borderId="55" xfId="0" applyNumberFormat="1" applyFont="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0" fillId="7" borderId="20" xfId="0" applyFont="1" applyFill="1" applyBorder="1" applyAlignment="1">
      <alignment horizontal="centerContinuous" vertical="center"/>
    </xf>
    <xf numFmtId="0" fontId="20" fillId="7" borderId="72" xfId="0" applyFont="1" applyFill="1" applyBorder="1" applyAlignment="1">
      <alignment horizontal="centerContinuous" vertical="center"/>
    </xf>
    <xf numFmtId="0" fontId="20" fillId="7" borderId="57" xfId="0" applyFont="1" applyFill="1" applyBorder="1" applyAlignment="1">
      <alignment horizontal="centerContinuous" vertical="center"/>
    </xf>
    <xf numFmtId="164" fontId="2" fillId="0" borderId="0" xfId="0" applyNumberFormat="1" applyFont="1" applyAlignment="1">
      <alignment horizontal="centerContinuous" vertical="center"/>
    </xf>
    <xf numFmtId="0" fontId="20" fillId="3" borderId="32" xfId="0" applyFont="1" applyFill="1" applyBorder="1" applyAlignment="1">
      <alignment horizontal="center" vertical="center"/>
    </xf>
    <xf numFmtId="164" fontId="20" fillId="3" borderId="33" xfId="0" applyNumberFormat="1" applyFont="1" applyFill="1" applyBorder="1" applyAlignment="1">
      <alignment horizontal="center" vertical="center"/>
    </xf>
    <xf numFmtId="0" fontId="20" fillId="3" borderId="32" xfId="0" applyFont="1" applyFill="1" applyBorder="1" applyAlignment="1">
      <alignment horizontal="right" vertical="center"/>
    </xf>
    <xf numFmtId="0" fontId="20" fillId="3" borderId="34" xfId="0" applyFont="1" applyFill="1" applyBorder="1" applyAlignment="1">
      <alignment vertical="center"/>
    </xf>
    <xf numFmtId="164" fontId="20" fillId="3" borderId="28" xfId="0" applyNumberFormat="1" applyFont="1" applyFill="1" applyBorder="1" applyAlignment="1">
      <alignment horizontal="center" vertical="center"/>
    </xf>
    <xf numFmtId="0" fontId="1" fillId="0" borderId="35" xfId="0" applyFont="1" applyBorder="1" applyAlignment="1">
      <alignment horizontal="center" vertical="center" shrinkToFit="1"/>
    </xf>
    <xf numFmtId="1" fontId="1" fillId="0" borderId="36" xfId="0" applyNumberFormat="1" applyFont="1" applyBorder="1" applyAlignment="1">
      <alignment horizontal="center" vertical="center" shrinkToFit="1"/>
    </xf>
    <xf numFmtId="164" fontId="1" fillId="0" borderId="36" xfId="0" applyNumberFormat="1" applyFont="1" applyBorder="1" applyAlignment="1">
      <alignment horizontal="center" vertical="center" shrinkToFit="1"/>
    </xf>
    <xf numFmtId="0" fontId="4" fillId="0" borderId="37" xfId="0" applyFont="1" applyBorder="1" applyAlignment="1">
      <alignment horizontal="left" vertical="center"/>
    </xf>
    <xf numFmtId="0" fontId="4" fillId="0" borderId="38" xfId="0" applyFont="1" applyBorder="1" applyAlignment="1">
      <alignment horizontal="left" vertical="center" shrinkToFit="1"/>
    </xf>
    <xf numFmtId="1" fontId="4" fillId="0" borderId="36" xfId="0" applyNumberFormat="1" applyFont="1" applyBorder="1" applyAlignment="1">
      <alignment horizontal="center" vertical="center" shrinkToFit="1"/>
    </xf>
    <xf numFmtId="164" fontId="4" fillId="0" borderId="36" xfId="0" applyNumberFormat="1" applyFont="1" applyBorder="1" applyAlignment="1">
      <alignment horizontal="center" vertical="center" shrinkToFit="1"/>
    </xf>
    <xf numFmtId="0" fontId="1" fillId="0" borderId="43" xfId="0" applyFont="1" applyBorder="1" applyAlignment="1">
      <alignment horizontal="center" vertical="center" shrinkToFit="1"/>
    </xf>
    <xf numFmtId="1" fontId="4" fillId="0" borderId="44" xfId="0" applyNumberFormat="1" applyFont="1" applyBorder="1" applyAlignment="1">
      <alignment horizontal="center" vertical="center" shrinkToFit="1"/>
    </xf>
    <xf numFmtId="164" fontId="4" fillId="0" borderId="44" xfId="0" applyNumberFormat="1" applyFont="1" applyBorder="1" applyAlignment="1">
      <alignment horizontal="center" vertical="center" shrinkToFit="1"/>
    </xf>
    <xf numFmtId="0" fontId="4" fillId="0" borderId="45" xfId="0" applyFont="1" applyBorder="1" applyAlignment="1">
      <alignment horizontal="left" vertical="center"/>
    </xf>
    <xf numFmtId="0" fontId="4" fillId="0" borderId="46"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0" fontId="1" fillId="0" borderId="39" xfId="0" applyFont="1" applyBorder="1" applyAlignment="1">
      <alignment horizontal="center" vertical="center" shrinkToFit="1"/>
    </xf>
    <xf numFmtId="1" fontId="1" fillId="0" borderId="40" xfId="0" applyNumberFormat="1" applyFont="1" applyBorder="1" applyAlignment="1">
      <alignment horizontal="center" vertical="center" shrinkToFit="1"/>
    </xf>
    <xf numFmtId="164" fontId="1" fillId="0" borderId="40" xfId="0" applyNumberFormat="1" applyFont="1" applyBorder="1" applyAlignment="1">
      <alignment horizontal="center" vertical="center" shrinkToFit="1"/>
    </xf>
    <xf numFmtId="0" fontId="4" fillId="0" borderId="41" xfId="0" applyFont="1" applyBorder="1" applyAlignment="1">
      <alignment horizontal="left" vertical="center"/>
    </xf>
    <xf numFmtId="0" fontId="1" fillId="0" borderId="41" xfId="0" applyFont="1" applyBorder="1" applyAlignment="1">
      <alignment horizontal="left" vertical="center"/>
    </xf>
    <xf numFmtId="0" fontId="4" fillId="0" borderId="42" xfId="0" applyFont="1" applyBorder="1" applyAlignment="1">
      <alignment horizontal="left" vertical="center" shrinkToFit="1"/>
    </xf>
    <xf numFmtId="0" fontId="1" fillId="0" borderId="45" xfId="0" applyFont="1" applyBorder="1" applyAlignment="1">
      <alignment horizontal="left" vertical="center"/>
    </xf>
    <xf numFmtId="1" fontId="1" fillId="0" borderId="0" xfId="0" applyNumberFormat="1" applyFont="1" applyAlignment="1">
      <alignment horizontal="center" vertical="center"/>
    </xf>
    <xf numFmtId="1" fontId="20" fillId="3" borderId="32" xfId="0" applyNumberFormat="1" applyFont="1" applyFill="1" applyBorder="1" applyAlignment="1">
      <alignment horizontal="center" vertical="center"/>
    </xf>
    <xf numFmtId="1" fontId="4" fillId="0" borderId="52" xfId="0" applyNumberFormat="1" applyFont="1" applyBorder="1" applyAlignment="1">
      <alignment horizontal="center" vertical="center" shrinkToFit="1"/>
    </xf>
    <xf numFmtId="164" fontId="4" fillId="0" borderId="52" xfId="0" applyNumberFormat="1" applyFont="1" applyBorder="1" applyAlignment="1">
      <alignment horizontal="center" vertical="center" shrinkToFit="1"/>
    </xf>
    <xf numFmtId="0" fontId="4" fillId="0" borderId="53" xfId="0" applyFont="1" applyBorder="1" applyAlignment="1">
      <alignment horizontal="left" vertical="center"/>
    </xf>
    <xf numFmtId="0" fontId="4" fillId="0" borderId="48" xfId="0" applyFont="1" applyBorder="1" applyAlignment="1">
      <alignment horizontal="left" vertical="center" shrinkToFit="1"/>
    </xf>
    <xf numFmtId="1" fontId="4" fillId="0" borderId="0" xfId="0" applyNumberFormat="1" applyFont="1" applyAlignment="1">
      <alignment horizontal="center" vertical="center"/>
    </xf>
    <xf numFmtId="1" fontId="4" fillId="0" borderId="0" xfId="0" applyNumberFormat="1" applyFont="1" applyAlignment="1">
      <alignment vertical="center"/>
    </xf>
    <xf numFmtId="0" fontId="19" fillId="2" borderId="87" xfId="0" applyFont="1" applyFill="1" applyBorder="1" applyAlignment="1">
      <alignment horizontal="left" vertical="center"/>
    </xf>
    <xf numFmtId="0" fontId="3" fillId="2" borderId="87" xfId="0" applyFont="1" applyFill="1" applyBorder="1" applyAlignment="1">
      <alignment horizontal="centerContinuous" vertical="center"/>
    </xf>
    <xf numFmtId="0" fontId="6" fillId="8" borderId="25" xfId="0" quotePrefix="1" applyFont="1" applyFill="1" applyBorder="1" applyAlignment="1">
      <alignment horizontal="center" vertical="center"/>
    </xf>
    <xf numFmtId="0" fontId="6" fillId="0" borderId="25" xfId="0" quotePrefix="1" applyFont="1" applyBorder="1" applyAlignment="1">
      <alignment horizontal="center" vertical="center"/>
    </xf>
    <xf numFmtId="0" fontId="12" fillId="0" borderId="8" xfId="0" applyFont="1" applyBorder="1" applyAlignment="1">
      <alignment vertical="center"/>
    </xf>
    <xf numFmtId="0" fontId="6" fillId="0" borderId="54" xfId="0" applyFont="1" applyBorder="1" applyAlignment="1">
      <alignment horizontal="center" vertical="center"/>
    </xf>
    <xf numFmtId="49" fontId="23" fillId="0" borderId="54" xfId="0" applyNumberFormat="1" applyFont="1" applyBorder="1" applyAlignment="1">
      <alignment horizontal="center" vertical="center"/>
    </xf>
    <xf numFmtId="0" fontId="23" fillId="0" borderId="55" xfId="0" applyFont="1" applyBorder="1" applyAlignment="1">
      <alignment horizontal="center" vertical="center"/>
    </xf>
    <xf numFmtId="0" fontId="12" fillId="0" borderId="55" xfId="0" applyFont="1" applyBorder="1" applyAlignment="1">
      <alignment horizontal="center" vertical="center"/>
    </xf>
    <xf numFmtId="49" fontId="6" fillId="0" borderId="55" xfId="0" applyNumberFormat="1" applyFont="1" applyBorder="1" applyAlignment="1">
      <alignment horizontal="center" vertical="center"/>
    </xf>
    <xf numFmtId="0" fontId="6" fillId="0" borderId="30" xfId="0" applyFont="1" applyBorder="1" applyAlignment="1">
      <alignment horizontal="center" vertical="center"/>
    </xf>
    <xf numFmtId="0" fontId="9" fillId="6" borderId="1" xfId="0" applyFont="1" applyFill="1" applyBorder="1" applyAlignment="1">
      <alignment vertical="center"/>
    </xf>
    <xf numFmtId="49" fontId="26" fillId="6" borderId="23" xfId="0" applyNumberFormat="1" applyFont="1" applyFill="1" applyBorder="1" applyAlignment="1">
      <alignment horizontal="center" vertical="center"/>
    </xf>
    <xf numFmtId="0" fontId="26" fillId="6" borderId="24" xfId="0" applyFont="1" applyFill="1" applyBorder="1" applyAlignment="1">
      <alignment horizontal="center" vertical="center"/>
    </xf>
    <xf numFmtId="0" fontId="9" fillId="6" borderId="24" xfId="0" applyFont="1" applyFill="1" applyBorder="1" applyAlignment="1">
      <alignment horizontal="center" vertical="center"/>
    </xf>
    <xf numFmtId="0" fontId="6" fillId="0" borderId="62" xfId="0" applyFont="1" applyBorder="1" applyAlignment="1">
      <alignment horizontal="centerContinuous"/>
    </xf>
    <xf numFmtId="0" fontId="6" fillId="0" borderId="67" xfId="0" quotePrefix="1" applyFont="1" applyBorder="1" applyAlignment="1">
      <alignment horizontal="center" vertical="center"/>
    </xf>
    <xf numFmtId="0" fontId="20" fillId="7" borderId="68" xfId="0" applyFont="1" applyFill="1" applyBorder="1" applyAlignment="1">
      <alignment horizontal="centerContinuous" vertical="center"/>
    </xf>
    <xf numFmtId="0" fontId="20" fillId="7" borderId="69" xfId="0" applyFont="1" applyFill="1" applyBorder="1" applyAlignment="1">
      <alignment horizontal="centerContinuous" vertical="center"/>
    </xf>
    <xf numFmtId="0" fontId="20" fillId="7" borderId="69" xfId="0" applyFont="1" applyFill="1" applyBorder="1" applyAlignment="1">
      <alignment horizontal="center" vertical="center"/>
    </xf>
    <xf numFmtId="0" fontId="20" fillId="7" borderId="89" xfId="0" applyFont="1" applyFill="1" applyBorder="1" applyAlignment="1">
      <alignment horizontal="centerContinuous" vertical="center"/>
    </xf>
    <xf numFmtId="0" fontId="20" fillId="7" borderId="90" xfId="0" applyFont="1" applyFill="1" applyBorder="1" applyAlignment="1">
      <alignment horizontal="centerContinuous" vertical="center"/>
    </xf>
    <xf numFmtId="0" fontId="20" fillId="7" borderId="91" xfId="0" applyFont="1" applyFill="1" applyBorder="1" applyAlignment="1">
      <alignment horizontal="center" vertical="center"/>
    </xf>
    <xf numFmtId="0" fontId="17" fillId="0" borderId="31" xfId="0" applyFont="1" applyBorder="1" applyAlignment="1">
      <alignment horizontal="centerContinuous" shrinkToFit="1"/>
    </xf>
    <xf numFmtId="0" fontId="6" fillId="0" borderId="85" xfId="0" applyFont="1" applyBorder="1" applyAlignment="1">
      <alignment horizontal="centerContinuous"/>
    </xf>
    <xf numFmtId="0" fontId="6" fillId="0" borderId="61" xfId="0" applyFont="1" applyBorder="1" applyAlignment="1">
      <alignment horizontal="centerContinuous"/>
    </xf>
    <xf numFmtId="0" fontId="1" fillId="0" borderId="0" xfId="5" applyAlignment="1">
      <alignment wrapText="1"/>
    </xf>
    <xf numFmtId="0" fontId="3" fillId="0" borderId="0" xfId="5" applyFont="1" applyAlignment="1">
      <alignment horizontal="right" wrapText="1"/>
    </xf>
    <xf numFmtId="0" fontId="1" fillId="0" borderId="0" xfId="5" applyAlignment="1">
      <alignment horizontal="left" wrapText="1"/>
    </xf>
    <xf numFmtId="0" fontId="6" fillId="0" borderId="66" xfId="5" applyFont="1" applyBorder="1" applyAlignment="1">
      <alignment horizontal="center" wrapText="1"/>
    </xf>
    <xf numFmtId="9" fontId="6" fillId="0" borderId="24" xfId="2" applyFont="1" applyFill="1" applyBorder="1" applyAlignment="1">
      <alignment horizontal="center" vertical="center" shrinkToFit="1"/>
    </xf>
    <xf numFmtId="0" fontId="6" fillId="0" borderId="23" xfId="5" applyFont="1" applyBorder="1" applyAlignment="1">
      <alignment horizontal="center" wrapText="1"/>
    </xf>
    <xf numFmtId="0" fontId="3" fillId="0" borderId="0" xfId="5" applyFont="1" applyAlignment="1">
      <alignment wrapText="1"/>
    </xf>
    <xf numFmtId="0" fontId="15" fillId="0" borderId="0" xfId="5" applyFont="1" applyAlignment="1">
      <alignment horizontal="centerContinuous" wrapText="1"/>
    </xf>
    <xf numFmtId="0" fontId="6" fillId="0" borderId="24" xfId="2" applyNumberFormat="1" applyFont="1" applyFill="1" applyBorder="1" applyAlignment="1">
      <alignment horizontal="center" vertical="center" shrinkToFit="1"/>
    </xf>
    <xf numFmtId="0" fontId="6" fillId="0" borderId="25" xfId="0" applyFont="1" applyBorder="1" applyAlignment="1">
      <alignment horizontal="center" vertical="center" wrapText="1"/>
    </xf>
    <xf numFmtId="0" fontId="6" fillId="0" borderId="15" xfId="2" applyNumberFormat="1" applyFont="1" applyFill="1" applyBorder="1" applyAlignment="1">
      <alignment horizontal="center" vertical="center" shrinkToFit="1"/>
    </xf>
    <xf numFmtId="0" fontId="6" fillId="0" borderId="29" xfId="0" applyFont="1" applyBorder="1" applyAlignment="1">
      <alignment horizontal="center" vertical="center" wrapText="1"/>
    </xf>
    <xf numFmtId="1" fontId="6" fillId="0" borderId="13" xfId="0" applyNumberFormat="1" applyFont="1" applyBorder="1" applyAlignment="1">
      <alignment horizontal="center" vertical="center"/>
    </xf>
    <xf numFmtId="0" fontId="6" fillId="0" borderId="0" xfId="0" applyFont="1" applyAlignment="1">
      <alignment horizontal="centerContinuous" vertical="center"/>
    </xf>
    <xf numFmtId="0" fontId="26" fillId="0" borderId="56" xfId="0" quotePrefix="1" applyFont="1" applyBorder="1" applyAlignment="1">
      <alignment horizontal="center" shrinkToFit="1"/>
    </xf>
    <xf numFmtId="0" fontId="1" fillId="0" borderId="74" xfId="0" applyFont="1" applyBorder="1" applyAlignment="1">
      <alignment horizontal="center" vertical="center"/>
    </xf>
    <xf numFmtId="0" fontId="1" fillId="0" borderId="16" xfId="0" applyFont="1" applyBorder="1" applyAlignment="1">
      <alignment horizontal="center" vertical="center"/>
    </xf>
    <xf numFmtId="0" fontId="1" fillId="0" borderId="54" xfId="0" applyFont="1" applyBorder="1" applyAlignment="1">
      <alignment horizontal="center" vertical="center"/>
    </xf>
    <xf numFmtId="164" fontId="1" fillId="0" borderId="54" xfId="0" applyNumberFormat="1" applyFont="1" applyBorder="1" applyAlignment="1">
      <alignment horizontal="center" vertical="center"/>
    </xf>
    <xf numFmtId="1" fontId="45" fillId="9" borderId="55" xfId="0" applyNumberFormat="1" applyFont="1" applyFill="1" applyBorder="1" applyAlignment="1">
      <alignment horizontal="center" vertical="center"/>
    </xf>
    <xf numFmtId="1" fontId="45" fillId="9" borderId="24" xfId="0" applyNumberFormat="1" applyFont="1" applyFill="1" applyBorder="1" applyAlignment="1">
      <alignment horizontal="center" vertical="center"/>
    </xf>
    <xf numFmtId="0" fontId="6" fillId="0" borderId="3" xfId="0" applyFont="1" applyBorder="1" applyAlignment="1">
      <alignment horizontal="center" vertical="center"/>
    </xf>
    <xf numFmtId="0" fontId="1" fillId="0" borderId="96" xfId="0" applyFont="1" applyBorder="1" applyAlignment="1">
      <alignment horizontal="center" vertical="center"/>
    </xf>
    <xf numFmtId="49" fontId="1" fillId="0" borderId="96" xfId="2" applyNumberFormat="1" applyFont="1" applyFill="1" applyBorder="1" applyAlignment="1">
      <alignment horizontal="center" vertical="center"/>
    </xf>
    <xf numFmtId="164" fontId="1" fillId="8" borderId="96" xfId="0" applyNumberFormat="1" applyFont="1" applyFill="1" applyBorder="1" applyAlignment="1">
      <alignment horizontal="center" vertical="center"/>
    </xf>
    <xf numFmtId="1" fontId="3" fillId="0" borderId="0" xfId="0" applyNumberFormat="1" applyFont="1" applyAlignment="1">
      <alignment horizontal="center" vertical="center"/>
    </xf>
    <xf numFmtId="1" fontId="1" fillId="0" borderId="61" xfId="0" applyNumberFormat="1" applyFont="1" applyBorder="1" applyAlignment="1">
      <alignment horizontal="center" vertical="center"/>
    </xf>
    <xf numFmtId="1" fontId="1" fillId="0" borderId="85" xfId="0" applyNumberFormat="1" applyFont="1" applyBorder="1" applyAlignment="1">
      <alignment horizontal="center" vertical="center"/>
    </xf>
    <xf numFmtId="1" fontId="1" fillId="0" borderId="56" xfId="0" applyNumberFormat="1" applyFont="1" applyBorder="1" applyAlignment="1">
      <alignment horizontal="center" vertical="center"/>
    </xf>
    <xf numFmtId="1" fontId="1" fillId="0" borderId="31" xfId="0" applyNumberFormat="1" applyFont="1" applyBorder="1" applyAlignment="1">
      <alignment horizontal="center" vertical="center"/>
    </xf>
    <xf numFmtId="165" fontId="1" fillId="0" borderId="0" xfId="0" applyNumberFormat="1" applyFont="1" applyAlignment="1">
      <alignment horizontal="center" vertical="center"/>
    </xf>
    <xf numFmtId="0" fontId="1" fillId="0" borderId="0" xfId="0" applyFont="1" applyAlignment="1">
      <alignment vertical="center"/>
    </xf>
    <xf numFmtId="0" fontId="47" fillId="0" borderId="0" xfId="0" applyFont="1" applyAlignment="1">
      <alignment horizontal="centerContinuous" vertical="center" wrapText="1"/>
    </xf>
    <xf numFmtId="0" fontId="48" fillId="0" borderId="17" xfId="0" applyFont="1" applyBorder="1" applyAlignment="1">
      <alignment horizontal="center"/>
    </xf>
    <xf numFmtId="0" fontId="48" fillId="0" borderId="98" xfId="0" applyFont="1" applyBorder="1" applyAlignment="1">
      <alignment horizontal="center"/>
    </xf>
    <xf numFmtId="0" fontId="48" fillId="0" borderId="99" xfId="0" applyFont="1" applyBorder="1" applyAlignment="1">
      <alignment horizontal="center"/>
    </xf>
    <xf numFmtId="0" fontId="48" fillId="0" borderId="100" xfId="0" applyFont="1" applyBorder="1" applyAlignment="1">
      <alignment horizontal="center"/>
    </xf>
    <xf numFmtId="0" fontId="0" fillId="0" borderId="101" xfId="0" applyBorder="1" applyAlignment="1">
      <alignment horizontal="center"/>
    </xf>
    <xf numFmtId="0" fontId="0" fillId="8" borderId="52" xfId="0" applyFill="1" applyBorder="1" applyAlignment="1">
      <alignment horizontal="center"/>
    </xf>
    <xf numFmtId="0" fontId="0" fillId="8" borderId="48" xfId="0" applyFill="1" applyBorder="1" applyAlignment="1">
      <alignment horizontal="center"/>
    </xf>
    <xf numFmtId="0" fontId="0" fillId="0" borderId="103" xfId="0" applyBorder="1" applyAlignment="1">
      <alignment horizontal="center"/>
    </xf>
    <xf numFmtId="0" fontId="0" fillId="8" borderId="36" xfId="0" applyFill="1" applyBorder="1" applyAlignment="1">
      <alignment horizontal="center"/>
    </xf>
    <xf numFmtId="0" fontId="0" fillId="8" borderId="38" xfId="0" applyFill="1" applyBorder="1" applyAlignment="1">
      <alignment horizontal="center"/>
    </xf>
    <xf numFmtId="0" fontId="0" fillId="0" borderId="36" xfId="0" applyBorder="1" applyAlignment="1">
      <alignment horizontal="center"/>
    </xf>
    <xf numFmtId="0" fontId="0" fillId="0" borderId="105" xfId="0" applyBorder="1" applyAlignment="1">
      <alignment horizontal="center"/>
    </xf>
    <xf numFmtId="0" fontId="0" fillId="0" borderId="44" xfId="0" applyBorder="1" applyAlignment="1">
      <alignment horizontal="center"/>
    </xf>
    <xf numFmtId="1" fontId="0" fillId="0" borderId="102" xfId="0" applyNumberFormat="1" applyBorder="1" applyAlignment="1">
      <alignment horizontal="center"/>
    </xf>
    <xf numFmtId="1" fontId="0" fillId="0" borderId="104" xfId="0" applyNumberFormat="1" applyBorder="1" applyAlignment="1">
      <alignment horizontal="center"/>
    </xf>
    <xf numFmtId="1" fontId="0" fillId="0" borderId="106" xfId="0" applyNumberFormat="1" applyBorder="1" applyAlignment="1">
      <alignment horizontal="center"/>
    </xf>
    <xf numFmtId="0" fontId="3" fillId="0" borderId="0" xfId="5" applyFont="1" applyAlignment="1">
      <alignment vertical="center" wrapText="1"/>
    </xf>
    <xf numFmtId="0" fontId="6" fillId="0" borderId="23" xfId="0" applyFont="1" applyBorder="1" applyAlignment="1">
      <alignment horizontal="center" vertical="center" shrinkToFit="1"/>
    </xf>
    <xf numFmtId="0" fontId="6" fillId="0" borderId="24" xfId="0" applyFont="1" applyBorder="1" applyAlignment="1">
      <alignment horizontal="center" vertical="center" shrinkToFit="1"/>
    </xf>
    <xf numFmtId="9" fontId="6" fillId="0" borderId="23" xfId="2" applyFont="1" applyFill="1" applyBorder="1" applyAlignment="1">
      <alignment horizontal="center" vertical="center" shrinkToFit="1"/>
    </xf>
    <xf numFmtId="1" fontId="6" fillId="0" borderId="3" xfId="0" applyNumberFormat="1" applyFont="1" applyBorder="1" applyAlignment="1">
      <alignment horizontal="centerContinuous" vertical="center"/>
    </xf>
    <xf numFmtId="1" fontId="1" fillId="0" borderId="84" xfId="0" applyNumberFormat="1" applyFont="1" applyBorder="1" applyAlignment="1">
      <alignment horizontal="centerContinuous" vertical="center"/>
    </xf>
    <xf numFmtId="0" fontId="49" fillId="0" borderId="28" xfId="0" applyFont="1" applyBorder="1" applyAlignment="1">
      <alignment horizontal="centerContinuous" vertical="center"/>
    </xf>
    <xf numFmtId="0" fontId="6" fillId="0" borderId="107" xfId="0" applyFont="1" applyBorder="1" applyAlignment="1">
      <alignment horizontal="centerContinuous" vertical="center"/>
    </xf>
    <xf numFmtId="1" fontId="1" fillId="0" borderId="62" xfId="0" applyNumberFormat="1" applyFont="1" applyBorder="1" applyAlignment="1">
      <alignment horizontal="center" vertical="center" shrinkToFit="1"/>
    </xf>
    <xf numFmtId="1" fontId="1" fillId="0" borderId="31" xfId="0" applyNumberFormat="1" applyFont="1" applyBorder="1" applyAlignment="1">
      <alignment horizontal="center" vertical="center" shrinkToFit="1"/>
    </xf>
    <xf numFmtId="1" fontId="1" fillId="0" borderId="95" xfId="0" applyNumberFormat="1" applyFont="1" applyBorder="1" applyAlignment="1">
      <alignment horizontal="center" vertical="center" shrinkToFit="1"/>
    </xf>
    <xf numFmtId="1" fontId="1" fillId="0" borderId="56" xfId="0" applyNumberFormat="1" applyFont="1" applyBorder="1" applyAlignment="1">
      <alignment horizontal="center" vertical="center" shrinkToFit="1"/>
    </xf>
    <xf numFmtId="37" fontId="6" fillId="0" borderId="12" xfId="9" applyNumberFormat="1" applyFont="1" applyBorder="1" applyAlignment="1">
      <alignment horizontal="centerContinuous" vertical="center"/>
    </xf>
    <xf numFmtId="0" fontId="1" fillId="0" borderId="0" xfId="0" applyFont="1" applyAlignment="1">
      <alignment horizontal="center" vertical="center" shrinkToFit="1"/>
    </xf>
    <xf numFmtId="0" fontId="1" fillId="0" borderId="108" xfId="0" applyFont="1" applyBorder="1" applyAlignment="1">
      <alignment horizontal="center" vertical="center" shrinkToFit="1"/>
    </xf>
    <xf numFmtId="0" fontId="1" fillId="0" borderId="36" xfId="0" applyFont="1" applyBorder="1" applyAlignment="1">
      <alignment horizontal="center" vertical="center" shrinkToFit="1"/>
    </xf>
    <xf numFmtId="0" fontId="1" fillId="0" borderId="37" xfId="0" applyFont="1" applyBorder="1" applyAlignment="1">
      <alignment horizontal="left" vertical="center"/>
    </xf>
    <xf numFmtId="0" fontId="1" fillId="0" borderId="38" xfId="0" applyFont="1" applyBorder="1" applyAlignment="1">
      <alignment horizontal="left" vertical="center" shrinkToFit="1"/>
    </xf>
    <xf numFmtId="0" fontId="1" fillId="0" borderId="109" xfId="0" applyFont="1" applyBorder="1" applyAlignment="1">
      <alignment horizontal="center" vertical="center" shrinkToFit="1"/>
    </xf>
    <xf numFmtId="0" fontId="1" fillId="0" borderId="110" xfId="0" applyFont="1" applyBorder="1" applyAlignment="1">
      <alignment horizontal="center" vertical="center"/>
    </xf>
    <xf numFmtId="0" fontId="1" fillId="0" borderId="110" xfId="0" quotePrefix="1" applyFont="1" applyBorder="1" applyAlignment="1">
      <alignment horizontal="center" vertical="center"/>
    </xf>
    <xf numFmtId="49" fontId="1" fillId="0" borderId="110" xfId="0" quotePrefix="1" applyNumberFormat="1" applyFont="1" applyBorder="1" applyAlignment="1">
      <alignment horizontal="center" vertical="center"/>
    </xf>
    <xf numFmtId="164" fontId="1" fillId="0" borderId="110" xfId="0" applyNumberFormat="1" applyFont="1" applyBorder="1" applyAlignment="1">
      <alignment horizontal="center" vertical="center"/>
    </xf>
    <xf numFmtId="164" fontId="1" fillId="0" borderId="111" xfId="0" applyNumberFormat="1" applyFont="1" applyBorder="1" applyAlignment="1">
      <alignment horizontal="centerContinuous" vertical="center"/>
    </xf>
    <xf numFmtId="164" fontId="1" fillId="0" borderId="112" xfId="0" applyNumberFormat="1" applyFont="1" applyBorder="1" applyAlignment="1">
      <alignment horizontal="centerContinuous" vertical="center"/>
    </xf>
    <xf numFmtId="0" fontId="1" fillId="0" borderId="113" xfId="0" quotePrefix="1" applyFont="1" applyBorder="1" applyAlignment="1">
      <alignment horizontal="centerContinuous" vertical="center"/>
    </xf>
    <xf numFmtId="0" fontId="1" fillId="0" borderId="73" xfId="0" quotePrefix="1" applyFont="1" applyBorder="1" applyAlignment="1">
      <alignment horizontal="center" vertical="center"/>
    </xf>
    <xf numFmtId="9" fontId="1" fillId="0" borderId="110" xfId="0" applyNumberFormat="1" applyFont="1" applyBorder="1" applyAlignment="1">
      <alignment horizontal="center" vertical="center"/>
    </xf>
    <xf numFmtId="0" fontId="0" fillId="0" borderId="0" xfId="0" applyAlignment="1">
      <alignment horizontal="center" vertical="center"/>
    </xf>
    <xf numFmtId="0" fontId="1" fillId="0" borderId="0" xfId="5" applyAlignment="1">
      <alignment vertical="center"/>
    </xf>
    <xf numFmtId="1" fontId="3" fillId="0" borderId="0" xfId="5" applyNumberFormat="1" applyFont="1" applyAlignment="1">
      <alignment horizontal="center" vertical="center"/>
    </xf>
    <xf numFmtId="1" fontId="1" fillId="0" borderId="0" xfId="5" applyNumberFormat="1" applyAlignment="1">
      <alignment horizontal="center" vertical="center"/>
    </xf>
    <xf numFmtId="0" fontId="3" fillId="0" borderId="0" xfId="5" applyFont="1" applyAlignment="1">
      <alignment vertical="center"/>
    </xf>
    <xf numFmtId="1" fontId="1" fillId="0" borderId="116" xfId="5" applyNumberFormat="1" applyBorder="1" applyAlignment="1">
      <alignment horizontal="center" vertical="center"/>
    </xf>
    <xf numFmtId="9" fontId="3" fillId="0" borderId="0" xfId="7" applyFont="1" applyAlignment="1">
      <alignment horizontal="center" vertical="center"/>
    </xf>
    <xf numFmtId="9" fontId="1" fillId="0" borderId="0" xfId="7" applyAlignment="1">
      <alignment horizontal="center" vertical="center"/>
    </xf>
    <xf numFmtId="0" fontId="1" fillId="0" borderId="0" xfId="0" applyFont="1" applyAlignment="1">
      <alignment horizontal="right" vertical="center"/>
    </xf>
    <xf numFmtId="0" fontId="6" fillId="0" borderId="25" xfId="0" applyFont="1" applyBorder="1" applyAlignment="1">
      <alignment horizontal="center" vertical="center" shrinkToFit="1"/>
    </xf>
    <xf numFmtId="9" fontId="6" fillId="0" borderId="66" xfId="2" applyFont="1" applyFill="1" applyBorder="1" applyAlignment="1">
      <alignment horizontal="center" vertical="center" shrinkToFit="1"/>
    </xf>
    <xf numFmtId="0" fontId="6" fillId="0" borderId="15" xfId="0" applyFont="1" applyBorder="1" applyAlignment="1">
      <alignment horizontal="center" vertical="center" shrinkToFit="1"/>
    </xf>
    <xf numFmtId="0" fontId="1" fillId="0" borderId="49" xfId="0" applyFont="1" applyBorder="1" applyAlignment="1">
      <alignment horizontal="center" vertical="center" shrinkToFit="1"/>
    </xf>
    <xf numFmtId="1" fontId="1" fillId="10" borderId="56" xfId="0" applyNumberFormat="1" applyFont="1" applyFill="1" applyBorder="1" applyAlignment="1">
      <alignment horizontal="center" vertical="center"/>
    </xf>
    <xf numFmtId="0" fontId="1" fillId="10" borderId="77" xfId="0" applyFont="1" applyFill="1" applyBorder="1" applyAlignment="1">
      <alignment horizontal="center" vertical="center" shrinkToFit="1"/>
    </xf>
    <xf numFmtId="0" fontId="1" fillId="10" borderId="78" xfId="0" applyFont="1" applyFill="1" applyBorder="1" applyAlignment="1">
      <alignment horizontal="center" vertical="center"/>
    </xf>
    <xf numFmtId="0" fontId="1" fillId="10" borderId="78" xfId="0" quotePrefix="1" applyFont="1" applyFill="1" applyBorder="1" applyAlignment="1">
      <alignment horizontal="center" vertical="center"/>
    </xf>
    <xf numFmtId="9" fontId="1" fillId="10" borderId="78" xfId="0" applyNumberFormat="1" applyFont="1" applyFill="1" applyBorder="1" applyAlignment="1">
      <alignment horizontal="center" vertical="center"/>
    </xf>
    <xf numFmtId="164" fontId="1" fillId="10" borderId="78" xfId="0" applyNumberFormat="1" applyFont="1" applyFill="1" applyBorder="1" applyAlignment="1">
      <alignment horizontal="center" vertical="center"/>
    </xf>
    <xf numFmtId="164" fontId="1" fillId="10" borderId="79" xfId="0" applyNumberFormat="1" applyFont="1" applyFill="1" applyBorder="1" applyAlignment="1">
      <alignment horizontal="centerContinuous" vertical="center"/>
    </xf>
    <xf numFmtId="164" fontId="4" fillId="10" borderId="80" xfId="0" applyNumberFormat="1" applyFont="1" applyFill="1" applyBorder="1" applyAlignment="1">
      <alignment horizontal="centerContinuous" vertical="center"/>
    </xf>
    <xf numFmtId="0" fontId="4" fillId="10" borderId="81" xfId="0" applyFont="1" applyFill="1" applyBorder="1" applyAlignment="1">
      <alignment horizontal="centerContinuous" vertical="center"/>
    </xf>
    <xf numFmtId="0" fontId="53" fillId="0" borderId="31" xfId="0" quotePrefix="1" applyFont="1" applyBorder="1" applyAlignment="1">
      <alignment horizontal="center" vertical="center" shrinkToFit="1"/>
    </xf>
    <xf numFmtId="0" fontId="1" fillId="0" borderId="117" xfId="0" applyFont="1" applyBorder="1" applyAlignment="1">
      <alignment horizontal="center" vertical="center"/>
    </xf>
    <xf numFmtId="0" fontId="1" fillId="0" borderId="118" xfId="0" applyFont="1" applyBorder="1" applyAlignment="1">
      <alignment horizontal="center" vertical="center"/>
    </xf>
    <xf numFmtId="0" fontId="1" fillId="0" borderId="118" xfId="0" quotePrefix="1" applyFont="1" applyBorder="1" applyAlignment="1">
      <alignment horizontal="center" vertical="center" wrapText="1"/>
    </xf>
    <xf numFmtId="49" fontId="1" fillId="0" borderId="118" xfId="2" applyNumberFormat="1" applyFont="1" applyFill="1" applyBorder="1" applyAlignment="1">
      <alignment horizontal="center" vertical="center"/>
    </xf>
    <xf numFmtId="0" fontId="1" fillId="8" borderId="118" xfId="0" applyFont="1" applyFill="1" applyBorder="1" applyAlignment="1">
      <alignment horizontal="center" vertical="center" shrinkToFit="1"/>
    </xf>
    <xf numFmtId="164" fontId="1" fillId="8" borderId="118" xfId="0" applyNumberFormat="1" applyFont="1" applyFill="1" applyBorder="1" applyAlignment="1">
      <alignment horizontal="center" vertical="center"/>
    </xf>
    <xf numFmtId="0" fontId="4" fillId="0" borderId="54" xfId="0" quotePrefix="1" applyFont="1" applyBorder="1" applyAlignment="1">
      <alignment horizontal="center" vertical="center" wrapText="1"/>
    </xf>
    <xf numFmtId="49" fontId="1" fillId="0" borderId="54" xfId="2" applyNumberFormat="1" applyFont="1" applyBorder="1" applyAlignment="1">
      <alignment horizontal="center" vertical="center"/>
    </xf>
    <xf numFmtId="0" fontId="1" fillId="0" borderId="54" xfId="0" applyFont="1" applyBorder="1" applyAlignment="1">
      <alignment horizontal="center" vertical="center" shrinkToFit="1"/>
    </xf>
    <xf numFmtId="164" fontId="4" fillId="0" borderId="55" xfId="0" applyNumberFormat="1" applyFont="1" applyBorder="1" applyAlignment="1">
      <alignment horizontal="center" vertical="center"/>
    </xf>
    <xf numFmtId="0" fontId="3" fillId="0" borderId="30" xfId="0" applyFont="1" applyBorder="1" applyAlignment="1">
      <alignment horizontal="center" vertical="center"/>
    </xf>
    <xf numFmtId="0" fontId="1" fillId="0" borderId="118" xfId="0" quotePrefix="1" applyFont="1" applyBorder="1" applyAlignment="1">
      <alignment horizontal="center" vertical="center"/>
    </xf>
    <xf numFmtId="164" fontId="4" fillId="0" borderId="118" xfId="0" applyNumberFormat="1" applyFont="1" applyBorder="1" applyAlignment="1">
      <alignment horizontal="center" vertical="center"/>
    </xf>
    <xf numFmtId="0" fontId="54" fillId="2" borderId="87" xfId="0" applyFont="1" applyFill="1" applyBorder="1" applyAlignment="1">
      <alignment horizontal="center" vertical="center"/>
    </xf>
    <xf numFmtId="9" fontId="6" fillId="0" borderId="66" xfId="2" applyFont="1" applyBorder="1" applyAlignment="1">
      <alignment horizontal="center" shrinkToFit="1"/>
    </xf>
    <xf numFmtId="9" fontId="6" fillId="0" borderId="15" xfId="2" applyFont="1" applyBorder="1" applyAlignment="1">
      <alignment horizontal="center" shrinkToFit="1"/>
    </xf>
    <xf numFmtId="9" fontId="6" fillId="0" borderId="15" xfId="7" applyFont="1" applyFill="1" applyBorder="1" applyAlignment="1">
      <alignment horizontal="center" vertical="center" shrinkToFit="1"/>
    </xf>
    <xf numFmtId="0" fontId="6" fillId="0" borderId="15" xfId="2" applyNumberFormat="1" applyFont="1" applyBorder="1" applyAlignment="1">
      <alignment horizontal="center" shrinkToFit="1"/>
    </xf>
    <xf numFmtId="0" fontId="6" fillId="0" borderId="15" xfId="7" applyNumberFormat="1" applyFont="1" applyFill="1" applyBorder="1" applyAlignment="1">
      <alignment horizontal="center" vertical="center" shrinkToFit="1"/>
    </xf>
    <xf numFmtId="0" fontId="6" fillId="0" borderId="29" xfId="0" applyFont="1" applyBorder="1" applyAlignment="1">
      <alignment horizontal="center" vertical="center"/>
    </xf>
    <xf numFmtId="1" fontId="1" fillId="0" borderId="110" xfId="0" applyNumberFormat="1" applyFont="1" applyBorder="1" applyAlignment="1">
      <alignment horizontal="center" vertical="center"/>
    </xf>
    <xf numFmtId="0" fontId="1" fillId="0" borderId="109" xfId="0" applyFont="1" applyBorder="1" applyAlignment="1">
      <alignment horizontal="center" vertical="center"/>
    </xf>
    <xf numFmtId="49" fontId="1" fillId="0" borderId="110" xfId="2" applyNumberFormat="1" applyFont="1" applyFill="1" applyBorder="1" applyAlignment="1">
      <alignment horizontal="center" vertical="center"/>
    </xf>
    <xf numFmtId="164" fontId="1" fillId="8" borderId="73" xfId="0" applyNumberFormat="1" applyFont="1" applyFill="1" applyBorder="1" applyAlignment="1">
      <alignment horizontal="center" vertical="center"/>
    </xf>
    <xf numFmtId="1" fontId="1" fillId="0" borderId="121" xfId="0" applyNumberFormat="1" applyFont="1" applyBorder="1" applyAlignment="1">
      <alignment horizontal="center" vertical="center"/>
    </xf>
    <xf numFmtId="1" fontId="1" fillId="0" borderId="62" xfId="0" applyNumberFormat="1" applyFont="1" applyBorder="1" applyAlignment="1">
      <alignment horizontal="center" vertical="center"/>
    </xf>
    <xf numFmtId="1" fontId="1" fillId="0" borderId="95" xfId="0" applyNumberFormat="1" applyFont="1" applyBorder="1" applyAlignment="1">
      <alignment horizontal="center" vertical="center"/>
    </xf>
    <xf numFmtId="0" fontId="1" fillId="0" borderId="76" xfId="0" quotePrefix="1" applyFont="1" applyBorder="1" applyAlignment="1">
      <alignment horizontal="center" vertical="center"/>
    </xf>
    <xf numFmtId="0" fontId="1" fillId="0" borderId="97" xfId="0" quotePrefix="1" applyFont="1" applyBorder="1" applyAlignment="1">
      <alignment horizontal="center" vertical="center"/>
    </xf>
    <xf numFmtId="0" fontId="1" fillId="0" borderId="119" xfId="0" applyFont="1" applyBorder="1" applyAlignment="1">
      <alignment horizontal="center" vertical="center"/>
    </xf>
    <xf numFmtId="0" fontId="1" fillId="0" borderId="120" xfId="0" applyFont="1" applyBorder="1" applyAlignment="1">
      <alignment horizontal="center" vertical="center"/>
    </xf>
    <xf numFmtId="0" fontId="1" fillId="0" borderId="76" xfId="0" applyFont="1" applyBorder="1" applyAlignment="1">
      <alignment horizontal="center" vertical="center"/>
    </xf>
    <xf numFmtId="0" fontId="4" fillId="0" borderId="30" xfId="0" applyFont="1" applyBorder="1" applyAlignment="1">
      <alignment horizontal="center" vertical="center"/>
    </xf>
    <xf numFmtId="0" fontId="1" fillId="8" borderId="119" xfId="0" applyFont="1" applyFill="1" applyBorder="1" applyAlignment="1">
      <alignment horizontal="center" vertical="center"/>
    </xf>
    <xf numFmtId="0" fontId="1" fillId="0" borderId="77" xfId="0" applyFont="1" applyBorder="1" applyAlignment="1">
      <alignment horizontal="center" vertical="center"/>
    </xf>
    <xf numFmtId="0" fontId="1" fillId="0" borderId="78" xfId="0" applyFont="1" applyBorder="1" applyAlignment="1">
      <alignment horizontal="center" vertical="center"/>
    </xf>
    <xf numFmtId="49" fontId="1" fillId="0" borderId="78" xfId="0" applyNumberFormat="1" applyFont="1" applyBorder="1" applyAlignment="1">
      <alignment horizontal="center" vertical="center"/>
    </xf>
    <xf numFmtId="164" fontId="1" fillId="8" borderId="78" xfId="0" applyNumberFormat="1" applyFont="1" applyFill="1" applyBorder="1" applyAlignment="1">
      <alignment horizontal="center" vertical="center"/>
    </xf>
    <xf numFmtId="164" fontId="1" fillId="0" borderId="79" xfId="0" applyNumberFormat="1" applyFont="1" applyBorder="1" applyAlignment="1">
      <alignment horizontal="center" vertical="center"/>
    </xf>
    <xf numFmtId="1" fontId="45" fillId="9" borderId="79" xfId="0" applyNumberFormat="1" applyFont="1" applyFill="1" applyBorder="1" applyAlignment="1">
      <alignment horizontal="center" vertical="center"/>
    </xf>
    <xf numFmtId="1" fontId="1" fillId="0" borderId="78" xfId="0" applyNumberFormat="1" applyFont="1" applyBorder="1" applyAlignment="1">
      <alignment horizontal="center" vertical="center"/>
    </xf>
    <xf numFmtId="0" fontId="42" fillId="4" borderId="122" xfId="0" applyFont="1" applyFill="1" applyBorder="1" applyAlignment="1">
      <alignment horizontal="right" vertical="center"/>
    </xf>
    <xf numFmtId="49" fontId="6" fillId="0" borderId="13" xfId="0" applyNumberFormat="1" applyFont="1" applyBorder="1" applyAlignment="1">
      <alignment horizontal="center" vertical="center"/>
    </xf>
    <xf numFmtId="0" fontId="1" fillId="0" borderId="40" xfId="0" applyFont="1" applyBorder="1" applyAlignment="1">
      <alignment horizontal="left" vertical="center"/>
    </xf>
    <xf numFmtId="0" fontId="1" fillId="0" borderId="42" xfId="0" applyFont="1" applyBorder="1" applyAlignment="1">
      <alignment horizontal="left" vertical="center" shrinkToFit="1"/>
    </xf>
    <xf numFmtId="0" fontId="1" fillId="0" borderId="0" xfId="0" applyFont="1" applyAlignment="1">
      <alignment vertical="center" wrapText="1"/>
    </xf>
    <xf numFmtId="0" fontId="1" fillId="0" borderId="124" xfId="0" applyFont="1" applyBorder="1" applyAlignment="1">
      <alignment horizontal="center" vertical="center" wrapText="1"/>
    </xf>
    <xf numFmtId="0" fontId="1" fillId="0" borderId="125" xfId="0" applyFont="1" applyBorder="1" applyAlignment="1">
      <alignment horizontal="center" vertical="center" wrapText="1"/>
    </xf>
    <xf numFmtId="0" fontId="1" fillId="11" borderId="125" xfId="0" applyFont="1" applyFill="1" applyBorder="1" applyAlignment="1">
      <alignment horizontal="center" vertical="center" wrapText="1"/>
    </xf>
    <xf numFmtId="0" fontId="1" fillId="11" borderId="126" xfId="0" applyFont="1" applyFill="1" applyBorder="1" applyAlignment="1">
      <alignment horizontal="center" vertical="center" wrapText="1"/>
    </xf>
    <xf numFmtId="0" fontId="1" fillId="0" borderId="104" xfId="0" applyFont="1" applyBorder="1" applyAlignment="1">
      <alignment horizontal="center" vertical="center" wrapText="1"/>
    </xf>
    <xf numFmtId="0" fontId="1" fillId="11" borderId="36" xfId="0" applyFont="1" applyFill="1" applyBorder="1" applyAlignment="1">
      <alignment horizontal="center" vertical="center" wrapText="1"/>
    </xf>
    <xf numFmtId="0" fontId="1" fillId="11" borderId="38" xfId="0" applyFont="1" applyFill="1" applyBorder="1" applyAlignment="1">
      <alignment horizontal="center" vertical="center" wrapText="1"/>
    </xf>
    <xf numFmtId="0" fontId="3" fillId="11" borderId="129" xfId="0" applyFont="1" applyFill="1" applyBorder="1" applyAlignment="1">
      <alignment horizontal="center" vertical="center" wrapText="1"/>
    </xf>
    <xf numFmtId="0" fontId="3" fillId="11" borderId="130" xfId="0" applyFont="1" applyFill="1" applyBorder="1" applyAlignment="1">
      <alignment horizontal="center" vertical="center" wrapText="1"/>
    </xf>
    <xf numFmtId="49" fontId="1" fillId="11" borderId="52" xfId="0" applyNumberFormat="1" applyFont="1" applyFill="1" applyBorder="1" applyAlignment="1">
      <alignment horizontal="center" vertical="center" wrapText="1"/>
    </xf>
    <xf numFmtId="49" fontId="1" fillId="11" borderId="48" xfId="0" applyNumberFormat="1" applyFont="1" applyFill="1" applyBorder="1" applyAlignment="1">
      <alignment horizontal="center" vertical="center" wrapText="1"/>
    </xf>
    <xf numFmtId="0" fontId="3" fillId="11" borderId="44"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11" fillId="9" borderId="94" xfId="5" applyFont="1" applyFill="1" applyBorder="1" applyAlignment="1">
      <alignment horizontal="centerContinuous" vertical="center" wrapText="1"/>
    </xf>
    <xf numFmtId="0" fontId="11" fillId="9" borderId="93" xfId="5" applyFont="1" applyFill="1" applyBorder="1" applyAlignment="1">
      <alignment horizontal="center" vertical="center" wrapText="1"/>
    </xf>
    <xf numFmtId="0" fontId="20" fillId="9" borderId="93" xfId="5" applyFont="1" applyFill="1" applyBorder="1" applyAlignment="1">
      <alignment horizontal="center" vertical="center" wrapText="1"/>
    </xf>
    <xf numFmtId="0" fontId="11" fillId="9" borderId="93" xfId="0" applyFont="1" applyFill="1" applyBorder="1" applyAlignment="1">
      <alignment horizontal="center" vertical="center" wrapText="1"/>
    </xf>
    <xf numFmtId="0" fontId="11" fillId="9" borderId="92" xfId="0" applyFont="1" applyFill="1" applyBorder="1" applyAlignment="1">
      <alignment horizontal="centerContinuous" vertical="center" wrapText="1"/>
    </xf>
    <xf numFmtId="0" fontId="57" fillId="0" borderId="21" xfId="5" applyFont="1" applyBorder="1" applyAlignment="1">
      <alignment horizontal="centerContinuous" wrapText="1"/>
    </xf>
    <xf numFmtId="0" fontId="58" fillId="0" borderId="1" xfId="5" applyFont="1" applyBorder="1" applyAlignment="1">
      <alignment horizontal="center" shrinkToFit="1"/>
    </xf>
    <xf numFmtId="0" fontId="58" fillId="0" borderId="65" xfId="5" applyFont="1" applyBorder="1" applyAlignment="1">
      <alignment horizontal="center" shrinkToFit="1"/>
    </xf>
    <xf numFmtId="0" fontId="59" fillId="2" borderId="88" xfId="1" applyFont="1" applyFill="1" applyBorder="1" applyAlignment="1" applyProtection="1">
      <alignment horizontal="right" vertical="center"/>
    </xf>
    <xf numFmtId="1" fontId="1" fillId="12" borderId="85" xfId="0" applyNumberFormat="1" applyFont="1" applyFill="1" applyBorder="1" applyAlignment="1">
      <alignment horizontal="center" vertical="center"/>
    </xf>
    <xf numFmtId="1" fontId="1" fillId="12" borderId="62" xfId="0" applyNumberFormat="1" applyFont="1" applyFill="1" applyBorder="1" applyAlignment="1">
      <alignment horizontal="center" vertical="center"/>
    </xf>
    <xf numFmtId="0" fontId="1" fillId="12" borderId="24" xfId="0" applyFont="1" applyFill="1" applyBorder="1" applyAlignment="1">
      <alignment horizontal="center" vertical="center"/>
    </xf>
    <xf numFmtId="0" fontId="1" fillId="12" borderId="25" xfId="0" applyFont="1" applyFill="1" applyBorder="1" applyAlignment="1">
      <alignment horizontal="center" vertical="center"/>
    </xf>
    <xf numFmtId="0" fontId="1" fillId="12" borderId="14" xfId="0" applyFont="1" applyFill="1" applyBorder="1" applyAlignment="1">
      <alignment horizontal="center" vertical="center"/>
    </xf>
    <xf numFmtId="0" fontId="1" fillId="12" borderId="23" xfId="0" applyFont="1" applyFill="1" applyBorder="1" applyAlignment="1">
      <alignment horizontal="center" vertical="center"/>
    </xf>
    <xf numFmtId="49" fontId="1" fillId="12" borderId="23" xfId="2" applyNumberFormat="1" applyFont="1" applyFill="1" applyBorder="1" applyAlignment="1">
      <alignment horizontal="center" vertical="center"/>
    </xf>
    <xf numFmtId="0" fontId="1" fillId="12" borderId="23" xfId="0" applyFont="1" applyFill="1" applyBorder="1" applyAlignment="1">
      <alignment horizontal="center" vertical="center" shrinkToFit="1"/>
    </xf>
    <xf numFmtId="164" fontId="1" fillId="12" borderId="23" xfId="0" applyNumberFormat="1" applyFont="1" applyFill="1" applyBorder="1" applyAlignment="1">
      <alignment horizontal="center" vertical="center"/>
    </xf>
    <xf numFmtId="164" fontId="1" fillId="12" borderId="24" xfId="0" applyNumberFormat="1" applyFont="1" applyFill="1" applyBorder="1" applyAlignment="1">
      <alignment horizontal="center" vertical="center"/>
    </xf>
    <xf numFmtId="0" fontId="1" fillId="0" borderId="1" xfId="0" applyFont="1" applyBorder="1" applyAlignment="1">
      <alignment horizontal="center" vertical="center" shrinkToFit="1"/>
    </xf>
    <xf numFmtId="1" fontId="4" fillId="0" borderId="131" xfId="0" applyNumberFormat="1" applyFont="1" applyBorder="1" applyAlignment="1">
      <alignment horizontal="center" vertical="center" shrinkToFit="1"/>
    </xf>
    <xf numFmtId="164" fontId="4" fillId="0" borderId="131" xfId="0" applyNumberFormat="1" applyFont="1" applyBorder="1" applyAlignment="1">
      <alignment horizontal="center" vertical="center" shrinkToFit="1"/>
    </xf>
    <xf numFmtId="0" fontId="20" fillId="7" borderId="133" xfId="0" applyFont="1" applyFill="1" applyBorder="1" applyAlignment="1">
      <alignment horizontal="centerContinuous" vertical="center"/>
    </xf>
    <xf numFmtId="0" fontId="20" fillId="7" borderId="134" xfId="0" applyFont="1" applyFill="1" applyBorder="1" applyAlignment="1">
      <alignment horizontal="center" vertical="center"/>
    </xf>
    <xf numFmtId="1" fontId="20" fillId="7" borderId="28" xfId="0" applyNumberFormat="1" applyFont="1" applyFill="1" applyBorder="1" applyAlignment="1">
      <alignment horizontal="center" vertical="center"/>
    </xf>
    <xf numFmtId="0" fontId="1" fillId="0" borderId="35" xfId="0" applyFont="1" applyBorder="1" applyAlignment="1">
      <alignment horizontal="centerContinuous" vertical="center" shrinkToFit="1"/>
    </xf>
    <xf numFmtId="0" fontId="20" fillId="0" borderId="114" xfId="0" applyFont="1" applyBorder="1" applyAlignment="1">
      <alignment horizontal="centerContinuous" vertical="center"/>
    </xf>
    <xf numFmtId="0" fontId="20" fillId="0" borderId="104" xfId="0" applyFont="1" applyBorder="1" applyAlignment="1">
      <alignment horizontal="centerContinuous" vertical="center"/>
    </xf>
    <xf numFmtId="0" fontId="1" fillId="0" borderId="37" xfId="0" applyFont="1" applyBorder="1" applyAlignment="1">
      <alignment horizontal="center" vertical="center"/>
    </xf>
    <xf numFmtId="0" fontId="1" fillId="0" borderId="36" xfId="0" applyFont="1" applyBorder="1" applyAlignment="1">
      <alignment horizontal="center" vertical="center"/>
    </xf>
    <xf numFmtId="0" fontId="1" fillId="0" borderId="115" xfId="0" applyFont="1" applyBorder="1" applyAlignment="1">
      <alignment horizontal="centerContinuous" vertical="center"/>
    </xf>
    <xf numFmtId="0" fontId="1" fillId="0" borderId="43" xfId="0" applyFont="1" applyBorder="1" applyAlignment="1">
      <alignment horizontal="centerContinuous" vertical="center" shrinkToFit="1"/>
    </xf>
    <xf numFmtId="0" fontId="1" fillId="0" borderId="80" xfId="0" applyFont="1" applyBorder="1" applyAlignment="1">
      <alignment horizontal="centerContinuous" vertical="center"/>
    </xf>
    <xf numFmtId="0" fontId="1" fillId="0" borderId="106" xfId="0" applyFont="1" applyBorder="1" applyAlignment="1">
      <alignment horizontal="centerContinuous" vertical="center"/>
    </xf>
    <xf numFmtId="49" fontId="1" fillId="0" borderId="45" xfId="0" applyNumberFormat="1" applyFont="1" applyBorder="1" applyAlignment="1">
      <alignment horizontal="center" vertical="center"/>
    </xf>
    <xf numFmtId="49" fontId="1" fillId="0" borderId="44" xfId="0" applyNumberFormat="1" applyFont="1" applyBorder="1" applyAlignment="1">
      <alignment horizontal="center" vertical="center"/>
    </xf>
    <xf numFmtId="0" fontId="1" fillId="0" borderId="81" xfId="0" applyFont="1" applyBorder="1" applyAlignment="1">
      <alignment horizontal="centerContinuous" vertical="center"/>
    </xf>
    <xf numFmtId="1" fontId="45" fillId="9" borderId="135" xfId="0" applyNumberFormat="1" applyFont="1" applyFill="1" applyBorder="1" applyAlignment="1">
      <alignment horizontal="center" vertical="center"/>
    </xf>
    <xf numFmtId="1" fontId="1" fillId="0" borderId="118" xfId="0" applyNumberFormat="1" applyFont="1" applyBorder="1" applyAlignment="1">
      <alignment horizontal="center" vertical="center"/>
    </xf>
    <xf numFmtId="0" fontId="60" fillId="2" borderId="86" xfId="0" applyFont="1" applyFill="1" applyBorder="1" applyAlignment="1">
      <alignment horizontal="right" vertical="center"/>
    </xf>
    <xf numFmtId="0" fontId="60" fillId="2" borderId="87" xfId="0" applyFont="1" applyFill="1" applyBorder="1" applyAlignment="1">
      <alignment horizontal="left" vertical="center"/>
    </xf>
    <xf numFmtId="0" fontId="6" fillId="0" borderId="23" xfId="0" applyFont="1" applyBorder="1" applyAlignment="1">
      <alignment horizontal="center" vertical="center" wrapText="1"/>
    </xf>
    <xf numFmtId="0" fontId="6" fillId="0" borderId="66" xfId="0" applyFont="1" applyBorder="1" applyAlignment="1">
      <alignment horizontal="center" vertical="center" wrapText="1"/>
    </xf>
    <xf numFmtId="0" fontId="61" fillId="0" borderId="28" xfId="0" applyFont="1" applyBorder="1" applyAlignment="1">
      <alignment horizontal="centerContinuous"/>
    </xf>
    <xf numFmtId="0" fontId="58" fillId="0" borderId="31" xfId="0" applyFont="1" applyBorder="1" applyAlignment="1">
      <alignment horizontal="centerContinuous" shrinkToFit="1"/>
    </xf>
    <xf numFmtId="0" fontId="58" fillId="0" borderId="56" xfId="0" quotePrefix="1" applyFont="1" applyBorder="1" applyAlignment="1">
      <alignment horizontal="center" shrinkToFit="1"/>
    </xf>
    <xf numFmtId="49" fontId="27" fillId="8" borderId="23" xfId="0" applyNumberFormat="1" applyFont="1" applyFill="1" applyBorder="1" applyAlignment="1">
      <alignment horizontal="center" vertical="center"/>
    </xf>
    <xf numFmtId="0" fontId="27" fillId="8" borderId="24" xfId="0" applyFont="1" applyFill="1" applyBorder="1" applyAlignment="1">
      <alignment horizontal="center" vertical="center"/>
    </xf>
    <xf numFmtId="0" fontId="21" fillId="8" borderId="24" xfId="0" applyFont="1" applyFill="1" applyBorder="1" applyAlignment="1">
      <alignment horizontal="center" vertical="center"/>
    </xf>
    <xf numFmtId="1" fontId="1" fillId="8" borderId="0" xfId="0" applyNumberFormat="1" applyFont="1" applyFill="1" applyAlignment="1">
      <alignment horizontal="center" vertical="center"/>
    </xf>
    <xf numFmtId="0" fontId="1" fillId="0" borderId="111" xfId="0" applyFont="1" applyBorder="1" applyAlignment="1">
      <alignment horizontal="centerContinuous" wrapText="1"/>
    </xf>
    <xf numFmtId="0" fontId="1" fillId="0" borderId="112" xfId="0" applyFont="1" applyBorder="1" applyAlignment="1">
      <alignment horizontal="centerContinuous" wrapText="1"/>
    </xf>
    <xf numFmtId="0" fontId="1" fillId="0" borderId="79" xfId="0" applyFont="1" applyBorder="1" applyAlignment="1">
      <alignment horizontal="centerContinuous" wrapText="1"/>
    </xf>
    <xf numFmtId="0" fontId="1" fillId="0" borderId="80" xfId="0" applyFont="1" applyBorder="1" applyAlignment="1">
      <alignment horizontal="centerContinuous" wrapText="1"/>
    </xf>
    <xf numFmtId="0" fontId="62" fillId="0" borderId="5" xfId="0" applyFont="1" applyBorder="1" applyAlignment="1">
      <alignment horizontal="centerContinuous" vertical="center"/>
    </xf>
    <xf numFmtId="0" fontId="64" fillId="0" borderId="6" xfId="0" applyFont="1" applyBorder="1" applyAlignment="1">
      <alignment horizontal="centerContinuous" vertical="center" wrapText="1"/>
    </xf>
    <xf numFmtId="0" fontId="64" fillId="0" borderId="7" xfId="0" applyFont="1" applyBorder="1" applyAlignment="1">
      <alignment horizontal="centerContinuous" vertical="center" wrapText="1"/>
    </xf>
    <xf numFmtId="0" fontId="63" fillId="0" borderId="8" xfId="0" applyFont="1" applyBorder="1" applyAlignment="1">
      <alignment horizontal="center" vertical="center"/>
    </xf>
    <xf numFmtId="0" fontId="63" fillId="0" borderId="9" xfId="0" applyFont="1" applyBorder="1" applyAlignment="1">
      <alignment horizontal="center" vertical="center"/>
    </xf>
    <xf numFmtId="0" fontId="63" fillId="0" borderId="10" xfId="0" applyFont="1" applyBorder="1" applyAlignment="1">
      <alignment horizontal="center" vertical="center"/>
    </xf>
    <xf numFmtId="0" fontId="63" fillId="0" borderId="123" xfId="0" applyFont="1" applyBorder="1" applyAlignment="1">
      <alignment horizontal="right" vertical="center"/>
    </xf>
    <xf numFmtId="0" fontId="63" fillId="0" borderId="31" xfId="0" applyFont="1" applyBorder="1" applyAlignment="1">
      <alignment horizontal="right" vertical="center"/>
    </xf>
    <xf numFmtId="0" fontId="63" fillId="0" borderId="127" xfId="0" applyFont="1" applyBorder="1" applyAlignment="1">
      <alignment horizontal="right" vertical="center"/>
    </xf>
    <xf numFmtId="0" fontId="63" fillId="0" borderId="62" xfId="0" applyFont="1" applyBorder="1" applyAlignment="1">
      <alignment horizontal="right" vertical="center"/>
    </xf>
    <xf numFmtId="0" fontId="63" fillId="0" borderId="56" xfId="0" applyFont="1" applyBorder="1" applyAlignment="1">
      <alignment horizontal="right" vertical="center"/>
    </xf>
    <xf numFmtId="0" fontId="56" fillId="12" borderId="128" xfId="0" applyFont="1" applyFill="1" applyBorder="1" applyAlignment="1">
      <alignment horizontal="center" vertical="center" wrapText="1"/>
    </xf>
    <xf numFmtId="0" fontId="66" fillId="0" borderId="5" xfId="0" applyFont="1" applyBorder="1" applyAlignment="1">
      <alignment horizontal="centerContinuous" vertical="center"/>
    </xf>
    <xf numFmtId="0" fontId="65" fillId="0" borderId="6" xfId="0" applyFont="1" applyBorder="1" applyAlignment="1">
      <alignment horizontal="centerContinuous" vertical="center"/>
    </xf>
    <xf numFmtId="0" fontId="67" fillId="0" borderId="6" xfId="0" applyFont="1" applyBorder="1" applyAlignment="1">
      <alignment horizontal="centerContinuous" vertical="center" wrapText="1"/>
    </xf>
    <xf numFmtId="0" fontId="67" fillId="0" borderId="7" xfId="0" applyFont="1" applyBorder="1" applyAlignment="1">
      <alignment horizontal="centerContinuous" vertical="center" wrapText="1"/>
    </xf>
    <xf numFmtId="0" fontId="65" fillId="0" borderId="8" xfId="0" applyFont="1" applyBorder="1" applyAlignment="1">
      <alignment horizontal="center" vertical="center"/>
    </xf>
    <xf numFmtId="0" fontId="65" fillId="0" borderId="9" xfId="0" applyFont="1" applyBorder="1" applyAlignment="1">
      <alignment horizontal="center" vertical="center"/>
    </xf>
    <xf numFmtId="0" fontId="65" fillId="0" borderId="10" xfId="0" applyFont="1" applyBorder="1" applyAlignment="1">
      <alignment horizontal="center" vertical="center"/>
    </xf>
    <xf numFmtId="0" fontId="65" fillId="0" borderId="123" xfId="0" applyFont="1" applyBorder="1" applyAlignment="1">
      <alignment horizontal="right" vertical="center"/>
    </xf>
    <xf numFmtId="0" fontId="65" fillId="0" borderId="31" xfId="0" applyFont="1" applyBorder="1" applyAlignment="1">
      <alignment horizontal="right" vertical="center"/>
    </xf>
    <xf numFmtId="0" fontId="65" fillId="0" borderId="127" xfId="0" applyFont="1" applyBorder="1" applyAlignment="1">
      <alignment horizontal="right" vertical="center"/>
    </xf>
    <xf numFmtId="0" fontId="65" fillId="0" borderId="62" xfId="0" applyFont="1" applyBorder="1" applyAlignment="1">
      <alignment horizontal="right" vertical="center"/>
    </xf>
    <xf numFmtId="0" fontId="65" fillId="0" borderId="56" xfId="0" applyFont="1" applyBorder="1" applyAlignment="1">
      <alignment horizontal="right" vertical="center"/>
    </xf>
    <xf numFmtId="0" fontId="65" fillId="0" borderId="137" xfId="0" applyFont="1" applyBorder="1" applyAlignment="1">
      <alignment horizontal="centerContinuous"/>
    </xf>
    <xf numFmtId="0" fontId="67" fillId="0" borderId="112" xfId="0" applyFont="1" applyBorder="1" applyAlignment="1">
      <alignment horizontal="centerContinuous"/>
    </xf>
    <xf numFmtId="0" fontId="63" fillId="0" borderId="43" xfId="0" applyFont="1" applyBorder="1" applyAlignment="1">
      <alignment horizontal="centerContinuous"/>
    </xf>
    <xf numFmtId="0" fontId="64" fillId="0" borderId="80" xfId="0" applyFont="1" applyBorder="1" applyAlignment="1">
      <alignment horizontal="centerContinuous"/>
    </xf>
    <xf numFmtId="0" fontId="56" fillId="12" borderId="106" xfId="0" applyFont="1" applyFill="1" applyBorder="1" applyAlignment="1">
      <alignment horizontal="center" vertical="center" wrapText="1"/>
    </xf>
    <xf numFmtId="0" fontId="69" fillId="0" borderId="28" xfId="0" applyFont="1" applyBorder="1" applyAlignment="1">
      <alignment horizontal="centerContinuous"/>
    </xf>
    <xf numFmtId="0" fontId="70" fillId="0" borderId="28" xfId="0" applyFont="1" applyBorder="1" applyAlignment="1">
      <alignment horizontal="centerContinuous"/>
    </xf>
    <xf numFmtId="0" fontId="11" fillId="13" borderId="94" xfId="5" applyFont="1" applyFill="1" applyBorder="1" applyAlignment="1">
      <alignment horizontal="centerContinuous" vertical="center" wrapText="1"/>
    </xf>
    <xf numFmtId="0" fontId="11" fillId="13" borderId="93" xfId="5" applyFont="1" applyFill="1" applyBorder="1" applyAlignment="1">
      <alignment horizontal="center" vertical="center" wrapText="1"/>
    </xf>
    <xf numFmtId="0" fontId="20" fillId="13" borderId="93" xfId="5" applyFont="1" applyFill="1" applyBorder="1" applyAlignment="1">
      <alignment horizontal="center" vertical="center" wrapText="1"/>
    </xf>
    <xf numFmtId="0" fontId="11" fillId="13" borderId="93" xfId="0" applyFont="1" applyFill="1" applyBorder="1" applyAlignment="1">
      <alignment horizontal="center" vertical="center" wrapText="1"/>
    </xf>
    <xf numFmtId="0" fontId="11" fillId="13" borderId="92" xfId="0" applyFont="1" applyFill="1" applyBorder="1" applyAlignment="1">
      <alignment horizontal="centerContinuous" vertical="center" wrapText="1"/>
    </xf>
    <xf numFmtId="0" fontId="68" fillId="0" borderId="21" xfId="5" applyFont="1" applyBorder="1" applyAlignment="1">
      <alignment horizontal="centerContinuous" wrapText="1"/>
    </xf>
    <xf numFmtId="0" fontId="1" fillId="0" borderId="138" xfId="0" applyFont="1" applyBorder="1" applyAlignment="1">
      <alignment horizontal="center" vertical="center" shrinkToFit="1"/>
    </xf>
    <xf numFmtId="0" fontId="1" fillId="0" borderId="139" xfId="0" applyFont="1" applyBorder="1" applyAlignment="1">
      <alignment horizontal="center" vertical="center"/>
    </xf>
    <xf numFmtId="0" fontId="1" fillId="0" borderId="139" xfId="0" quotePrefix="1" applyFont="1" applyBorder="1" applyAlignment="1">
      <alignment horizontal="center" vertical="center"/>
    </xf>
    <xf numFmtId="9" fontId="1" fillId="0" borderId="139" xfId="0" applyNumberFormat="1" applyFont="1" applyBorder="1" applyAlignment="1">
      <alignment horizontal="center" vertical="center"/>
    </xf>
    <xf numFmtId="49" fontId="1" fillId="0" borderId="139" xfId="0" quotePrefix="1" applyNumberFormat="1" applyFont="1" applyBorder="1" applyAlignment="1">
      <alignment horizontal="center" vertical="center"/>
    </xf>
    <xf numFmtId="164" fontId="1" fillId="0" borderId="139" xfId="0" applyNumberFormat="1" applyFont="1" applyBorder="1" applyAlignment="1">
      <alignment horizontal="center" vertical="center"/>
    </xf>
    <xf numFmtId="164" fontId="1" fillId="0" borderId="140" xfId="0" applyNumberFormat="1" applyFont="1" applyBorder="1" applyAlignment="1">
      <alignment horizontal="centerContinuous" vertical="center"/>
    </xf>
    <xf numFmtId="164" fontId="1" fillId="0" borderId="141" xfId="0" applyNumberFormat="1" applyFont="1" applyBorder="1" applyAlignment="1">
      <alignment horizontal="centerContinuous" vertical="center"/>
    </xf>
    <xf numFmtId="0" fontId="1" fillId="0" borderId="142" xfId="0" quotePrefix="1" applyFont="1" applyBorder="1" applyAlignment="1">
      <alignment horizontal="centerContinuous" vertical="center"/>
    </xf>
    <xf numFmtId="0" fontId="1" fillId="0" borderId="138" xfId="0" applyFont="1" applyBorder="1" applyAlignment="1">
      <alignment horizontal="center" vertical="center"/>
    </xf>
    <xf numFmtId="0" fontId="1" fillId="0" borderId="139" xfId="0" quotePrefix="1" applyFont="1" applyBorder="1" applyAlignment="1">
      <alignment horizontal="center" vertical="center" wrapText="1"/>
    </xf>
    <xf numFmtId="49" fontId="1" fillId="0" borderId="139" xfId="2" applyNumberFormat="1" applyFont="1" applyFill="1" applyBorder="1" applyAlignment="1">
      <alignment horizontal="center" vertical="center"/>
    </xf>
    <xf numFmtId="164" fontId="4" fillId="0" borderId="140" xfId="0" applyNumberFormat="1" applyFont="1" applyBorder="1" applyAlignment="1">
      <alignment horizontal="center" vertical="center"/>
    </xf>
    <xf numFmtId="1" fontId="45" fillId="9" borderId="140" xfId="0" applyNumberFormat="1" applyFont="1" applyFill="1" applyBorder="1" applyAlignment="1">
      <alignment horizontal="center" vertical="center"/>
    </xf>
    <xf numFmtId="1" fontId="1" fillId="0" borderId="139" xfId="0" applyNumberFormat="1" applyFont="1" applyBorder="1" applyAlignment="1">
      <alignment horizontal="center" vertical="center"/>
    </xf>
    <xf numFmtId="0" fontId="1" fillId="0" borderId="143" xfId="0" applyFont="1" applyBorder="1" applyAlignment="1">
      <alignment horizontal="center" vertical="center"/>
    </xf>
    <xf numFmtId="1" fontId="1" fillId="0" borderId="144" xfId="0" applyNumberFormat="1" applyFont="1" applyBorder="1" applyAlignment="1">
      <alignment horizontal="center" vertical="center"/>
    </xf>
    <xf numFmtId="164" fontId="1" fillId="0" borderId="118" xfId="0" applyNumberFormat="1" applyFont="1" applyBorder="1" applyAlignment="1">
      <alignment horizontal="center" vertical="center"/>
    </xf>
    <xf numFmtId="164" fontId="4" fillId="0" borderId="135" xfId="0" applyNumberFormat="1" applyFont="1" applyBorder="1" applyAlignment="1">
      <alignment horizontal="center" vertical="center"/>
    </xf>
    <xf numFmtId="0" fontId="1" fillId="0" borderId="43" xfId="0" applyFont="1" applyBorder="1" applyAlignment="1">
      <alignment horizontal="centerContinuous" vertical="center"/>
    </xf>
    <xf numFmtId="0" fontId="4" fillId="0" borderId="146" xfId="0" applyFont="1" applyBorder="1" applyAlignment="1">
      <alignment horizontal="centerContinuous" vertical="center"/>
    </xf>
    <xf numFmtId="0" fontId="4" fillId="0" borderId="78" xfId="0" applyFont="1" applyBorder="1" applyAlignment="1">
      <alignment horizontal="centerContinuous" vertical="center"/>
    </xf>
    <xf numFmtId="164" fontId="4" fillId="0" borderId="78" xfId="0" applyNumberFormat="1" applyFont="1" applyBorder="1" applyAlignment="1">
      <alignment horizontal="center" vertical="center"/>
    </xf>
    <xf numFmtId="164" fontId="1" fillId="0" borderId="79" xfId="0" applyNumberFormat="1" applyFont="1" applyBorder="1" applyAlignment="1">
      <alignment horizontal="centerContinuous" vertical="center"/>
    </xf>
    <xf numFmtId="164" fontId="4" fillId="0" borderId="80" xfId="0" applyNumberFormat="1" applyFont="1" applyBorder="1" applyAlignment="1">
      <alignment horizontal="centerContinuous" vertical="center"/>
    </xf>
    <xf numFmtId="0" fontId="4" fillId="0" borderId="81" xfId="0" applyFont="1" applyBorder="1" applyAlignment="1">
      <alignment horizontal="center" vertical="center"/>
    </xf>
    <xf numFmtId="0" fontId="1" fillId="0" borderId="145" xfId="0" applyFont="1" applyBorder="1" applyAlignment="1">
      <alignment horizontal="centerContinuous" vertical="center"/>
    </xf>
    <xf numFmtId="0" fontId="1" fillId="0" borderId="139" xfId="0" applyFont="1" applyBorder="1" applyAlignment="1">
      <alignment horizontal="centerContinuous" vertical="center"/>
    </xf>
    <xf numFmtId="0" fontId="1" fillId="0" borderId="140" xfId="0" applyFont="1" applyBorder="1" applyAlignment="1">
      <alignment horizontal="centerContinuous" vertical="center"/>
    </xf>
    <xf numFmtId="0" fontId="1" fillId="0" borderId="141" xfId="0" applyFont="1" applyBorder="1" applyAlignment="1">
      <alignment horizontal="centerContinuous" vertical="center"/>
    </xf>
    <xf numFmtId="0" fontId="1" fillId="0" borderId="142" xfId="0" applyFont="1" applyBorder="1" applyAlignment="1">
      <alignment horizontal="center" vertical="center"/>
    </xf>
    <xf numFmtId="0" fontId="1" fillId="0" borderId="62" xfId="0" applyFont="1" applyBorder="1" applyAlignment="1">
      <alignment horizontal="center" vertical="center"/>
    </xf>
    <xf numFmtId="0" fontId="51" fillId="0" borderId="28" xfId="0" applyFont="1" applyBorder="1" applyAlignment="1">
      <alignment horizontal="centerContinuous" vertical="center"/>
    </xf>
    <xf numFmtId="0" fontId="50" fillId="0" borderId="28" xfId="0" applyFont="1" applyBorder="1" applyAlignment="1">
      <alignment horizontal="centerContinuous" vertical="center"/>
    </xf>
    <xf numFmtId="0" fontId="13" fillId="6" borderId="1" xfId="0" applyFont="1" applyFill="1" applyBorder="1" applyAlignment="1">
      <alignment vertical="center"/>
    </xf>
    <xf numFmtId="49" fontId="22" fillId="6" borderId="23" xfId="0" applyNumberFormat="1" applyFont="1" applyFill="1" applyBorder="1" applyAlignment="1">
      <alignment horizontal="center" vertical="center"/>
    </xf>
    <xf numFmtId="0" fontId="22" fillId="6" borderId="24" xfId="0" applyFont="1" applyFill="1" applyBorder="1" applyAlignment="1">
      <alignment horizontal="center" vertical="center"/>
    </xf>
    <xf numFmtId="0" fontId="13" fillId="6" borderId="24" xfId="0" applyFont="1" applyFill="1" applyBorder="1" applyAlignment="1">
      <alignment horizontal="center" vertical="center"/>
    </xf>
    <xf numFmtId="0" fontId="6" fillId="0" borderId="24" xfId="0" applyFont="1" applyBorder="1" applyAlignment="1">
      <alignment horizontal="center" vertical="center"/>
    </xf>
    <xf numFmtId="0" fontId="1" fillId="0" borderId="141" xfId="0" applyFont="1" applyBorder="1" applyAlignment="1">
      <alignment vertical="center"/>
    </xf>
    <xf numFmtId="0" fontId="1" fillId="0" borderId="35" xfId="0" applyFont="1" applyBorder="1" applyAlignment="1">
      <alignment horizontal="centerContinuous" vertical="center"/>
    </xf>
    <xf numFmtId="0" fontId="1" fillId="0" borderId="147" xfId="0" applyFont="1" applyBorder="1" applyAlignment="1">
      <alignment horizontal="centerContinuous" vertical="center"/>
    </xf>
    <xf numFmtId="0" fontId="1" fillId="0" borderId="73" xfId="0" applyFont="1" applyBorder="1" applyAlignment="1">
      <alignment horizontal="centerContinuous" vertical="center"/>
    </xf>
    <xf numFmtId="0" fontId="1" fillId="0" borderId="75" xfId="0" applyFont="1" applyBorder="1" applyAlignment="1">
      <alignment horizontal="centerContinuous" vertical="center"/>
    </xf>
    <xf numFmtId="0" fontId="1" fillId="0" borderId="114" xfId="0" applyFont="1" applyBorder="1" applyAlignment="1">
      <alignment horizontal="centerContinuous" vertical="center"/>
    </xf>
    <xf numFmtId="0" fontId="1" fillId="0" borderId="115" xfId="0" applyFont="1" applyBorder="1" applyAlignment="1">
      <alignment horizontal="center" vertical="center"/>
    </xf>
    <xf numFmtId="0" fontId="1" fillId="0" borderId="114" xfId="0" applyFont="1" applyBorder="1" applyAlignment="1">
      <alignment vertical="center"/>
    </xf>
    <xf numFmtId="0" fontId="1" fillId="0" borderId="31" xfId="0" applyFont="1" applyBorder="1" applyAlignment="1">
      <alignment horizontal="center" vertical="center"/>
    </xf>
    <xf numFmtId="0" fontId="4" fillId="0" borderId="148" xfId="0" applyFont="1" applyBorder="1" applyAlignment="1">
      <alignment vertical="center"/>
    </xf>
    <xf numFmtId="0" fontId="1" fillId="0" borderId="53" xfId="0" applyFont="1" applyBorder="1" applyAlignment="1">
      <alignment horizontal="left" vertical="center"/>
    </xf>
    <xf numFmtId="0" fontId="1" fillId="8" borderId="74" xfId="0" applyFont="1" applyFill="1" applyBorder="1" applyAlignment="1">
      <alignment horizontal="center" vertical="center"/>
    </xf>
    <xf numFmtId="0" fontId="1" fillId="8" borderId="96" xfId="0" applyFont="1" applyFill="1" applyBorder="1" applyAlignment="1">
      <alignment horizontal="center" vertical="center"/>
    </xf>
    <xf numFmtId="0" fontId="1" fillId="8" borderId="73" xfId="0" quotePrefix="1" applyFont="1" applyFill="1" applyBorder="1" applyAlignment="1">
      <alignment horizontal="center" vertical="center" wrapText="1"/>
    </xf>
    <xf numFmtId="49" fontId="1" fillId="8" borderId="96" xfId="2" applyNumberFormat="1" applyFont="1" applyFill="1" applyBorder="1" applyAlignment="1">
      <alignment horizontal="center" vertical="center"/>
    </xf>
    <xf numFmtId="0" fontId="1" fillId="8" borderId="73" xfId="0" applyFont="1" applyFill="1" applyBorder="1" applyAlignment="1">
      <alignment horizontal="center" vertical="center" shrinkToFit="1"/>
    </xf>
    <xf numFmtId="164" fontId="4" fillId="8" borderId="75" xfId="0" applyNumberFormat="1" applyFont="1" applyFill="1" applyBorder="1" applyAlignment="1">
      <alignment horizontal="center" vertical="center"/>
    </xf>
    <xf numFmtId="1" fontId="45" fillId="8" borderId="75" xfId="0" applyNumberFormat="1" applyFont="1" applyFill="1" applyBorder="1" applyAlignment="1">
      <alignment horizontal="center" vertical="center"/>
    </xf>
    <xf numFmtId="1" fontId="1" fillId="8" borderId="73" xfId="0" applyNumberFormat="1" applyFont="1" applyFill="1" applyBorder="1" applyAlignment="1">
      <alignment horizontal="center" vertical="center"/>
    </xf>
    <xf numFmtId="0" fontId="1" fillId="8" borderId="97" xfId="0" quotePrefix="1" applyFont="1" applyFill="1" applyBorder="1" applyAlignment="1">
      <alignment horizontal="center" vertical="center"/>
    </xf>
    <xf numFmtId="0" fontId="1" fillId="8" borderId="73" xfId="0" applyFont="1" applyFill="1" applyBorder="1" applyAlignment="1">
      <alignment horizontal="center" vertical="center"/>
    </xf>
    <xf numFmtId="49" fontId="1" fillId="8" borderId="73" xfId="2" applyNumberFormat="1" applyFont="1" applyFill="1" applyBorder="1" applyAlignment="1">
      <alignment horizontal="center" vertical="center"/>
    </xf>
    <xf numFmtId="0" fontId="1" fillId="8" borderId="73" xfId="0" quotePrefix="1" applyFont="1" applyFill="1" applyBorder="1" applyAlignment="1">
      <alignment horizontal="center" vertical="center"/>
    </xf>
    <xf numFmtId="0" fontId="1" fillId="8" borderId="76" xfId="0" applyFont="1" applyFill="1" applyBorder="1" applyAlignment="1">
      <alignment horizontal="center" vertical="center"/>
    </xf>
    <xf numFmtId="1" fontId="1" fillId="8" borderId="31" xfId="0" applyNumberFormat="1" applyFont="1" applyFill="1" applyBorder="1" applyAlignment="1">
      <alignment horizontal="center" vertical="center"/>
    </xf>
    <xf numFmtId="0" fontId="71" fillId="0" borderId="103" xfId="0" applyFont="1" applyBorder="1" applyAlignment="1">
      <alignment horizontal="center"/>
    </xf>
    <xf numFmtId="1" fontId="71" fillId="0" borderId="104" xfId="0" applyNumberFormat="1" applyFont="1" applyBorder="1" applyAlignment="1">
      <alignment horizontal="center"/>
    </xf>
    <xf numFmtId="0" fontId="71" fillId="0" borderId="36" xfId="0" applyFont="1" applyBorder="1" applyAlignment="1">
      <alignment horizontal="center"/>
    </xf>
    <xf numFmtId="0" fontId="56" fillId="12" borderId="136" xfId="0" applyFont="1" applyFill="1" applyBorder="1" applyAlignment="1">
      <alignment horizontal="centerContinuous" vertical="center"/>
    </xf>
    <xf numFmtId="0" fontId="56" fillId="12" borderId="90" xfId="0" applyFont="1" applyFill="1" applyBorder="1" applyAlignment="1">
      <alignment horizontal="centerContinuous" vertical="center"/>
    </xf>
    <xf numFmtId="0" fontId="56" fillId="12" borderId="89" xfId="0" applyFont="1" applyFill="1" applyBorder="1" applyAlignment="1">
      <alignment horizontal="centerContinuous" vertical="center"/>
    </xf>
    <xf numFmtId="0" fontId="72" fillId="0" borderId="0" xfId="0" applyFont="1" applyAlignment="1">
      <alignment horizontal="centerContinuous" vertical="center" wrapText="1"/>
    </xf>
    <xf numFmtId="0" fontId="6" fillId="0" borderId="25" xfId="0" quotePrefix="1" applyFont="1" applyBorder="1" applyAlignment="1">
      <alignment horizontal="center" vertical="center" wrapText="1"/>
    </xf>
    <xf numFmtId="0" fontId="53" fillId="8" borderId="31" xfId="0" quotePrefix="1" applyFont="1" applyFill="1" applyBorder="1" applyAlignment="1">
      <alignment horizontal="centerContinuous" shrinkToFit="1"/>
    </xf>
    <xf numFmtId="0" fontId="73" fillId="0" borderId="31" xfId="0" applyFont="1" applyBorder="1" applyAlignment="1">
      <alignment horizontal="centerContinuous" vertical="center"/>
    </xf>
    <xf numFmtId="1" fontId="1" fillId="8" borderId="85" xfId="0" applyNumberFormat="1" applyFont="1" applyFill="1" applyBorder="1" applyAlignment="1">
      <alignment horizontal="center" vertical="center"/>
    </xf>
    <xf numFmtId="1" fontId="1" fillId="0" borderId="52" xfId="0" applyNumberFormat="1" applyFont="1" applyBorder="1" applyAlignment="1">
      <alignment horizontal="center" vertical="center" shrinkToFit="1"/>
    </xf>
    <xf numFmtId="1" fontId="4" fillId="0" borderId="40" xfId="0" applyNumberFormat="1" applyFont="1" applyBorder="1" applyAlignment="1">
      <alignment horizontal="center" vertical="center" shrinkToFit="1"/>
    </xf>
    <xf numFmtId="164" fontId="1" fillId="0" borderId="52" xfId="0" applyNumberFormat="1" applyFont="1" applyBorder="1" applyAlignment="1">
      <alignment horizontal="center" vertical="center" shrinkToFit="1"/>
    </xf>
    <xf numFmtId="164" fontId="4" fillId="0" borderId="40" xfId="0" applyNumberFormat="1" applyFont="1" applyBorder="1" applyAlignment="1">
      <alignment horizontal="center" vertical="center" shrinkToFit="1"/>
    </xf>
    <xf numFmtId="0" fontId="4" fillId="0" borderId="132" xfId="0" applyFont="1" applyBorder="1" applyAlignment="1">
      <alignment horizontal="left" vertical="center"/>
    </xf>
    <xf numFmtId="164" fontId="3" fillId="0" borderId="0" xfId="0" applyNumberFormat="1" applyFont="1" applyAlignment="1">
      <alignment horizontal="right" vertical="center" shrinkToFit="1"/>
    </xf>
    <xf numFmtId="1" fontId="4" fillId="0" borderId="0" xfId="0" applyNumberFormat="1" applyFont="1" applyAlignment="1">
      <alignment horizontal="center" vertical="center" shrinkToFit="1"/>
    </xf>
    <xf numFmtId="164" fontId="4" fillId="0" borderId="0" xfId="0" applyNumberFormat="1" applyFont="1" applyAlignment="1">
      <alignment horizontal="center" vertical="center" shrinkToFit="1"/>
    </xf>
    <xf numFmtId="0" fontId="4" fillId="0" borderId="0" xfId="0" applyFont="1" applyAlignment="1">
      <alignment horizontal="left" vertical="center" shrinkToFit="1"/>
    </xf>
    <xf numFmtId="1" fontId="1" fillId="0" borderId="0" xfId="0" applyNumberFormat="1" applyFont="1" applyAlignment="1">
      <alignment horizontal="center" vertical="center" shrinkToFit="1"/>
    </xf>
    <xf numFmtId="0" fontId="1" fillId="0" borderId="48" xfId="0" applyFont="1" applyBorder="1" applyAlignment="1">
      <alignment horizontal="left" vertical="center" shrinkToFit="1"/>
    </xf>
    <xf numFmtId="0" fontId="4" fillId="14" borderId="49" xfId="0" applyFont="1" applyFill="1" applyBorder="1" applyAlignment="1">
      <alignment horizontal="center" vertical="center" shrinkToFit="1"/>
    </xf>
    <xf numFmtId="1" fontId="4" fillId="14" borderId="50" xfId="0" applyNumberFormat="1" applyFont="1" applyFill="1" applyBorder="1" applyAlignment="1">
      <alignment horizontal="center" vertical="center" shrinkToFit="1"/>
    </xf>
    <xf numFmtId="164" fontId="4" fillId="14" borderId="50" xfId="0" applyNumberFormat="1" applyFont="1" applyFill="1" applyBorder="1" applyAlignment="1">
      <alignment horizontal="center" vertical="center" shrinkToFit="1"/>
    </xf>
    <xf numFmtId="0" fontId="4" fillId="14" borderId="51" xfId="0" applyFont="1" applyFill="1" applyBorder="1" applyAlignment="1">
      <alignment horizontal="left" vertical="center"/>
    </xf>
    <xf numFmtId="0" fontId="4" fillId="14" borderId="47" xfId="0" applyFont="1" applyFill="1" applyBorder="1" applyAlignment="1">
      <alignment horizontal="left" vertical="center" shrinkToFit="1"/>
    </xf>
    <xf numFmtId="0" fontId="1" fillId="14" borderId="49" xfId="0" applyFont="1" applyFill="1" applyBorder="1" applyAlignment="1">
      <alignment horizontal="center" vertical="center" shrinkToFit="1"/>
    </xf>
    <xf numFmtId="1" fontId="4" fillId="14" borderId="52" xfId="0" applyNumberFormat="1" applyFont="1" applyFill="1" applyBorder="1" applyAlignment="1">
      <alignment horizontal="center" vertical="center" shrinkToFit="1"/>
    </xf>
    <xf numFmtId="164" fontId="4" fillId="14" borderId="52" xfId="0" applyNumberFormat="1" applyFont="1" applyFill="1" applyBorder="1" applyAlignment="1">
      <alignment horizontal="center" vertical="center" shrinkToFit="1"/>
    </xf>
    <xf numFmtId="0" fontId="4" fillId="14" borderId="53" xfId="0" applyFont="1" applyFill="1" applyBorder="1" applyAlignment="1">
      <alignment horizontal="left" vertical="center"/>
    </xf>
    <xf numFmtId="0" fontId="4" fillId="14" borderId="48" xfId="0" applyFont="1" applyFill="1" applyBorder="1" applyAlignment="1">
      <alignment horizontal="left" vertical="center" shrinkToFit="1"/>
    </xf>
    <xf numFmtId="0" fontId="4" fillId="14" borderId="35" xfId="0" applyFont="1" applyFill="1" applyBorder="1" applyAlignment="1">
      <alignment horizontal="center" vertical="center" shrinkToFit="1"/>
    </xf>
    <xf numFmtId="1" fontId="4" fillId="14" borderId="36" xfId="0" applyNumberFormat="1" applyFont="1" applyFill="1" applyBorder="1" applyAlignment="1">
      <alignment horizontal="center" vertical="center" shrinkToFit="1"/>
    </xf>
    <xf numFmtId="164" fontId="4" fillId="14" borderId="36" xfId="0" applyNumberFormat="1" applyFont="1" applyFill="1" applyBorder="1" applyAlignment="1">
      <alignment horizontal="center" vertical="center" shrinkToFit="1"/>
    </xf>
    <xf numFmtId="0" fontId="1" fillId="14" borderId="53" xfId="0" applyFont="1" applyFill="1" applyBorder="1" applyAlignment="1">
      <alignment horizontal="left" vertical="center"/>
    </xf>
    <xf numFmtId="0" fontId="4" fillId="14" borderId="43" xfId="0" applyFont="1" applyFill="1" applyBorder="1" applyAlignment="1">
      <alignment horizontal="center" vertical="center" shrinkToFit="1"/>
    </xf>
    <xf numFmtId="1" fontId="4" fillId="14" borderId="44" xfId="0" applyNumberFormat="1" applyFont="1" applyFill="1" applyBorder="1" applyAlignment="1">
      <alignment horizontal="center" vertical="center" shrinkToFit="1"/>
    </xf>
    <xf numFmtId="164" fontId="4" fillId="14" borderId="44" xfId="0" applyNumberFormat="1" applyFont="1" applyFill="1" applyBorder="1" applyAlignment="1">
      <alignment horizontal="center" vertical="center" shrinkToFit="1"/>
    </xf>
    <xf numFmtId="0" fontId="4" fillId="14" borderId="45" xfId="0" applyFont="1" applyFill="1" applyBorder="1" applyAlignment="1">
      <alignment horizontal="left" vertical="center"/>
    </xf>
    <xf numFmtId="0" fontId="4" fillId="14" borderId="46" xfId="0" applyFont="1" applyFill="1" applyBorder="1" applyAlignment="1">
      <alignment horizontal="left" vertical="center" shrinkToFit="1"/>
    </xf>
    <xf numFmtId="1" fontId="1" fillId="14" borderId="85" xfId="0" applyNumberFormat="1" applyFont="1" applyFill="1" applyBorder="1" applyAlignment="1">
      <alignment horizontal="center" vertical="center" shrinkToFit="1"/>
    </xf>
    <xf numFmtId="1" fontId="1" fillId="14" borderId="62" xfId="0" applyNumberFormat="1" applyFont="1" applyFill="1" applyBorder="1" applyAlignment="1">
      <alignment horizontal="center" vertical="center" shrinkToFit="1"/>
    </xf>
    <xf numFmtId="1" fontId="1" fillId="14" borderId="31" xfId="0" applyNumberFormat="1" applyFont="1" applyFill="1" applyBorder="1" applyAlignment="1">
      <alignment horizontal="center" vertical="center" shrinkToFit="1"/>
    </xf>
    <xf numFmtId="1" fontId="1" fillId="14" borderId="56" xfId="0" applyNumberFormat="1" applyFont="1" applyFill="1" applyBorder="1" applyAlignment="1">
      <alignment horizontal="center" vertical="center" shrinkToFit="1"/>
    </xf>
    <xf numFmtId="0" fontId="6" fillId="0" borderId="56" xfId="0" quotePrefix="1" applyFont="1" applyBorder="1" applyAlignment="1">
      <alignment horizontal="center" shrinkToFit="1"/>
    </xf>
    <xf numFmtId="0" fontId="58" fillId="8" borderId="1" xfId="5" applyFont="1" applyFill="1" applyBorder="1" applyAlignment="1">
      <alignment horizontal="center" shrinkToFit="1"/>
    </xf>
    <xf numFmtId="0" fontId="6" fillId="8" borderId="23" xfId="5" applyFont="1" applyFill="1" applyBorder="1" applyAlignment="1">
      <alignment horizontal="center" wrapText="1"/>
    </xf>
    <xf numFmtId="9" fontId="6" fillId="8" borderId="23" xfId="2" applyFont="1" applyFill="1" applyBorder="1" applyAlignment="1">
      <alignment horizontal="center" vertical="center" shrinkToFit="1"/>
    </xf>
    <xf numFmtId="9" fontId="6" fillId="8" borderId="24" xfId="2" applyFont="1" applyFill="1" applyBorder="1" applyAlignment="1">
      <alignment horizontal="center" vertical="center" shrinkToFit="1"/>
    </xf>
    <xf numFmtId="0" fontId="6" fillId="8" borderId="24" xfId="0" applyFont="1" applyFill="1" applyBorder="1" applyAlignment="1">
      <alignment horizontal="center" vertical="center" shrinkToFit="1"/>
    </xf>
    <xf numFmtId="0" fontId="6" fillId="8" borderId="24" xfId="2" applyNumberFormat="1" applyFont="1" applyFill="1" applyBorder="1" applyAlignment="1">
      <alignment horizontal="center" vertical="center" shrinkToFit="1"/>
    </xf>
    <xf numFmtId="0" fontId="6" fillId="8" borderId="25" xfId="0" applyFont="1" applyFill="1" applyBorder="1" applyAlignment="1">
      <alignment horizontal="center" vertical="center" wrapText="1"/>
    </xf>
    <xf numFmtId="9" fontId="6" fillId="8" borderId="23" xfId="2" applyFont="1" applyFill="1" applyBorder="1" applyAlignment="1">
      <alignment horizontal="center" shrinkToFit="1"/>
    </xf>
    <xf numFmtId="0" fontId="6" fillId="8" borderId="24" xfId="5" applyFont="1" applyFill="1" applyBorder="1" applyAlignment="1">
      <alignment horizontal="center" wrapText="1"/>
    </xf>
    <xf numFmtId="0" fontId="6" fillId="8" borderId="24" xfId="2" applyNumberFormat="1" applyFont="1" applyFill="1" applyBorder="1" applyAlignment="1">
      <alignment horizontal="center" shrinkToFit="1"/>
    </xf>
    <xf numFmtId="0" fontId="58" fillId="8" borderId="8" xfId="5" applyFont="1" applyFill="1" applyBorder="1" applyAlignment="1">
      <alignment horizontal="center" shrinkToFit="1"/>
    </xf>
    <xf numFmtId="0" fontId="6" fillId="8" borderId="54" xfId="5" applyFont="1" applyFill="1" applyBorder="1" applyAlignment="1">
      <alignment horizontal="center" wrapText="1"/>
    </xf>
    <xf numFmtId="0" fontId="6" fillId="8" borderId="55" xfId="2" applyNumberFormat="1" applyFont="1" applyFill="1" applyBorder="1" applyAlignment="1">
      <alignment horizontal="center" vertical="center" shrinkToFit="1"/>
    </xf>
    <xf numFmtId="0" fontId="6" fillId="8" borderId="30" xfId="0" applyFont="1" applyFill="1" applyBorder="1" applyAlignment="1">
      <alignment horizontal="center" vertical="center" wrapText="1"/>
    </xf>
    <xf numFmtId="0" fontId="0" fillId="0" borderId="38" xfId="0" applyBorder="1" applyAlignment="1">
      <alignment horizontal="center"/>
    </xf>
    <xf numFmtId="0" fontId="0" fillId="0" borderId="46" xfId="0" applyBorder="1" applyAlignment="1">
      <alignment horizontal="center"/>
    </xf>
    <xf numFmtId="0" fontId="6" fillId="0" borderId="23" xfId="5" applyFont="1" applyBorder="1" applyAlignment="1">
      <alignment horizontal="center" vertical="center" shrinkToFit="1"/>
    </xf>
    <xf numFmtId="0" fontId="6" fillId="0" borderId="25" xfId="5" applyFont="1" applyBorder="1" applyAlignment="1">
      <alignment horizontal="center" vertical="center" wrapText="1"/>
    </xf>
    <xf numFmtId="0" fontId="5" fillId="8" borderId="1" xfId="0" applyFont="1" applyFill="1" applyBorder="1" applyAlignment="1">
      <alignment horizontal="right" vertical="center"/>
    </xf>
    <xf numFmtId="0" fontId="1" fillId="8" borderId="0" xfId="0" applyFont="1" applyFill="1" applyAlignment="1">
      <alignment horizontal="centerContinuous" vertical="center"/>
    </xf>
    <xf numFmtId="0" fontId="6" fillId="8" borderId="0" xfId="0" applyFont="1" applyFill="1" applyAlignment="1">
      <alignment horizontal="centerContinuous" vertical="center"/>
    </xf>
    <xf numFmtId="0" fontId="5" fillId="8" borderId="0" xfId="0" applyFont="1" applyFill="1" applyAlignment="1">
      <alignment horizontal="right" vertical="center"/>
    </xf>
    <xf numFmtId="0" fontId="6" fillId="8" borderId="0" xfId="0" applyFont="1" applyFill="1" applyAlignment="1">
      <alignment horizontal="center" vertical="center"/>
    </xf>
    <xf numFmtId="9" fontId="6" fillId="8" borderId="24" xfId="2" applyFont="1" applyFill="1" applyBorder="1" applyAlignment="1">
      <alignment horizontal="center" shrinkToFit="1"/>
    </xf>
    <xf numFmtId="0" fontId="6" fillId="8" borderId="23" xfId="0" applyFont="1" applyFill="1" applyBorder="1" applyAlignment="1">
      <alignment horizontal="center" vertical="center" shrinkToFit="1"/>
    </xf>
    <xf numFmtId="0" fontId="6" fillId="8" borderId="25" xfId="0" applyFont="1" applyFill="1" applyBorder="1" applyAlignment="1">
      <alignment horizontal="center" vertical="center" shrinkToFit="1"/>
    </xf>
    <xf numFmtId="0" fontId="6" fillId="8" borderId="25" xfId="0" quotePrefix="1" applyFont="1" applyFill="1" applyBorder="1" applyAlignment="1">
      <alignment horizontal="center" vertical="center" shrinkToFit="1"/>
    </xf>
    <xf numFmtId="9" fontId="6" fillId="8" borderId="54" xfId="2" applyFont="1" applyFill="1" applyBorder="1" applyAlignment="1">
      <alignment horizontal="center" shrinkToFit="1"/>
    </xf>
    <xf numFmtId="9" fontId="6" fillId="8" borderId="55" xfId="2" applyFont="1" applyFill="1" applyBorder="1" applyAlignment="1">
      <alignment horizontal="center" shrinkToFit="1"/>
    </xf>
    <xf numFmtId="0" fontId="6" fillId="8" borderId="55" xfId="2" applyNumberFormat="1" applyFont="1" applyFill="1" applyBorder="1" applyAlignment="1">
      <alignment horizontal="center" shrinkToFit="1"/>
    </xf>
    <xf numFmtId="0" fontId="1" fillId="8" borderId="124" xfId="0" applyFont="1" applyFill="1" applyBorder="1" applyAlignment="1">
      <alignment horizontal="center" vertical="center" wrapText="1"/>
    </xf>
    <xf numFmtId="0" fontId="1" fillId="8" borderId="104" xfId="0" applyFont="1" applyFill="1" applyBorder="1" applyAlignment="1">
      <alignment horizontal="center" vertical="center" wrapText="1"/>
    </xf>
    <xf numFmtId="0" fontId="56" fillId="8" borderId="128" xfId="0" applyFont="1" applyFill="1" applyBorder="1" applyAlignment="1">
      <alignment horizontal="center" vertical="center" wrapText="1"/>
    </xf>
    <xf numFmtId="49" fontId="1" fillId="8" borderId="102" xfId="0" applyNumberFormat="1" applyFont="1" applyFill="1" applyBorder="1" applyAlignment="1">
      <alignment horizontal="center" vertical="center" wrapText="1"/>
    </xf>
    <xf numFmtId="0" fontId="56" fillId="8" borderId="106" xfId="0" applyFont="1" applyFill="1" applyBorder="1" applyAlignment="1">
      <alignment horizontal="center" vertical="center" wrapText="1"/>
    </xf>
    <xf numFmtId="0" fontId="53" fillId="0" borderId="31" xfId="0" quotePrefix="1" applyFont="1" applyBorder="1" applyAlignment="1">
      <alignment horizontal="centerContinuous" shrinkToFit="1"/>
    </xf>
    <xf numFmtId="0" fontId="17" fillId="0" borderId="31" xfId="0" quotePrefix="1" applyFont="1" applyBorder="1" applyAlignment="1">
      <alignment horizontal="centerContinuous" shrinkToFit="1"/>
    </xf>
    <xf numFmtId="0" fontId="16" fillId="0" borderId="29" xfId="0" applyFont="1" applyBorder="1" applyAlignment="1">
      <alignment horizontal="center" shrinkToFit="1"/>
    </xf>
    <xf numFmtId="0" fontId="77" fillId="0" borderId="137" xfId="0" applyFont="1" applyBorder="1" applyAlignment="1">
      <alignment horizontal="centerContinuous" vertical="center"/>
    </xf>
    <xf numFmtId="0" fontId="53" fillId="0" borderId="149" xfId="0" applyFont="1" applyBorder="1" applyAlignment="1">
      <alignment horizontal="centerContinuous" shrinkToFit="1"/>
    </xf>
    <xf numFmtId="0" fontId="53" fillId="0" borderId="62" xfId="0" quotePrefix="1" applyFont="1" applyBorder="1" applyAlignment="1">
      <alignment horizontal="centerContinuous" shrinkToFit="1"/>
    </xf>
    <xf numFmtId="0" fontId="6" fillId="0" borderId="22" xfId="0" quotePrefix="1" applyFont="1" applyBorder="1" applyAlignment="1">
      <alignment horizontal="center" vertical="center"/>
    </xf>
    <xf numFmtId="0" fontId="6" fillId="0" borderId="0" xfId="0" quotePrefix="1" applyFont="1" applyAlignment="1">
      <alignment vertical="center"/>
    </xf>
    <xf numFmtId="0" fontId="53" fillId="0" borderId="56" xfId="0" quotePrefix="1" applyFont="1" applyBorder="1" applyAlignment="1">
      <alignment horizontal="center" vertical="center" shrinkToFit="1"/>
    </xf>
    <xf numFmtId="49" fontId="1" fillId="0" borderId="102" xfId="0" applyNumberFormat="1" applyFont="1" applyBorder="1" applyAlignment="1">
      <alignment horizontal="center" vertical="center"/>
    </xf>
    <xf numFmtId="49" fontId="1" fillId="11" borderId="52" xfId="0" applyNumberFormat="1" applyFont="1" applyFill="1" applyBorder="1" applyAlignment="1">
      <alignment horizontal="center" vertical="center"/>
    </xf>
    <xf numFmtId="49" fontId="1" fillId="11" borderId="48" xfId="0" applyNumberFormat="1" applyFont="1" applyFill="1" applyBorder="1" applyAlignment="1">
      <alignment horizontal="center" vertical="center"/>
    </xf>
    <xf numFmtId="0" fontId="53" fillId="0" borderId="61" xfId="0" quotePrefix="1" applyFont="1" applyBorder="1" applyAlignment="1">
      <alignment horizontal="center" vertical="center" shrinkToFit="1"/>
    </xf>
    <xf numFmtId="0" fontId="26" fillId="0" borderId="31" xfId="0" quotePrefix="1" applyFont="1" applyBorder="1" applyAlignment="1">
      <alignment horizontal="center" shrinkToFit="1"/>
    </xf>
    <xf numFmtId="0" fontId="79" fillId="0" borderId="0" xfId="0" applyFont="1" applyAlignment="1">
      <alignment vertical="center"/>
    </xf>
    <xf numFmtId="0" fontId="70" fillId="8" borderId="28" xfId="0" applyFont="1" applyFill="1" applyBorder="1" applyAlignment="1">
      <alignment horizontal="centerContinuous"/>
    </xf>
    <xf numFmtId="0" fontId="26" fillId="8" borderId="56" xfId="0" quotePrefix="1" applyFont="1" applyFill="1" applyBorder="1" applyAlignment="1">
      <alignment horizontal="center" shrinkToFit="1"/>
    </xf>
    <xf numFmtId="9" fontId="6" fillId="0" borderId="23" xfId="2" applyFont="1" applyFill="1" applyBorder="1" applyAlignment="1">
      <alignment horizontal="center" shrinkToFit="1"/>
    </xf>
    <xf numFmtId="0" fontId="6" fillId="0" borderId="24" xfId="5" applyFont="1" applyBorder="1" applyAlignment="1">
      <alignment horizontal="center" wrapText="1"/>
    </xf>
    <xf numFmtId="0" fontId="6" fillId="0" borderId="24" xfId="2" applyNumberFormat="1" applyFont="1" applyFill="1" applyBorder="1" applyAlignment="1">
      <alignment horizontal="center" shrinkToFit="1"/>
    </xf>
    <xf numFmtId="0" fontId="6" fillId="0" borderId="54" xfId="5" applyFont="1" applyBorder="1" applyAlignment="1">
      <alignment horizontal="center" wrapText="1"/>
    </xf>
    <xf numFmtId="9" fontId="6" fillId="0" borderId="54" xfId="2" applyFont="1" applyFill="1" applyBorder="1" applyAlignment="1">
      <alignment horizontal="center" vertical="center" shrinkToFit="1"/>
    </xf>
    <xf numFmtId="9" fontId="6" fillId="0" borderId="55" xfId="2" applyFont="1" applyFill="1" applyBorder="1" applyAlignment="1">
      <alignment horizontal="center" vertical="center" shrinkToFit="1"/>
    </xf>
    <xf numFmtId="0" fontId="6" fillId="0" borderId="55" xfId="2" applyNumberFormat="1" applyFont="1" applyFill="1" applyBorder="1" applyAlignment="1">
      <alignment horizontal="center" vertical="center" shrinkToFit="1"/>
    </xf>
    <xf numFmtId="0" fontId="6" fillId="0" borderId="30" xfId="0" applyFont="1" applyBorder="1" applyAlignment="1">
      <alignment horizontal="center" vertical="center" wrapText="1"/>
    </xf>
    <xf numFmtId="0" fontId="58" fillId="0" borderId="8" xfId="5" applyFont="1" applyBorder="1" applyAlignment="1">
      <alignment horizontal="center" shrinkToFit="1"/>
    </xf>
    <xf numFmtId="0" fontId="56" fillId="12" borderId="71" xfId="0" applyFont="1" applyFill="1" applyBorder="1" applyAlignment="1">
      <alignment horizontal="centerContinuous" vertical="center"/>
    </xf>
    <xf numFmtId="0" fontId="1" fillId="0" borderId="120" xfId="0" applyFont="1" applyBorder="1" applyAlignment="1">
      <alignment horizontal="centerContinuous" wrapText="1"/>
    </xf>
    <xf numFmtId="0" fontId="1" fillId="0" borderId="150" xfId="0" applyFont="1" applyBorder="1" applyAlignment="1">
      <alignment horizontal="centerContinuous" wrapText="1"/>
    </xf>
    <xf numFmtId="0" fontId="37" fillId="15" borderId="15" xfId="0" applyFont="1" applyFill="1" applyBorder="1" applyAlignment="1">
      <alignment horizontal="center" vertical="center"/>
    </xf>
    <xf numFmtId="0" fontId="1" fillId="8" borderId="49" xfId="0" applyFont="1" applyFill="1" applyBorder="1" applyAlignment="1">
      <alignment horizontal="center" vertical="center" shrinkToFit="1"/>
    </xf>
    <xf numFmtId="1" fontId="4" fillId="8" borderId="52" xfId="0" applyNumberFormat="1" applyFont="1" applyFill="1" applyBorder="1" applyAlignment="1">
      <alignment horizontal="center" vertical="center" shrinkToFit="1"/>
    </xf>
    <xf numFmtId="164" fontId="4" fillId="8" borderId="52" xfId="0" applyNumberFormat="1" applyFont="1" applyFill="1" applyBorder="1" applyAlignment="1">
      <alignment horizontal="center" vertical="center" shrinkToFit="1"/>
    </xf>
    <xf numFmtId="0" fontId="4" fillId="8" borderId="53" xfId="0" applyFont="1" applyFill="1" applyBorder="1" applyAlignment="1">
      <alignment horizontal="left" vertical="center"/>
    </xf>
    <xf numFmtId="0" fontId="4" fillId="8" borderId="48" xfId="0" applyFont="1" applyFill="1" applyBorder="1" applyAlignment="1">
      <alignment horizontal="left" vertical="center" shrinkToFit="1"/>
    </xf>
    <xf numFmtId="0" fontId="4" fillId="8" borderId="0" xfId="0" applyFont="1" applyFill="1" applyAlignment="1">
      <alignment horizontal="center" vertical="center"/>
    </xf>
    <xf numFmtId="1" fontId="1" fillId="8" borderId="62" xfId="0" applyNumberFormat="1" applyFont="1" applyFill="1" applyBorder="1" applyAlignment="1">
      <alignment horizontal="center" vertical="center" shrinkToFit="1"/>
    </xf>
    <xf numFmtId="0" fontId="4" fillId="8" borderId="49" xfId="0" applyFont="1" applyFill="1" applyBorder="1" applyAlignment="1">
      <alignment horizontal="center" vertical="center" shrinkToFit="1"/>
    </xf>
    <xf numFmtId="0" fontId="1" fillId="8" borderId="53" xfId="0" applyFont="1" applyFill="1" applyBorder="1" applyAlignment="1">
      <alignment horizontal="left" vertical="center"/>
    </xf>
    <xf numFmtId="49" fontId="1" fillId="0" borderId="78" xfId="0" quotePrefix="1" applyNumberFormat="1" applyFont="1" applyBorder="1" applyAlignment="1">
      <alignment horizontal="center" vertical="center"/>
    </xf>
    <xf numFmtId="1" fontId="6" fillId="0" borderId="69" xfId="0" applyNumberFormat="1" applyFont="1" applyBorder="1" applyAlignment="1">
      <alignment horizontal="centerContinuous" vertical="center"/>
    </xf>
    <xf numFmtId="1" fontId="1" fillId="0" borderId="70" xfId="0" applyNumberFormat="1" applyFont="1" applyBorder="1" applyAlignment="1">
      <alignment horizontal="centerContinuous" vertical="center"/>
    </xf>
  </cellXfs>
  <cellStyles count="10">
    <cellStyle name="Comma" xfId="9" builtinId="3"/>
    <cellStyle name="Excel Built-in Normal" xfId="6" xr:uid="{00000000-0005-0000-0000-000001000000}"/>
    <cellStyle name="Hyperlink" xfId="1" builtinId="8"/>
    <cellStyle name="Normal" xfId="0" builtinId="0"/>
    <cellStyle name="Normal 2" xfId="4" xr:uid="{00000000-0005-0000-0000-000004000000}"/>
    <cellStyle name="Normal 2 2" xfId="5" xr:uid="{00000000-0005-0000-0000-000005000000}"/>
    <cellStyle name="Normal 4" xfId="8" xr:uid="{00000000-0005-0000-0000-000006000000}"/>
    <cellStyle name="Percent" xfId="2" builtinId="5"/>
    <cellStyle name="Percent 2" xfId="3" xr:uid="{00000000-0005-0000-0000-000008000000}"/>
    <cellStyle name="Percent 2 2" xfId="7" xr:uid="{00000000-0005-0000-0000-000009000000}"/>
  </cellStyles>
  <dxfs count="14">
    <dxf>
      <font>
        <color rgb="FFFF0000"/>
      </font>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theme="1"/>
      </font>
      <fill>
        <patternFill>
          <bgColor theme="0" tint="-0.24994659260841701"/>
        </patternFill>
      </fill>
    </dxf>
    <dxf>
      <font>
        <b/>
        <i val="0"/>
        <color theme="1"/>
      </font>
      <fill>
        <patternFill>
          <bgColor rgb="FF66FF33"/>
        </patternFill>
      </fill>
    </dxf>
    <dxf>
      <font>
        <b val="0"/>
        <i/>
        <color theme="1"/>
      </font>
      <fill>
        <patternFill>
          <bgColor theme="0" tint="-0.24994659260841701"/>
        </patternFill>
      </fill>
    </dxf>
    <dxf>
      <font>
        <b/>
        <i val="0"/>
        <color theme="1"/>
      </font>
      <fill>
        <patternFill>
          <bgColor rgb="FF66FF33"/>
        </patternFill>
      </fill>
    </dxf>
    <dxf>
      <font>
        <b/>
        <i val="0"/>
        <color theme="9" tint="-0.499984740745262"/>
      </font>
      <fill>
        <patternFill>
          <bgColor rgb="FF99FF99"/>
        </patternFill>
      </fill>
    </dxf>
    <dxf>
      <font>
        <b val="0"/>
        <i/>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9999FF"/>
      <color rgb="FF009900"/>
      <color rgb="FF0000FF"/>
      <color rgb="FF9933FF"/>
      <color rgb="FF9966FF"/>
      <color rgb="FFCCFFCC"/>
      <color rgb="FF99FF99"/>
      <color rgb="FF00FFFF"/>
      <color rgb="FFFF66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57150</xdr:colOff>
      <xdr:row>19</xdr:row>
      <xdr:rowOff>57150</xdr:rowOff>
    </xdr:from>
    <xdr:to>
      <xdr:col>6</xdr:col>
      <xdr:colOff>1276350</xdr:colOff>
      <xdr:row>76</xdr:row>
      <xdr:rowOff>171450</xdr:rowOff>
    </xdr:to>
    <xdr:sp macro="" textlink="">
      <xdr:nvSpPr>
        <xdr:cNvPr id="4" name="Text 6">
          <a:extLst>
            <a:ext uri="{FF2B5EF4-FFF2-40B4-BE49-F238E27FC236}">
              <a16:creationId xmlns:a16="http://schemas.microsoft.com/office/drawing/2014/main" id="{00000000-0008-0000-0000-000004000000}"/>
            </a:ext>
          </a:extLst>
        </xdr:cNvPr>
        <xdr:cNvSpPr txBox="1">
          <a:spLocks noChangeArrowheads="1"/>
        </xdr:cNvSpPr>
      </xdr:nvSpPr>
      <xdr:spPr bwMode="auto">
        <a:xfrm>
          <a:off x="57150" y="3952875"/>
          <a:ext cx="6962775" cy="30575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itchFamily="18" charset="0"/>
              <a:ea typeface="+mn-ea"/>
              <a:cs typeface="Times New Roman" pitchFamily="18" charset="0"/>
            </a:rPr>
            <a:t>Appearance:  </a:t>
          </a:r>
          <a:r>
            <a:rPr lang="en-US" sz="1200" b="0">
              <a:effectLst/>
              <a:latin typeface="Times New Roman" pitchFamily="18" charset="0"/>
              <a:ea typeface="+mn-ea"/>
              <a:cs typeface="Times New Roman" pitchFamily="18" charset="0"/>
            </a:rPr>
            <a:t>Samara</a:t>
          </a:r>
          <a:r>
            <a:rPr lang="en-US" sz="1200" b="0" baseline="0">
              <a:effectLst/>
              <a:latin typeface="Times New Roman" pitchFamily="18" charset="0"/>
              <a:ea typeface="+mn-ea"/>
              <a:cs typeface="Times New Roman" pitchFamily="18" charset="0"/>
            </a:rPr>
            <a:t> wears a mask and hijab, concealing her appearance.</a:t>
          </a:r>
          <a:endParaRPr lang="en-US" sz="1200">
            <a:effectLst/>
            <a:latin typeface="Times New Roman" pitchFamily="18" charset="0"/>
            <a:ea typeface="+mn-ea"/>
            <a:cs typeface="Times New Roman" pitchFamily="18" charset="0"/>
          </a:endParaRPr>
        </a:p>
        <a:p>
          <a:pPr algn="just"/>
          <a:endParaRPr lang="en-US" sz="1200">
            <a:effectLst/>
            <a:latin typeface="Times New Roman" pitchFamily="18" charset="0"/>
            <a:ea typeface="+mn-ea"/>
            <a:cs typeface="Times New Roman" pitchFamily="18" charset="0"/>
          </a:endParaRPr>
        </a:p>
        <a:p>
          <a:pPr algn="just"/>
          <a:r>
            <a:rPr lang="en-US" sz="1200" b="1">
              <a:effectLst/>
              <a:latin typeface="Times New Roman" pitchFamily="18" charset="0"/>
              <a:ea typeface="+mn-ea"/>
              <a:cs typeface="Times New Roman" pitchFamily="18" charset="0"/>
            </a:rPr>
            <a:t>History:  </a:t>
          </a:r>
          <a:r>
            <a:rPr lang="en-US" sz="1200">
              <a:effectLst/>
              <a:latin typeface="Times New Roman" panose="02020603050405020304" pitchFamily="18" charset="0"/>
              <a:ea typeface="+mn-ea"/>
              <a:cs typeface="Times New Roman" panose="02020603050405020304" pitchFamily="18" charset="0"/>
            </a:rPr>
            <a:t>Samara was born in the outer lands of the Yahg, a clan of the wetlands and mudflats bordering the crags of the Sword Mountains near the coast.  Particularly known for producing warriors of outstanding capability, the Yahg are devoted followers of Macaria, like all of the Chosen.  Law and order are paid even stricter attention in the outer clans than the inner cities, and Samara grew up steeped to the bones in the Law of the Viongozi.  From the first she showed natural aptitude with the spear and bow, able to hunt proficiently by the age of 10.  Her parents encouraged her, hoping she would join the military and add prestige to the family line: military service is the highest aspiration a medusa can have, and selection is very competitive.  Their hopes were not disappointed.</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Samara’s induction into the Seldane followed on the heels of one of the most defining moments in her life.  At 14 years of age, while hunting along the border, she came across the body of a bloody human in a gulch: approaching near the body to investigate revealed the woman was still alive, although the blood covering her unclothed body and the raw wounds on her back indicated there had been no lack of effort in someone’s attempt to kill her.  Beaten near to death, the human woman begged Samara for help as an elf appeared at the mouth of the gulch, tracking the trail of blood she had left.  Smug with the satisfaction of capturing his prey, the elf approached the human and informed a wordless Samara that the human was his property, which he would be leaving with: this trespass into the Land of the Chosen was swiftly met with a spear-tip through his chin and out the top of his head.  The human’s bloody face lit up at this event, and she mustered a weak kick at the fallen body.  Samara knelt beside the abused woman, holding the frail form close in her arms and comforting the human as she began to weep.</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Regretfully, wishing it could be otherwise but knowing it could not, Samara followed the Law of the Viongozi and slew the human woman as well, slitting her throat to give her the fastest and most peaceful death possible in the situation.  Returning to her hometown, covered in the blood of the human, Samara reported the kills to the Seldane.  The incident was taken as a demonstration of her unwavering faith in the Law, and Samara was quickly inducted into the ranks of the Seldane, confirming her status as one of the favoured of Macaria.</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Since that time she has served with distinction and dauntless dedication to her duty.  She has never had so much as one demerit in her entire military career, following all protocol to exaction.  She served a tour with the Seawatch, two tours with the Silent Guard along the human highway, and a tour in the law enforcement complement of the capital city, the Overclan Patrol.  She rose through the ranks, her blunt personality combined with her utterly uncompromising views assuring that she was always given the most difficult tasks—though it could have been a compliment to her capability as well.  It’s always hard to tell, for Samara.  The recent change in the commandments of Macaria have caused some consternation among the Seldane, leading to a schism in the hierarchy of the religious military.  To Samara, it is simply a matter of faith: Macaria’s will is above all, including her own poor understanding.  Trusting in the Unforgiving One, Samara followed the new Law of the Viongozi to the letter.  This lead, among other things, to her assassinating her own superior officer.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Normally, raising a hand to a superior officer is a felony offence, and killing her a capital offence.  Given the officer’s status as a heretic, Samara was absolved of guilt: however, she was transferred to another division.  There she was inducted into the internal investigation unit of the Seldane, given new status as a follower of Macaria.  As an agent of the divine, Samara lead the interior forces aligned with the modern interpretation of Macaria’s commandments against the heretics of the old guard, crushing them mercilessly.  The Yahg clan was mostly spared during this purge: having the responsibility of guarding the northern outer lands, it was a relief to be allowed to stop killing those who crossed the border by accident.  The pattern was repeated in most of the outer tribes, where the safeguarding of the Land actually occurred.  There were virtually no heretics among the Seaward tribes, and none at all in the Seawatchers, responsible for purging shipwrecked sailors from the shores of the Land.  By contrast, the inner cities, where no killing was necessary, contained numerous heretics comfortable with the idea of killing intruders in the absence of any experience enforcing the Law.</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After the religious wars were over, Samara’s superiors took stock of the remaining Seldane.  Samara’s service during the Schism was exemplary.  Despite her relative youth and inexperience, Samara’s zeal and unshakeable faith was such that she was again transferred, this time to the Envoys of the Chosen, those selected to be the face of the nation to the outside world.  Not suited for the intelligence work of the Eyes, nor the diplomatic work of the Voices, Samara is now one of the few elite members of the Hands of the Viongozi, a harrier consecrated to Macaria, and the final expression of Her will.  She relentlessly hunts the enemies of the Lady, receiving orders directly from the Viongozi.  A Hand must be able to function as a scout and envoy for her people, and thus Macaria has even altered Samara’s appearance and granted her control of the Medusa’s natural defences, enabling her to pass as human with reasonable precautions.  She now hunts the minions of the false god who dares to harm her beloved goddess.</a:t>
          </a:r>
        </a:p>
        <a:p>
          <a:pPr algn="just"/>
          <a:endParaRPr lang="en-US" sz="1200">
            <a:effectLst/>
            <a:latin typeface="Times New Roman" panose="02020603050405020304" pitchFamily="18" charset="0"/>
            <a:ea typeface="+mn-ea"/>
            <a:cs typeface="Times New Roman" panose="02020603050405020304" pitchFamily="18" charset="0"/>
          </a:endParaRP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itchFamily="18" charset="0"/>
              <a:ea typeface="+mn-ea"/>
              <a:cs typeface="Times New Roman" pitchFamily="18" charset="0"/>
            </a:rPr>
            <a:t>Personality: </a:t>
          </a:r>
          <a:r>
            <a:rPr lang="en-US" sz="1200">
              <a:effectLst/>
              <a:latin typeface="Times New Roman" pitchFamily="18" charset="0"/>
              <a:ea typeface="+mn-ea"/>
              <a:cs typeface="Times New Roman" pitchFamily="18" charset="0"/>
            </a:rPr>
            <a:t>x</a:t>
          </a:r>
        </a:p>
      </xdr:txBody>
    </xdr:sp>
    <xdr:clientData/>
  </xdr:twoCellAnchor>
  <xdr:twoCellAnchor>
    <xdr:from>
      <xdr:col>5</xdr:col>
      <xdr:colOff>68580</xdr:colOff>
      <xdr:row>11</xdr:row>
      <xdr:rowOff>137160</xdr:rowOff>
    </xdr:from>
    <xdr:to>
      <xdr:col>6</xdr:col>
      <xdr:colOff>1240155</xdr:colOff>
      <xdr:row>18</xdr:row>
      <xdr:rowOff>226694</xdr:rowOff>
    </xdr:to>
    <xdr:sp macro="" textlink="">
      <xdr:nvSpPr>
        <xdr:cNvPr id="5" name="Text Box 60">
          <a:extLst>
            <a:ext uri="{FF2B5EF4-FFF2-40B4-BE49-F238E27FC236}">
              <a16:creationId xmlns:a16="http://schemas.microsoft.com/office/drawing/2014/main" id="{00000000-0008-0000-0000-000005000000}"/>
            </a:ext>
          </a:extLst>
        </xdr:cNvPr>
        <xdr:cNvSpPr txBox="1">
          <a:spLocks noChangeArrowheads="1"/>
        </xdr:cNvSpPr>
      </xdr:nvSpPr>
      <xdr:spPr bwMode="auto">
        <a:xfrm>
          <a:off x="4427220" y="2667000"/>
          <a:ext cx="2291715" cy="1605914"/>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ctr" rtl="0">
            <a:defRPr sz="1000"/>
          </a:pPr>
          <a:r>
            <a:rPr lang="en-US" sz="1200" b="1" i="0" u="none" strike="noStrike" baseline="0">
              <a:solidFill>
                <a:srgbClr val="000000"/>
              </a:solidFill>
              <a:latin typeface="Times New Roman"/>
              <a:cs typeface="Times New Roman"/>
            </a:rPr>
            <a:t>Current buffs and penalties</a:t>
          </a:r>
          <a:endParaRPr lang="en-US" sz="1200" b="1" i="1" u="none" strike="noStrike" baseline="0">
            <a:solidFill>
              <a:srgbClr val="000000"/>
            </a:solidFill>
            <a:latin typeface="Times New Roman"/>
            <a:cs typeface="Times New Roman"/>
          </a:endParaRPr>
        </a:p>
      </xdr:txBody>
    </xdr:sp>
    <xdr:clientData/>
  </xdr:twoCellAnchor>
  <xdr:twoCellAnchor editAs="oneCell">
    <xdr:from>
      <xdr:col>5</xdr:col>
      <xdr:colOff>152400</xdr:colOff>
      <xdr:row>1</xdr:row>
      <xdr:rowOff>114301</xdr:rowOff>
    </xdr:from>
    <xdr:to>
      <xdr:col>6</xdr:col>
      <xdr:colOff>1158240</xdr:colOff>
      <xdr:row>11</xdr:row>
      <xdr:rowOff>16393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511040" y="487681"/>
          <a:ext cx="2125980" cy="2058552"/>
        </a:xfrm>
        <a:prstGeom prst="rect">
          <a:avLst/>
        </a:prstGeom>
        <a:ln w="44450" cmpd="dbl">
          <a:solidFill>
            <a:srgbClr val="0099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30480</xdr:colOff>
      <xdr:row>2</xdr:row>
      <xdr:rowOff>0</xdr:rowOff>
    </xdr:from>
    <xdr:to>
      <xdr:col>10</xdr:col>
      <xdr:colOff>914400</xdr:colOff>
      <xdr:row>23</xdr:row>
      <xdr:rowOff>144780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145780" y="731520"/>
          <a:ext cx="883920" cy="4625340"/>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marL="0" indent="0" algn="ctr" rtl="0">
            <a:defRPr sz="1000"/>
          </a:pPr>
          <a:r>
            <a:rPr lang="en-US" sz="1200" b="0" i="1" u="none" strike="noStrike" baseline="0">
              <a:solidFill>
                <a:srgbClr val="000000"/>
              </a:solidFill>
              <a:latin typeface="Times New Roman"/>
              <a:ea typeface="+mn-ea"/>
              <a:cs typeface="Times New Roman"/>
            </a:rPr>
            <a:t>Good Hope +2 to saves and checks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228600</xdr:colOff>
      <xdr:row>0</xdr:row>
      <xdr:rowOff>0</xdr:rowOff>
    </xdr:from>
    <xdr:to>
      <xdr:col>9</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7162800" y="0"/>
          <a:ext cx="7620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98120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19460" name="Rectangle 1">
          <a:extLst>
            <a:ext uri="{FF2B5EF4-FFF2-40B4-BE49-F238E27FC236}">
              <a16:creationId xmlns:a16="http://schemas.microsoft.com/office/drawing/2014/main" id="{00000000-0008-0000-05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2474595</xdr:colOff>
      <xdr:row>1</xdr:row>
      <xdr:rowOff>123825</xdr:rowOff>
    </xdr:from>
    <xdr:to>
      <xdr:col>1</xdr:col>
      <xdr:colOff>161925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twoCellAnchor>
    <xdr:from>
      <xdr:col>13</xdr:col>
      <xdr:colOff>99060</xdr:colOff>
      <xdr:row>1</xdr:row>
      <xdr:rowOff>15240</xdr:rowOff>
    </xdr:from>
    <xdr:to>
      <xdr:col>13</xdr:col>
      <xdr:colOff>982980</xdr:colOff>
      <xdr:row>24</xdr:row>
      <xdr:rowOff>167640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1125200" y="312420"/>
          <a:ext cx="883920" cy="4427220"/>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marL="0" indent="0" algn="ctr" rtl="0">
            <a:defRPr sz="1000"/>
          </a:pPr>
          <a:r>
            <a:rPr lang="en-US" sz="1200" b="0" i="1" u="none" strike="noStrike" baseline="0">
              <a:solidFill>
                <a:srgbClr val="000000"/>
              </a:solidFill>
              <a:latin typeface="Times New Roman"/>
              <a:ea typeface="+mn-ea"/>
              <a:cs typeface="Times New Roman"/>
            </a:rPr>
            <a:t>Good Hope +2 to hit and dmg</a:t>
          </a:r>
        </a:p>
      </xdr:txBody>
    </xdr:sp>
    <xdr:clientData/>
  </xdr:twoCellAnchor>
  <xdr:twoCellAnchor editAs="oneCell">
    <xdr:from>
      <xdr:col>0</xdr:col>
      <xdr:colOff>495300</xdr:colOff>
      <xdr:row>35</xdr:row>
      <xdr:rowOff>135039</xdr:rowOff>
    </xdr:from>
    <xdr:to>
      <xdr:col>0</xdr:col>
      <xdr:colOff>2812148</xdr:colOff>
      <xdr:row>47</xdr:row>
      <xdr:rowOff>99439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95300" y="6901599"/>
          <a:ext cx="2316848" cy="2387560"/>
        </a:xfrm>
        <a:prstGeom prst="rect">
          <a:avLst/>
        </a:prstGeom>
      </xdr:spPr>
    </xdr:pic>
    <xdr:clientData/>
  </xdr:twoCellAnchor>
  <xdr:twoCellAnchor editAs="oneCell">
    <xdr:from>
      <xdr:col>0</xdr:col>
      <xdr:colOff>1181100</xdr:colOff>
      <xdr:row>32</xdr:row>
      <xdr:rowOff>95221</xdr:rowOff>
    </xdr:from>
    <xdr:to>
      <xdr:col>0</xdr:col>
      <xdr:colOff>2225040</xdr:colOff>
      <xdr:row>37</xdr:row>
      <xdr:rowOff>77351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181100" y="6061681"/>
          <a:ext cx="1043940" cy="1010830"/>
        </a:xfrm>
        <a:prstGeom prst="rect">
          <a:avLst/>
        </a:prstGeom>
      </xdr:spPr>
    </xdr:pic>
    <xdr:clientData/>
  </xdr:twoCellAnchor>
  <xdr:twoCellAnchor>
    <xdr:from>
      <xdr:col>7</xdr:col>
      <xdr:colOff>83820</xdr:colOff>
      <xdr:row>2</xdr:row>
      <xdr:rowOff>53340</xdr:rowOff>
    </xdr:from>
    <xdr:to>
      <xdr:col>10</xdr:col>
      <xdr:colOff>1767840</xdr:colOff>
      <xdr:row>3</xdr:row>
      <xdr:rowOff>167640</xdr:rowOff>
    </xdr:to>
    <xdr:sp macro="" textlink="">
      <xdr:nvSpPr>
        <xdr:cNvPr id="3" name="TextBox 2">
          <a:extLst>
            <a:ext uri="{FF2B5EF4-FFF2-40B4-BE49-F238E27FC236}">
              <a16:creationId xmlns:a16="http://schemas.microsoft.com/office/drawing/2014/main" id="{7A161A81-D548-46E8-81E2-C5FADEADD8E1}"/>
            </a:ext>
          </a:extLst>
        </xdr:cNvPr>
        <xdr:cNvSpPr txBox="1"/>
      </xdr:nvSpPr>
      <xdr:spPr>
        <a:xfrm>
          <a:off x="6499860" y="563880"/>
          <a:ext cx="2956560" cy="312420"/>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marL="0" indent="0" algn="ctr" rtl="0">
            <a:defRPr sz="1000"/>
          </a:pPr>
          <a:r>
            <a:rPr lang="en-US" sz="1200" b="0" i="1" u="none" strike="noStrike" baseline="0">
              <a:solidFill>
                <a:srgbClr val="000000"/>
              </a:solidFill>
              <a:latin typeface="Times New Roman"/>
              <a:ea typeface="+mn-ea"/>
              <a:cs typeface="Times New Roman"/>
            </a:rPr>
            <a:t>Weapon of the Deity +1 to AB and damage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7620</xdr:colOff>
      <xdr:row>2</xdr:row>
      <xdr:rowOff>0</xdr:rowOff>
    </xdr:from>
    <xdr:to>
      <xdr:col>5</xdr:col>
      <xdr:colOff>0</xdr:colOff>
      <xdr:row>11</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907280" y="510540"/>
          <a:ext cx="1653540" cy="17830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373380</xdr:colOff>
      <xdr:row>41</xdr:row>
      <xdr:rowOff>30480</xdr:rowOff>
    </xdr:to>
    <xdr:sp macro="" textlink="">
      <xdr:nvSpPr>
        <xdr:cNvPr id="2" name="Text 6">
          <a:extLst>
            <a:ext uri="{FF2B5EF4-FFF2-40B4-BE49-F238E27FC236}">
              <a16:creationId xmlns:a16="http://schemas.microsoft.com/office/drawing/2014/main" id="{00000000-0008-0000-0800-000002000000}"/>
            </a:ext>
          </a:extLst>
        </xdr:cNvPr>
        <xdr:cNvSpPr txBox="1">
          <a:spLocks noChangeArrowheads="1"/>
        </xdr:cNvSpPr>
      </xdr:nvSpPr>
      <xdr:spPr bwMode="auto">
        <a:xfrm>
          <a:off x="0" y="0"/>
          <a:ext cx="14089380" cy="8153400"/>
        </a:xfrm>
        <a:prstGeom prst="rect">
          <a:avLst/>
        </a:prstGeom>
        <a:blipFill>
          <a:blip xmlns:r="http://schemas.openxmlformats.org/officeDocument/2006/relationships" r:embed="rId1"/>
          <a:tile tx="0" ty="0" sx="100000" sy="100000" flip="none" algn="tl"/>
        </a:blipFill>
        <a:ln w="9525">
          <a:noFill/>
          <a:miter lim="800000"/>
          <a:headEnd/>
          <a:tailEnd/>
        </a:ln>
      </xdr:spPr>
      <xdr:txBody>
        <a:bodyPr vertOverflow="clip" wrap="square" lIns="27432" tIns="27432" rIns="27432" bIns="0" anchor="t" upright="1"/>
        <a:lstStyle/>
        <a:p>
          <a:pPr algn="just"/>
          <a:r>
            <a:rPr lang="en-US" sz="1600" b="1">
              <a:effectLst/>
              <a:latin typeface="Times New Roman" panose="02020603050405020304" pitchFamily="18" charset="0"/>
              <a:ea typeface="+mn-ea"/>
              <a:cs typeface="Times New Roman" panose="02020603050405020304" pitchFamily="18" charset="0"/>
            </a:rPr>
            <a:t>Macaria </a:t>
          </a:r>
          <a:r>
            <a:rPr lang="en-US" sz="1600" b="0">
              <a:effectLst/>
              <a:latin typeface="Times New Roman" panose="02020603050405020304" pitchFamily="18" charset="0"/>
              <a:ea typeface="+mn-ea"/>
              <a:cs typeface="Times New Roman" panose="02020603050405020304" pitchFamily="18" charset="0"/>
            </a:rPr>
            <a:t>(intermediate goddess)</a:t>
          </a:r>
        </a:p>
        <a:p>
          <a:pPr algn="just"/>
          <a:r>
            <a:rPr lang="en-US" sz="1400" i="1">
              <a:effectLst/>
              <a:latin typeface="Times New Roman" panose="02020603050405020304" pitchFamily="18" charset="0"/>
              <a:ea typeface="+mn-ea"/>
              <a:cs typeface="Times New Roman" panose="02020603050405020304" pitchFamily="18" charset="0"/>
            </a:rPr>
            <a:t>The Implacable One, The Unforgiving One, The Wall Which Stands Unbroken, Lady of the Sinkholes</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Symbol:  </a:t>
          </a:r>
          <a:r>
            <a:rPr lang="en-US" sz="1200">
              <a:effectLst/>
              <a:latin typeface="Times New Roman" panose="02020603050405020304" pitchFamily="18" charset="0"/>
              <a:ea typeface="+mn-ea"/>
              <a:cs typeface="Times New Roman" panose="02020603050405020304" pitchFamily="18" charset="0"/>
            </a:rPr>
            <a:t>A seawall with a wave breaking on it.</a:t>
          </a:r>
        </a:p>
        <a:p>
          <a:pPr algn="just"/>
          <a:r>
            <a:rPr lang="en-US" sz="1200" b="1">
              <a:effectLst/>
              <a:latin typeface="Times New Roman" panose="02020603050405020304" pitchFamily="18" charset="0"/>
              <a:ea typeface="+mn-ea"/>
              <a:cs typeface="Times New Roman" panose="02020603050405020304" pitchFamily="18" charset="0"/>
            </a:rPr>
            <a:t>Alignment:  </a:t>
          </a:r>
          <a:r>
            <a:rPr lang="en-US" sz="1200">
              <a:effectLst/>
              <a:latin typeface="Times New Roman" panose="02020603050405020304" pitchFamily="18" charset="0"/>
              <a:ea typeface="+mn-ea"/>
              <a:cs typeface="Times New Roman" panose="02020603050405020304" pitchFamily="18" charset="0"/>
            </a:rPr>
            <a:t>LG</a:t>
          </a:r>
        </a:p>
        <a:p>
          <a:pPr algn="just"/>
          <a:r>
            <a:rPr lang="en-US" sz="1200" b="1">
              <a:effectLst/>
              <a:latin typeface="Times New Roman" panose="02020603050405020304" pitchFamily="18" charset="0"/>
              <a:ea typeface="+mn-ea"/>
              <a:cs typeface="Times New Roman" panose="02020603050405020304" pitchFamily="18" charset="0"/>
            </a:rPr>
            <a:t>Portfolio:  </a:t>
          </a:r>
          <a:r>
            <a:rPr lang="en-US" sz="1200">
              <a:effectLst/>
              <a:latin typeface="Times New Roman" panose="02020603050405020304" pitchFamily="18" charset="0"/>
              <a:ea typeface="+mn-ea"/>
              <a:cs typeface="Times New Roman" panose="02020603050405020304" pitchFamily="18" charset="0"/>
            </a:rPr>
            <a:t>Estuaries, swamps, deltas, tides, sinkholes, currents, storms</a:t>
          </a:r>
        </a:p>
        <a:p>
          <a:pPr algn="just"/>
          <a:r>
            <a:rPr lang="en-US" sz="1200" b="1">
              <a:effectLst/>
              <a:latin typeface="Times New Roman" panose="02020603050405020304" pitchFamily="18" charset="0"/>
              <a:ea typeface="+mn-ea"/>
              <a:cs typeface="Times New Roman" panose="02020603050405020304" pitchFamily="18" charset="0"/>
            </a:rPr>
            <a:t>Domains:  </a:t>
          </a:r>
          <a:r>
            <a:rPr lang="en-US" sz="1200">
              <a:effectLst/>
              <a:latin typeface="Times New Roman" panose="02020603050405020304" pitchFamily="18" charset="0"/>
              <a:ea typeface="+mn-ea"/>
              <a:cs typeface="Times New Roman" panose="02020603050405020304" pitchFamily="18" charset="0"/>
            </a:rPr>
            <a:t>Law, Protection, Healing, Good, Earth, Water, Storms.</a:t>
          </a:r>
        </a:p>
        <a:p>
          <a:pPr algn="just"/>
          <a:r>
            <a:rPr lang="en-US" sz="1200" b="1">
              <a:effectLst/>
              <a:latin typeface="Times New Roman" panose="02020603050405020304" pitchFamily="18" charset="0"/>
              <a:ea typeface="+mn-ea"/>
              <a:cs typeface="Times New Roman" panose="02020603050405020304" pitchFamily="18" charset="0"/>
            </a:rPr>
            <a:t>Favored Weapon:</a:t>
          </a:r>
          <a:r>
            <a:rPr lang="en-US" sz="1200">
              <a:effectLst/>
              <a:latin typeface="Times New Roman" panose="02020603050405020304" pitchFamily="18" charset="0"/>
              <a:ea typeface="+mn-ea"/>
              <a:cs typeface="Times New Roman" panose="02020603050405020304" pitchFamily="18" charset="0"/>
            </a:rPr>
            <a:t>  Spear</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Macaria is unforgiving and implacable once angered, but neither capricious nor quick to anger.  She desires peace for her chosen people, the medusae, and until recently stood apart from the rest of the pantheon, believing that her own strength would be enough to withstand any who would challenge her.  Her main rival is Umberlee, a vain, mean goddess who has murdered any number of Macaria’s chosen, something she will not forgive.  Umberlee’s alliance with other gods has prompted Macaria to reconsider her isolationist attitude, and she has made overtures to other gods willing to tolerate her people, most notably Valkur and Selene.  This has resulted in a change in the commandments handed down to her chosen as well, directing them to abandon their former absolute isolationism in favor of limited contact with other species.  However, since the change is only recent, medusae still have a reputation as completely evil snake-monster savages that will kill civilized people on sight.</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The medusae are the chosen people of Macaria, the Unforgiving One.  The lands claimed by the medusae are along the coast between Waterdeep and Neverwinter, including parts of the Kryptgarden and the Sword Mountains.  Most of these lands are swamps, wetlands, and marshes, with some tending to mud flats and craggy cliffs rent by gullies towards the Sword coast, and into wet mangrove forests near the Kryptgarden.  Sinkholes abound, especially in muddy areas that periodically dry out.  Cut in half by the highway built by the trade of heathens, the Medusae resent outsiders and, in fact, maintain an unseen guard on the highway, killing those that leave it due to the commandments of Macaria (until recent times, see Dogma).  Because of this they have gained a reputation as evil beings, when in fact they are merely mercilessly lawful.  Medusan cities are places of strict hierarchy, with the Viongozi, a triumvirate of divinely inspired medusae, at the top, with the Seldane as their combined military and policing force.  The capital is a city of nearly 50,000 medusae, on the coast near the Sword Mountain range.  Due to growth, it is now uncomfortably close to the highway, only 15 miles distant.  If travellers were allowed in the capital, the single most dominating feature they would find is the Ward, a giant seawall towering 30 meters high and 10 meters thick, protecting the harbor.  A single massive gate is the only seaward entrance to the harbor: in the past the Seagate only opened rarely, as the medusae were not much of an ocean trading people.  This has changed in recent years due to the change in the Law given my Macaria, with more and more medusae becoming long-distance merchants, though admittedly often in disguise given the reputation of the medusae.</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Recently, Macaria clashed with the goddess Umberlee, and while neither was successful in eliminating the other, Macaria was greatly weakened during the battle.  This affected the Land of the Chosen in the form of devastating earthquakes, toppling many of the taller structures in the capital: the Ward, however, still stands tall, and the Seawatchers have replaced those guards lost when the ocean hurled itself against the Ward and, for the first time ever, crested the top, if only briefly.  The earthquakes opened the Great Devoid, a sinkhole of unplumbed depths which swallowed the smaller city of Biador near the northern lands and the Yahg clan.  Sinkholes are becoming more common in the rest of the lands as well, almost as if Macaria cannot maintain her land as she once did—something that is in fact true, since an elemental calling itself a god has taken advantage of her weakened state to siphon her powers for his own use.  Macaria cannot fight both the elemental and Umberlee, and therefore maintains a projection of strength to ward of attack while she desperately sends her agents to fix the problem.</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History/Relationships: Macaria is a lone goddess only recently integrated into the main pantheon after finding herself in need of allies following Umberlee’s alliance with Autil and Malar in service of Talos.  She is loosely aligned with Chauntea and Sylvanus in a subordinate role, and stands with Selune and Valkur in times of necessity, to ensure a safe transition between wave and land for those under the protection of either.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Dogma: Macaria’s dogma has changed in recent times (since her alliance with other deities): much of the outside world is unaware of the change.</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Ancient Dogma: The world is a savage place, and those that travel it often mean harm to the chosen people of Macaria.  They had best be willing to pay the ultimate price for trespassing on lands claimed by the chosen.  Kill all of those that would intrude, even by accident, lest they spread the word of the might of Macaria and the peace and wealth enjoyed by the populace—such will bring down a horde of the envious to wrest it from them.  Amongst the chosen let no man nor woman of one tribe raise a hand against another, for peace is the will of Macaria.  Let all hone both body and mind, each according to her ability, for strength in all forms is protection, and will ensure peace.  Follow the guidance of the Viongozi, for they are the instruments of Macaria, and the Seldane will protect the faithful.</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Modern Dogma: The world is a savage place, and those that travel it often mean harm to the chosen people of Macaria.  Protect the lands of the chosen, repelling trespassers first by diplomacy and peaceful means, and if pressed by force.  Let only those granted permission by the Seldane enter, and envoys of those gods allied with Macaria.  Those shipwrecked on chosen lands are to be protected and aided in returning home if they are not a threat: the evil are always a threat and are to be executed.  Lost travellers, the homeless, and refugees may be welcomed in the outer lands, to be aided in returning to their homeland at the first possible time: descendents of such will not be considered of the chosen until the third or fourth generation.  Amongst the chosen let no man nor woman of one tribe raise a hand against another, for peace is the will of Macaria.  Let all hone both body and mind, each according to her ability, for strength in all forms is protection, and will ensure peace.  Follow the guidance of the Viongozi, for they are the earthly instruments of Macaria, and the Seldane will protect the faithful.</a:t>
          </a:r>
        </a:p>
        <a:p>
          <a:pPr algn="just"/>
          <a:r>
            <a:rPr lang="en-US" sz="1200">
              <a:effectLst/>
              <a:latin typeface="Times New Roman" panose="02020603050405020304" pitchFamily="18" charset="0"/>
              <a:ea typeface="+mn-ea"/>
              <a:cs typeface="Times New Roman" panose="02020603050405020304" pitchFamily="18" charset="0"/>
            </a:rPr>
            <a:t> </a:t>
          </a:r>
        </a:p>
        <a:p>
          <a:pPr algn="just"/>
          <a:endParaRPr lang="en-US" sz="1200">
            <a:effectLst/>
            <a:latin typeface="Times New Roman" panose="02020603050405020304" pitchFamily="18" charset="0"/>
            <a:ea typeface="+mn-ea"/>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jingasafi@gmail.com?subject=Dungeons%20of%20Waterdee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78"/>
  <sheetViews>
    <sheetView showGridLines="0" tabSelected="1" zoomScaleNormal="100" workbookViewId="0"/>
  </sheetViews>
  <sheetFormatPr defaultColWidth="13" defaultRowHeight="15.6" x14ac:dyDescent="0.3"/>
  <cols>
    <col min="1" max="1" width="14.3984375" style="61" customWidth="1"/>
    <col min="2" max="3" width="8.8984375" style="62" customWidth="1"/>
    <col min="4" max="4" width="13.69921875" style="61" bestFit="1" customWidth="1"/>
    <col min="5" max="5" width="10.8984375" style="62" bestFit="1" customWidth="1"/>
    <col min="6" max="6" width="14.69921875" style="61" customWidth="1"/>
    <col min="7" max="7" width="17.09765625" style="62" customWidth="1"/>
    <col min="8" max="16384" width="13" style="14"/>
  </cols>
  <sheetData>
    <row r="1" spans="1:7" ht="29.4" thickTop="1" thickBot="1" x14ac:dyDescent="0.35">
      <c r="A1" s="416" t="s">
        <v>176</v>
      </c>
      <c r="B1" s="417" t="s">
        <v>177</v>
      </c>
      <c r="C1" s="192"/>
      <c r="D1" s="193"/>
      <c r="E1" s="331"/>
      <c r="F1" s="193"/>
      <c r="G1" s="385" t="s">
        <v>154</v>
      </c>
    </row>
    <row r="2" spans="1:7" ht="17.399999999999999" thickTop="1" x14ac:dyDescent="0.3">
      <c r="A2" s="15" t="s">
        <v>476</v>
      </c>
      <c r="B2" s="231" t="s">
        <v>155</v>
      </c>
      <c r="C2" s="231"/>
      <c r="D2" s="18" t="s">
        <v>477</v>
      </c>
      <c r="E2" s="17" t="s">
        <v>87</v>
      </c>
      <c r="F2" s="19"/>
      <c r="G2" s="20"/>
    </row>
    <row r="3" spans="1:7" ht="16.8" x14ac:dyDescent="0.3">
      <c r="A3" s="15" t="s">
        <v>478</v>
      </c>
      <c r="B3" s="231" t="s">
        <v>155</v>
      </c>
      <c r="C3" s="231"/>
      <c r="D3" s="18" t="s">
        <v>85</v>
      </c>
      <c r="E3" s="17">
        <v>4</v>
      </c>
      <c r="F3" s="18"/>
      <c r="G3" s="20"/>
    </row>
    <row r="4" spans="1:7" ht="16.8" x14ac:dyDescent="0.3">
      <c r="A4" s="15" t="s">
        <v>478</v>
      </c>
      <c r="B4" s="231" t="s">
        <v>156</v>
      </c>
      <c r="C4" s="231"/>
      <c r="D4" s="18" t="s">
        <v>85</v>
      </c>
      <c r="E4" s="17">
        <v>4</v>
      </c>
      <c r="F4" s="18"/>
      <c r="G4" s="20"/>
    </row>
    <row r="5" spans="1:7" ht="16.8" x14ac:dyDescent="0.3">
      <c r="A5" s="15" t="s">
        <v>478</v>
      </c>
      <c r="B5" s="231" t="s">
        <v>178</v>
      </c>
      <c r="C5" s="231"/>
      <c r="D5" s="18" t="s">
        <v>85</v>
      </c>
      <c r="E5" s="17">
        <v>4</v>
      </c>
      <c r="F5" s="18"/>
      <c r="G5" s="20"/>
    </row>
    <row r="6" spans="1:7" ht="16.8" x14ac:dyDescent="0.3">
      <c r="A6" s="596" t="s">
        <v>478</v>
      </c>
      <c r="B6" s="597" t="s">
        <v>157</v>
      </c>
      <c r="C6" s="598"/>
      <c r="D6" s="599" t="s">
        <v>85</v>
      </c>
      <c r="E6" s="600">
        <v>0</v>
      </c>
      <c r="F6" s="18"/>
      <c r="G6" s="20"/>
    </row>
    <row r="7" spans="1:7" ht="16.8" x14ac:dyDescent="0.3">
      <c r="A7" s="15" t="s">
        <v>479</v>
      </c>
      <c r="B7" s="231" t="s">
        <v>207</v>
      </c>
      <c r="C7" s="231"/>
      <c r="D7" s="18" t="s">
        <v>480</v>
      </c>
      <c r="E7" s="17">
        <v>30</v>
      </c>
      <c r="F7" s="18"/>
      <c r="G7" s="20"/>
    </row>
    <row r="8" spans="1:7" ht="16.8" x14ac:dyDescent="0.3">
      <c r="A8" s="15" t="s">
        <v>481</v>
      </c>
      <c r="B8" s="231" t="s">
        <v>459</v>
      </c>
      <c r="C8" s="231"/>
      <c r="D8" s="18" t="s">
        <v>482</v>
      </c>
      <c r="E8" s="17" t="s">
        <v>181</v>
      </c>
      <c r="F8" s="18"/>
      <c r="G8" s="20"/>
    </row>
    <row r="9" spans="1:7" ht="17.399999999999999" thickBot="1" x14ac:dyDescent="0.35">
      <c r="A9" s="15" t="s">
        <v>483</v>
      </c>
      <c r="B9" s="231" t="s">
        <v>179</v>
      </c>
      <c r="C9" s="231"/>
      <c r="D9" s="18" t="s">
        <v>484</v>
      </c>
      <c r="E9" s="17" t="s">
        <v>180</v>
      </c>
      <c r="F9" s="18"/>
      <c r="G9" s="20"/>
    </row>
    <row r="10" spans="1:7" ht="17.399999999999999" thickTop="1" x14ac:dyDescent="0.3">
      <c r="A10" s="21" t="s">
        <v>485</v>
      </c>
      <c r="B10" s="653">
        <f>3+3+3</f>
        <v>9</v>
      </c>
      <c r="C10" s="654"/>
      <c r="D10" s="22" t="s">
        <v>486</v>
      </c>
      <c r="E10" s="23" t="s">
        <v>83</v>
      </c>
      <c r="F10" s="24"/>
      <c r="G10" s="20"/>
    </row>
    <row r="11" spans="1:7" ht="16.8" x14ac:dyDescent="0.3">
      <c r="A11" s="25" t="s">
        <v>487</v>
      </c>
      <c r="B11" s="271" t="str">
        <f>C14</f>
        <v>+0</v>
      </c>
      <c r="C11" s="272"/>
      <c r="D11" s="26" t="s">
        <v>488</v>
      </c>
      <c r="E11" s="27" t="s">
        <v>310</v>
      </c>
      <c r="F11" s="24"/>
      <c r="G11" s="20"/>
    </row>
    <row r="12" spans="1:7" ht="17.399999999999999" thickBot="1" x14ac:dyDescent="0.35">
      <c r="A12" s="28" t="s">
        <v>489</v>
      </c>
      <c r="B12" s="279">
        <v>72500</v>
      </c>
      <c r="C12" s="274"/>
      <c r="D12" s="359" t="s">
        <v>490</v>
      </c>
      <c r="E12" s="360">
        <f>E3+C18+2+1</f>
        <v>11</v>
      </c>
      <c r="F12" s="24"/>
      <c r="G12" s="20"/>
    </row>
    <row r="13" spans="1:7" ht="17.399999999999999" thickTop="1" x14ac:dyDescent="0.3">
      <c r="A13" s="29" t="s">
        <v>491</v>
      </c>
      <c r="B13" s="642">
        <f>12-6</f>
        <v>6</v>
      </c>
      <c r="C13" s="30">
        <f t="shared" ref="C13:C18" si="0">IF(B13&gt;9.9,CONCATENATE("+",ROUNDDOWN((B13-10)/2,0)),ROUNDUP((B13-10)/2,0))</f>
        <v>-2</v>
      </c>
      <c r="D13" s="31" t="s">
        <v>492</v>
      </c>
      <c r="E13" s="615" t="s">
        <v>457</v>
      </c>
      <c r="F13" s="24"/>
      <c r="G13" s="20"/>
    </row>
    <row r="14" spans="1:7" ht="16.8" x14ac:dyDescent="0.3">
      <c r="A14" s="32" t="s">
        <v>493</v>
      </c>
      <c r="B14" s="33">
        <v>10</v>
      </c>
      <c r="C14" s="34" t="str">
        <f t="shared" si="0"/>
        <v>+0</v>
      </c>
      <c r="D14" s="35" t="s">
        <v>494</v>
      </c>
      <c r="E14" s="36">
        <f>SUM(Martial!G3:G33,Equipment!C3:C19)</f>
        <v>53.5</v>
      </c>
      <c r="F14" s="24"/>
      <c r="G14" s="20"/>
    </row>
    <row r="15" spans="1:7" ht="16.8" x14ac:dyDescent="0.3">
      <c r="A15" s="37" t="s">
        <v>495</v>
      </c>
      <c r="B15" s="33">
        <v>15</v>
      </c>
      <c r="C15" s="39" t="str">
        <f t="shared" si="0"/>
        <v>+2</v>
      </c>
      <c r="D15" s="35" t="s">
        <v>496</v>
      </c>
      <c r="E15" s="40">
        <f>ROUNDUP((((E3-2)*10)*0.75)+((E4*8)*0.75)+((E5*8)*0.75)+((E6*10)*0.75)+((SUM(E3:E6))*C15),0)</f>
        <v>87</v>
      </c>
      <c r="F15" s="24"/>
      <c r="G15" s="20"/>
    </row>
    <row r="16" spans="1:7" ht="16.8" x14ac:dyDescent="0.3">
      <c r="A16" s="41" t="s">
        <v>497</v>
      </c>
      <c r="B16" s="38">
        <v>16</v>
      </c>
      <c r="C16" s="34" t="str">
        <f t="shared" si="0"/>
        <v>+3</v>
      </c>
      <c r="D16" s="42" t="s">
        <v>498</v>
      </c>
      <c r="E16" s="43">
        <f>10+C14+3</f>
        <v>13</v>
      </c>
      <c r="F16" s="15"/>
      <c r="G16" s="20"/>
    </row>
    <row r="17" spans="1:7" ht="16.8" x14ac:dyDescent="0.3">
      <c r="A17" s="44" t="s">
        <v>499</v>
      </c>
      <c r="B17" s="239">
        <v>16</v>
      </c>
      <c r="C17" s="34" t="str">
        <f t="shared" si="0"/>
        <v>+3</v>
      </c>
      <c r="D17" s="42" t="s">
        <v>500</v>
      </c>
      <c r="E17" s="43">
        <f>E18-C14</f>
        <v>18</v>
      </c>
      <c r="F17" s="24"/>
      <c r="G17" s="20"/>
    </row>
    <row r="18" spans="1:7" ht="17.399999999999999" thickBot="1" x14ac:dyDescent="0.35">
      <c r="A18" s="45" t="s">
        <v>501</v>
      </c>
      <c r="B18" s="619">
        <f>18</f>
        <v>18</v>
      </c>
      <c r="C18" s="46" t="str">
        <f t="shared" si="0"/>
        <v>+4</v>
      </c>
      <c r="D18" s="47" t="s">
        <v>502</v>
      </c>
      <c r="E18" s="230">
        <f>E16+SUM(Martial!B28:B30)</f>
        <v>18</v>
      </c>
      <c r="F18" s="24"/>
      <c r="G18" s="20"/>
    </row>
    <row r="19" spans="1:7" ht="24" thickTop="1" thickBot="1" x14ac:dyDescent="0.35">
      <c r="A19" s="48" t="s">
        <v>17</v>
      </c>
      <c r="B19" s="49"/>
      <c r="C19" s="49"/>
      <c r="D19" s="50"/>
      <c r="E19" s="50"/>
      <c r="F19" s="50"/>
      <c r="G19" s="51"/>
    </row>
    <row r="20" spans="1:7" s="55" customFormat="1" ht="17.399999999999999" thickTop="1" x14ac:dyDescent="0.3">
      <c r="A20" s="52"/>
      <c r="B20" s="53"/>
      <c r="C20" s="53"/>
      <c r="D20" s="53"/>
      <c r="E20" s="53"/>
      <c r="F20" s="53"/>
      <c r="G20" s="54"/>
    </row>
    <row r="21" spans="1:7" s="55" customFormat="1" ht="16.8" x14ac:dyDescent="0.3">
      <c r="A21" s="56"/>
      <c r="B21" s="16"/>
      <c r="C21" s="16"/>
      <c r="D21" s="16"/>
      <c r="E21" s="16"/>
      <c r="F21" s="16"/>
      <c r="G21" s="57"/>
    </row>
    <row r="22" spans="1:7" s="55" customFormat="1" ht="16.8" x14ac:dyDescent="0.3">
      <c r="A22" s="56"/>
      <c r="B22" s="16"/>
      <c r="C22" s="16"/>
      <c r="D22" s="16"/>
      <c r="E22" s="16"/>
      <c r="F22" s="16"/>
      <c r="G22" s="57"/>
    </row>
    <row r="23" spans="1:7" s="55" customFormat="1" ht="16.8" x14ac:dyDescent="0.3">
      <c r="A23" s="56"/>
      <c r="B23" s="16"/>
      <c r="C23" s="16"/>
      <c r="D23" s="16"/>
      <c r="E23" s="16"/>
      <c r="F23" s="16"/>
      <c r="G23" s="57"/>
    </row>
    <row r="24" spans="1:7" s="55" customFormat="1" ht="16.8" x14ac:dyDescent="0.3">
      <c r="A24" s="56"/>
      <c r="B24" s="16"/>
      <c r="C24" s="16"/>
      <c r="D24" s="16"/>
      <c r="E24" s="16"/>
      <c r="F24" s="16"/>
      <c r="G24" s="57"/>
    </row>
    <row r="25" spans="1:7" s="55" customFormat="1" ht="16.8" x14ac:dyDescent="0.3">
      <c r="A25" s="56"/>
      <c r="B25" s="16"/>
      <c r="C25" s="16"/>
      <c r="D25" s="16"/>
      <c r="E25" s="16"/>
      <c r="F25" s="16"/>
      <c r="G25" s="57"/>
    </row>
    <row r="26" spans="1:7" s="55" customFormat="1" ht="16.8" x14ac:dyDescent="0.3">
      <c r="A26" s="56"/>
      <c r="B26" s="16"/>
      <c r="C26" s="16"/>
      <c r="D26" s="16"/>
      <c r="E26" s="16"/>
      <c r="F26" s="16"/>
      <c r="G26" s="57"/>
    </row>
    <row r="27" spans="1:7" s="55" customFormat="1" ht="16.8" x14ac:dyDescent="0.3">
      <c r="A27" s="56"/>
      <c r="B27" s="16"/>
      <c r="C27" s="16"/>
      <c r="D27" s="16"/>
      <c r="E27" s="16"/>
      <c r="F27" s="16"/>
      <c r="G27" s="57"/>
    </row>
    <row r="28" spans="1:7" s="55" customFormat="1" ht="16.8" x14ac:dyDescent="0.3">
      <c r="A28" s="56"/>
      <c r="B28" s="16"/>
      <c r="C28" s="16"/>
      <c r="D28" s="16"/>
      <c r="E28" s="16"/>
      <c r="F28" s="16"/>
      <c r="G28" s="57"/>
    </row>
    <row r="29" spans="1:7" s="55" customFormat="1" ht="16.8" x14ac:dyDescent="0.3">
      <c r="A29" s="56"/>
      <c r="B29" s="16"/>
      <c r="C29" s="16"/>
      <c r="D29" s="16"/>
      <c r="E29" s="16"/>
      <c r="F29" s="16"/>
      <c r="G29" s="57"/>
    </row>
    <row r="30" spans="1:7" s="55" customFormat="1" ht="16.8" x14ac:dyDescent="0.3">
      <c r="A30" s="56"/>
      <c r="B30" s="16"/>
      <c r="C30" s="16"/>
      <c r="D30" s="16"/>
      <c r="E30" s="16"/>
      <c r="F30" s="16"/>
      <c r="G30" s="57"/>
    </row>
    <row r="31" spans="1:7" s="55" customFormat="1" ht="16.8" x14ac:dyDescent="0.3">
      <c r="A31" s="56"/>
      <c r="B31" s="16"/>
      <c r="C31" s="16"/>
      <c r="D31" s="16"/>
      <c r="E31" s="16"/>
      <c r="F31" s="16"/>
      <c r="G31" s="57"/>
    </row>
    <row r="32" spans="1:7" s="55" customFormat="1" ht="16.8" x14ac:dyDescent="0.3">
      <c r="A32" s="56"/>
      <c r="B32" s="16"/>
      <c r="C32" s="16"/>
      <c r="D32" s="16"/>
      <c r="E32" s="16"/>
      <c r="F32" s="16"/>
      <c r="G32" s="57"/>
    </row>
    <row r="33" spans="1:7" s="55" customFormat="1" ht="16.8" x14ac:dyDescent="0.3">
      <c r="A33" s="56"/>
      <c r="B33" s="16"/>
      <c r="C33" s="16"/>
      <c r="D33" s="16"/>
      <c r="E33" s="16"/>
      <c r="F33" s="16"/>
      <c r="G33" s="57"/>
    </row>
    <row r="34" spans="1:7" s="55" customFormat="1" ht="16.8" x14ac:dyDescent="0.3">
      <c r="A34" s="56"/>
      <c r="B34" s="16"/>
      <c r="C34" s="16"/>
      <c r="D34" s="16"/>
      <c r="E34" s="16"/>
      <c r="F34" s="16"/>
      <c r="G34" s="57"/>
    </row>
    <row r="35" spans="1:7" s="55" customFormat="1" ht="16.8" x14ac:dyDescent="0.3">
      <c r="A35" s="56"/>
      <c r="B35" s="16"/>
      <c r="C35" s="16"/>
      <c r="D35" s="16"/>
      <c r="E35" s="16"/>
      <c r="F35" s="16"/>
      <c r="G35" s="57"/>
    </row>
    <row r="36" spans="1:7" s="55" customFormat="1" ht="16.8" x14ac:dyDescent="0.3">
      <c r="A36" s="56"/>
      <c r="B36" s="16"/>
      <c r="C36" s="16"/>
      <c r="D36" s="16"/>
      <c r="E36" s="16"/>
      <c r="F36" s="16"/>
      <c r="G36" s="57"/>
    </row>
    <row r="37" spans="1:7" s="55" customFormat="1" ht="16.8" x14ac:dyDescent="0.3">
      <c r="A37" s="56"/>
      <c r="B37" s="16"/>
      <c r="C37" s="16"/>
      <c r="D37" s="16"/>
      <c r="E37" s="16"/>
      <c r="F37" s="16"/>
      <c r="G37" s="57"/>
    </row>
    <row r="38" spans="1:7" s="55" customFormat="1" ht="16.8" x14ac:dyDescent="0.3">
      <c r="A38" s="56"/>
      <c r="B38" s="16"/>
      <c r="C38" s="16"/>
      <c r="D38" s="16"/>
      <c r="E38" s="16"/>
      <c r="F38" s="16"/>
      <c r="G38" s="57"/>
    </row>
    <row r="39" spans="1:7" s="55" customFormat="1" ht="16.8" x14ac:dyDescent="0.3">
      <c r="A39" s="56"/>
      <c r="B39" s="16"/>
      <c r="C39" s="16"/>
      <c r="D39" s="16"/>
      <c r="E39" s="16"/>
      <c r="F39" s="16"/>
      <c r="G39" s="57"/>
    </row>
    <row r="40" spans="1:7" s="55" customFormat="1" ht="16.8" x14ac:dyDescent="0.3">
      <c r="A40" s="56"/>
      <c r="B40" s="16"/>
      <c r="C40" s="16"/>
      <c r="D40" s="16"/>
      <c r="E40" s="16"/>
      <c r="F40" s="16"/>
      <c r="G40" s="57"/>
    </row>
    <row r="41" spans="1:7" s="55" customFormat="1" ht="16.8" x14ac:dyDescent="0.3">
      <c r="A41" s="56"/>
      <c r="B41" s="16"/>
      <c r="C41" s="16"/>
      <c r="D41" s="16"/>
      <c r="E41" s="16"/>
      <c r="F41" s="16"/>
      <c r="G41" s="57"/>
    </row>
    <row r="42" spans="1:7" s="55" customFormat="1" ht="16.8" x14ac:dyDescent="0.3">
      <c r="A42" s="56"/>
      <c r="B42" s="16"/>
      <c r="C42" s="16"/>
      <c r="D42" s="16"/>
      <c r="E42" s="16"/>
      <c r="F42" s="16"/>
      <c r="G42" s="57"/>
    </row>
    <row r="43" spans="1:7" s="55" customFormat="1" ht="16.8" x14ac:dyDescent="0.3">
      <c r="A43" s="56"/>
      <c r="B43" s="16"/>
      <c r="C43" s="16"/>
      <c r="D43" s="16"/>
      <c r="E43" s="16"/>
      <c r="F43" s="16"/>
      <c r="G43" s="57"/>
    </row>
    <row r="44" spans="1:7" s="55" customFormat="1" ht="16.8" x14ac:dyDescent="0.3">
      <c r="A44" s="56"/>
      <c r="B44" s="16"/>
      <c r="C44" s="16"/>
      <c r="D44" s="16"/>
      <c r="E44" s="16"/>
      <c r="F44" s="16"/>
      <c r="G44" s="57"/>
    </row>
    <row r="45" spans="1:7" s="55" customFormat="1" ht="16.8" x14ac:dyDescent="0.3">
      <c r="A45" s="56"/>
      <c r="B45" s="16"/>
      <c r="C45" s="16"/>
      <c r="D45" s="16"/>
      <c r="E45" s="16"/>
      <c r="F45" s="16"/>
      <c r="G45" s="57"/>
    </row>
    <row r="46" spans="1:7" s="55" customFormat="1" ht="16.8" x14ac:dyDescent="0.3">
      <c r="A46" s="56"/>
      <c r="B46" s="16"/>
      <c r="C46" s="16"/>
      <c r="D46" s="16"/>
      <c r="E46" s="16"/>
      <c r="F46" s="16"/>
      <c r="G46" s="57"/>
    </row>
    <row r="47" spans="1:7" s="55" customFormat="1" ht="16.8" x14ac:dyDescent="0.3">
      <c r="A47" s="56"/>
      <c r="B47" s="16"/>
      <c r="C47" s="16"/>
      <c r="D47" s="16"/>
      <c r="E47" s="16"/>
      <c r="F47" s="16"/>
      <c r="G47" s="57"/>
    </row>
    <row r="48" spans="1:7" s="55" customFormat="1" ht="16.8" x14ac:dyDescent="0.3">
      <c r="A48" s="56"/>
      <c r="B48" s="16"/>
      <c r="C48" s="16"/>
      <c r="D48" s="16"/>
      <c r="E48" s="16"/>
      <c r="F48" s="16"/>
      <c r="G48" s="57"/>
    </row>
    <row r="49" spans="1:7" s="55" customFormat="1" ht="16.8" x14ac:dyDescent="0.3">
      <c r="A49" s="56"/>
      <c r="B49" s="16"/>
      <c r="C49" s="16"/>
      <c r="D49" s="16"/>
      <c r="E49" s="16"/>
      <c r="F49" s="16"/>
      <c r="G49" s="57"/>
    </row>
    <row r="50" spans="1:7" s="55" customFormat="1" ht="16.8" x14ac:dyDescent="0.3">
      <c r="A50" s="56"/>
      <c r="B50" s="16"/>
      <c r="C50" s="16"/>
      <c r="D50" s="16"/>
      <c r="E50" s="16"/>
      <c r="F50" s="16"/>
      <c r="G50" s="57"/>
    </row>
    <row r="51" spans="1:7" s="55" customFormat="1" ht="16.8" x14ac:dyDescent="0.3">
      <c r="A51" s="56"/>
      <c r="B51" s="16"/>
      <c r="C51" s="16"/>
      <c r="D51" s="16"/>
      <c r="E51" s="16"/>
      <c r="F51" s="16"/>
      <c r="G51" s="57"/>
    </row>
    <row r="52" spans="1:7" s="55" customFormat="1" ht="16.8" x14ac:dyDescent="0.3">
      <c r="A52" s="56"/>
      <c r="B52" s="16"/>
      <c r="C52" s="16"/>
      <c r="D52" s="16"/>
      <c r="E52" s="16"/>
      <c r="F52" s="16"/>
      <c r="G52" s="57"/>
    </row>
    <row r="53" spans="1:7" s="55" customFormat="1" ht="16.8" x14ac:dyDescent="0.3">
      <c r="A53" s="56"/>
      <c r="B53" s="16"/>
      <c r="C53" s="16"/>
      <c r="D53" s="16"/>
      <c r="E53" s="16"/>
      <c r="F53" s="16"/>
      <c r="G53" s="57"/>
    </row>
    <row r="54" spans="1:7" s="55" customFormat="1" ht="16.8" x14ac:dyDescent="0.3">
      <c r="A54" s="56"/>
      <c r="B54" s="16"/>
      <c r="C54" s="16"/>
      <c r="D54" s="16"/>
      <c r="E54" s="16"/>
      <c r="F54" s="16"/>
      <c r="G54" s="57"/>
    </row>
    <row r="55" spans="1:7" s="55" customFormat="1" ht="16.8" x14ac:dyDescent="0.3">
      <c r="A55" s="56"/>
      <c r="B55" s="16"/>
      <c r="C55" s="16"/>
      <c r="D55" s="16"/>
      <c r="E55" s="16"/>
      <c r="F55" s="16"/>
      <c r="G55" s="57"/>
    </row>
    <row r="56" spans="1:7" s="55" customFormat="1" ht="16.8" x14ac:dyDescent="0.3">
      <c r="A56" s="56"/>
      <c r="B56" s="16"/>
      <c r="C56" s="16"/>
      <c r="D56" s="16"/>
      <c r="E56" s="16"/>
      <c r="F56" s="16"/>
      <c r="G56" s="57"/>
    </row>
    <row r="57" spans="1:7" s="55" customFormat="1" ht="16.8" x14ac:dyDescent="0.3">
      <c r="A57" s="56"/>
      <c r="B57" s="16"/>
      <c r="C57" s="16"/>
      <c r="D57" s="16"/>
      <c r="E57" s="16"/>
      <c r="F57" s="16"/>
      <c r="G57" s="57"/>
    </row>
    <row r="58" spans="1:7" s="55" customFormat="1" ht="16.8" x14ac:dyDescent="0.3">
      <c r="A58" s="56"/>
      <c r="B58" s="16"/>
      <c r="C58" s="16"/>
      <c r="D58" s="16"/>
      <c r="E58" s="16"/>
      <c r="F58" s="16"/>
      <c r="G58" s="57"/>
    </row>
    <row r="59" spans="1:7" s="55" customFormat="1" ht="16.8" x14ac:dyDescent="0.3">
      <c r="A59" s="56"/>
      <c r="B59" s="16"/>
      <c r="C59" s="16"/>
      <c r="D59" s="16"/>
      <c r="E59" s="16"/>
      <c r="F59" s="16"/>
      <c r="G59" s="57"/>
    </row>
    <row r="60" spans="1:7" s="55" customFormat="1" ht="16.8" x14ac:dyDescent="0.3">
      <c r="A60" s="56"/>
      <c r="B60" s="16"/>
      <c r="C60" s="16"/>
      <c r="D60" s="16"/>
      <c r="E60" s="16"/>
      <c r="F60" s="16"/>
      <c r="G60" s="57"/>
    </row>
    <row r="61" spans="1:7" s="55" customFormat="1" ht="16.8" x14ac:dyDescent="0.3">
      <c r="A61" s="56"/>
      <c r="B61" s="16"/>
      <c r="C61" s="16"/>
      <c r="D61" s="16"/>
      <c r="E61" s="16"/>
      <c r="F61" s="16"/>
      <c r="G61" s="57"/>
    </row>
    <row r="62" spans="1:7" s="55" customFormat="1" ht="16.8" x14ac:dyDescent="0.3">
      <c r="A62" s="56"/>
      <c r="B62" s="16"/>
      <c r="C62" s="16"/>
      <c r="D62" s="16"/>
      <c r="E62" s="16"/>
      <c r="F62" s="16"/>
      <c r="G62" s="57"/>
    </row>
    <row r="63" spans="1:7" s="55" customFormat="1" ht="16.8" x14ac:dyDescent="0.3">
      <c r="A63" s="56"/>
      <c r="B63" s="16"/>
      <c r="C63" s="16"/>
      <c r="D63" s="16"/>
      <c r="E63" s="16"/>
      <c r="F63" s="16"/>
      <c r="G63" s="57"/>
    </row>
    <row r="64" spans="1:7" s="55" customFormat="1" ht="16.8" x14ac:dyDescent="0.3">
      <c r="A64" s="56"/>
      <c r="B64" s="16"/>
      <c r="C64" s="16"/>
      <c r="D64" s="16"/>
      <c r="E64" s="16"/>
      <c r="F64" s="16"/>
      <c r="G64" s="57"/>
    </row>
    <row r="65" spans="1:8" s="55" customFormat="1" ht="16.8" x14ac:dyDescent="0.3">
      <c r="A65" s="56"/>
      <c r="B65" s="16"/>
      <c r="C65" s="16"/>
      <c r="D65" s="16"/>
      <c r="E65" s="16"/>
      <c r="F65" s="16"/>
      <c r="G65" s="57"/>
    </row>
    <row r="66" spans="1:8" s="55" customFormat="1" ht="16.8" x14ac:dyDescent="0.3">
      <c r="A66" s="56"/>
      <c r="B66" s="16"/>
      <c r="C66" s="16"/>
      <c r="D66" s="16"/>
      <c r="E66" s="16"/>
      <c r="F66" s="16"/>
      <c r="G66" s="57"/>
    </row>
    <row r="67" spans="1:8" s="55" customFormat="1" ht="16.8" x14ac:dyDescent="0.3">
      <c r="A67" s="56"/>
      <c r="B67" s="16"/>
      <c r="C67" s="16"/>
      <c r="D67" s="16"/>
      <c r="E67" s="16"/>
      <c r="F67" s="16"/>
      <c r="G67" s="57"/>
    </row>
    <row r="68" spans="1:8" s="55" customFormat="1" ht="16.8" x14ac:dyDescent="0.3">
      <c r="A68" s="56"/>
      <c r="B68" s="16"/>
      <c r="C68" s="16"/>
      <c r="D68" s="16"/>
      <c r="E68" s="16"/>
      <c r="F68" s="16"/>
      <c r="G68" s="57"/>
    </row>
    <row r="69" spans="1:8" s="55" customFormat="1" ht="16.8" x14ac:dyDescent="0.3">
      <c r="A69" s="56"/>
      <c r="B69" s="16"/>
      <c r="C69" s="16"/>
      <c r="D69" s="16"/>
      <c r="E69" s="16"/>
      <c r="F69" s="16"/>
      <c r="G69" s="57"/>
    </row>
    <row r="70" spans="1:8" s="55" customFormat="1" ht="16.8" x14ac:dyDescent="0.3">
      <c r="A70" s="56"/>
      <c r="B70" s="16"/>
      <c r="C70" s="16"/>
      <c r="D70" s="16"/>
      <c r="E70" s="16"/>
      <c r="F70" s="16"/>
      <c r="G70" s="57"/>
    </row>
    <row r="71" spans="1:8" s="55" customFormat="1" ht="16.8" x14ac:dyDescent="0.3">
      <c r="A71" s="56"/>
      <c r="B71" s="16"/>
      <c r="C71" s="16"/>
      <c r="D71" s="16"/>
      <c r="E71" s="16"/>
      <c r="F71" s="16"/>
      <c r="G71" s="57"/>
    </row>
    <row r="72" spans="1:8" s="55" customFormat="1" ht="16.8" x14ac:dyDescent="0.3">
      <c r="A72" s="56"/>
      <c r="B72" s="16"/>
      <c r="C72" s="16"/>
      <c r="D72" s="16"/>
      <c r="E72" s="16"/>
      <c r="F72" s="16"/>
      <c r="G72" s="57"/>
    </row>
    <row r="73" spans="1:8" s="55" customFormat="1" ht="16.8" x14ac:dyDescent="0.3">
      <c r="A73" s="56"/>
      <c r="B73" s="16"/>
      <c r="C73" s="16"/>
      <c r="D73" s="16"/>
      <c r="E73" s="16"/>
      <c r="F73" s="16"/>
      <c r="G73" s="57"/>
    </row>
    <row r="74" spans="1:8" s="55" customFormat="1" ht="16.8" x14ac:dyDescent="0.3">
      <c r="A74" s="56"/>
      <c r="B74" s="16"/>
      <c r="C74" s="16"/>
      <c r="D74" s="16"/>
      <c r="E74" s="16"/>
      <c r="F74" s="16"/>
      <c r="G74" s="57"/>
    </row>
    <row r="75" spans="1:8" s="55" customFormat="1" ht="16.8" x14ac:dyDescent="0.3">
      <c r="A75" s="56"/>
      <c r="B75" s="16"/>
      <c r="C75" s="16"/>
      <c r="D75" s="16"/>
      <c r="E75" s="16"/>
      <c r="F75" s="16"/>
      <c r="G75" s="57"/>
    </row>
    <row r="76" spans="1:8" s="55" customFormat="1" ht="16.8" x14ac:dyDescent="0.3">
      <c r="A76" s="56"/>
      <c r="B76" s="16"/>
      <c r="C76" s="16"/>
      <c r="D76" s="16"/>
      <c r="E76" s="16"/>
      <c r="F76" s="16"/>
      <c r="G76" s="57"/>
    </row>
    <row r="77" spans="1:8" ht="17.399999999999999" thickBot="1" x14ac:dyDescent="0.35">
      <c r="A77" s="58"/>
      <c r="B77" s="59"/>
      <c r="C77" s="59"/>
      <c r="D77" s="59"/>
      <c r="E77" s="59"/>
      <c r="F77" s="59"/>
      <c r="G77" s="60"/>
      <c r="H77" s="55"/>
    </row>
    <row r="78" spans="1:8" ht="16.2" thickTop="1" x14ac:dyDescent="0.3"/>
  </sheetData>
  <phoneticPr fontId="0" type="noConversion"/>
  <conditionalFormatting sqref="E14">
    <cfRule type="cellIs" dxfId="13" priority="4" stopIfTrue="1" operator="greaterThan">
      <formula>116</formula>
    </cfRule>
    <cfRule type="cellIs" dxfId="12" priority="5" stopIfTrue="1" operator="between">
      <formula>58</formula>
      <formula>116</formula>
    </cfRule>
  </conditionalFormatting>
  <hyperlinks>
    <hyperlink ref="G1" r:id="rId1" xr:uid="{00000000-0004-0000-0000-000000000000}"/>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4"/>
  <sheetViews>
    <sheetView showGridLines="0" workbookViewId="0"/>
  </sheetViews>
  <sheetFormatPr defaultColWidth="9" defaultRowHeight="15.6" x14ac:dyDescent="0.3"/>
  <cols>
    <col min="1" max="1" width="52.796875" style="19" customWidth="1"/>
    <col min="2" max="2" width="9.5" style="295" customWidth="1"/>
    <col min="3" max="3" width="6.3984375" style="19" customWidth="1"/>
    <col min="4" max="16384" width="9" style="19"/>
  </cols>
  <sheetData>
    <row r="1" spans="1:3" x14ac:dyDescent="0.3">
      <c r="A1" s="61" t="s">
        <v>135</v>
      </c>
      <c r="B1" s="136" t="str">
        <f>'Personal File'!A1</f>
        <v>Samara</v>
      </c>
      <c r="C1" s="301" t="s">
        <v>134</v>
      </c>
    </row>
    <row r="2" spans="1:3" x14ac:dyDescent="0.3">
      <c r="A2" s="303" t="s">
        <v>133</v>
      </c>
      <c r="B2" s="138" t="s">
        <v>125</v>
      </c>
      <c r="C2" s="302">
        <v>0.1</v>
      </c>
    </row>
    <row r="3" spans="1:3" x14ac:dyDescent="0.3">
      <c r="A3" s="303" t="s">
        <v>143</v>
      </c>
      <c r="B3" s="138" t="s">
        <v>125</v>
      </c>
      <c r="C3" s="302">
        <v>0.1</v>
      </c>
    </row>
    <row r="4" spans="1:3" x14ac:dyDescent="0.3">
      <c r="A4" s="303" t="s">
        <v>132</v>
      </c>
      <c r="B4" s="138" t="s">
        <v>125</v>
      </c>
      <c r="C4" s="302">
        <v>0.1</v>
      </c>
    </row>
    <row r="5" spans="1:3" x14ac:dyDescent="0.3">
      <c r="A5" s="303" t="s">
        <v>131</v>
      </c>
      <c r="B5" s="138" t="s">
        <v>125</v>
      </c>
      <c r="C5" s="302">
        <v>0.1</v>
      </c>
    </row>
    <row r="6" spans="1:3" x14ac:dyDescent="0.3">
      <c r="A6" s="303" t="s">
        <v>130</v>
      </c>
      <c r="B6" s="138" t="s">
        <v>125</v>
      </c>
      <c r="C6" s="302">
        <v>0.1</v>
      </c>
    </row>
    <row r="7" spans="1:3" x14ac:dyDescent="0.3">
      <c r="A7" s="303" t="s">
        <v>129</v>
      </c>
      <c r="B7" s="138" t="s">
        <v>125</v>
      </c>
      <c r="C7" s="302">
        <v>0.1</v>
      </c>
    </row>
    <row r="8" spans="1:3" x14ac:dyDescent="0.3">
      <c r="A8" s="303" t="s">
        <v>128</v>
      </c>
      <c r="B8" s="138" t="s">
        <v>125</v>
      </c>
      <c r="C8" s="302">
        <v>0.1</v>
      </c>
    </row>
    <row r="9" spans="1:3" x14ac:dyDescent="0.3">
      <c r="A9" s="303" t="s">
        <v>127</v>
      </c>
      <c r="B9" s="138" t="s">
        <v>125</v>
      </c>
      <c r="C9" s="302">
        <v>0.1</v>
      </c>
    </row>
    <row r="10" spans="1:3" x14ac:dyDescent="0.3">
      <c r="A10" s="303" t="s">
        <v>126</v>
      </c>
      <c r="B10" s="138" t="s">
        <v>125</v>
      </c>
      <c r="C10" s="302">
        <v>0.1</v>
      </c>
    </row>
    <row r="11" spans="1:3" x14ac:dyDescent="0.3">
      <c r="A11" s="303" t="s">
        <v>124</v>
      </c>
      <c r="B11" s="138" t="s">
        <v>125</v>
      </c>
      <c r="C11" s="302">
        <v>0.1</v>
      </c>
    </row>
    <row r="12" spans="1:3" x14ac:dyDescent="0.3">
      <c r="A12" s="61" t="s">
        <v>56</v>
      </c>
      <c r="B12" s="136"/>
      <c r="C12" s="301">
        <f>SUM(C2:C11)</f>
        <v>0.99999999999999989</v>
      </c>
    </row>
    <row r="13" spans="1:3" x14ac:dyDescent="0.3">
      <c r="A13" s="61"/>
      <c r="B13" s="136"/>
      <c r="C13" s="301"/>
    </row>
    <row r="14" spans="1:3" x14ac:dyDescent="0.3">
      <c r="A14" s="61" t="s">
        <v>123</v>
      </c>
      <c r="B14" s="298">
        <v>2</v>
      </c>
      <c r="C14" s="296"/>
    </row>
    <row r="15" spans="1:3" x14ac:dyDescent="0.3">
      <c r="A15" s="61" t="s">
        <v>122</v>
      </c>
      <c r="B15" s="298">
        <v>5000</v>
      </c>
      <c r="C15" s="296"/>
    </row>
    <row r="16" spans="1:3" x14ac:dyDescent="0.3">
      <c r="A16" s="61" t="s">
        <v>121</v>
      </c>
      <c r="B16" s="298">
        <f>B15*C12/(1+B14)</f>
        <v>1666.6666666666663</v>
      </c>
      <c r="C16" s="296"/>
    </row>
    <row r="17" spans="1:5" x14ac:dyDescent="0.3">
      <c r="A17" s="61" t="s">
        <v>120</v>
      </c>
      <c r="B17" s="300">
        <v>0</v>
      </c>
      <c r="C17" s="299"/>
      <c r="E17" s="627"/>
    </row>
    <row r="18" spans="1:5" x14ac:dyDescent="0.3">
      <c r="A18" s="61" t="s">
        <v>56</v>
      </c>
      <c r="B18" s="297">
        <f>SUM(B16:B17)</f>
        <v>1666.6666666666663</v>
      </c>
      <c r="C18" s="296"/>
    </row>
    <row r="19" spans="1:5" x14ac:dyDescent="0.3">
      <c r="A19" s="61" t="s">
        <v>119</v>
      </c>
      <c r="B19" s="298">
        <v>66000</v>
      </c>
      <c r="C19" s="296"/>
    </row>
    <row r="20" spans="1:5" x14ac:dyDescent="0.3">
      <c r="A20" s="61" t="s">
        <v>118</v>
      </c>
      <c r="B20" s="297">
        <f>SUM(B18:B19)</f>
        <v>67666.666666666672</v>
      </c>
      <c r="C20" s="296"/>
    </row>
    <row r="22" spans="1:5" x14ac:dyDescent="0.3">
      <c r="A22" s="249" t="s">
        <v>117</v>
      </c>
    </row>
    <row r="24" spans="1:5" x14ac:dyDescent="0.3">
      <c r="A24" s="249"/>
    </row>
  </sheetData>
  <pageMargins left="0.75" right="0.75" top="1" bottom="1"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4"/>
  <sheetViews>
    <sheetView showGridLines="0" zoomScaleNormal="100" workbookViewId="0">
      <pane ySplit="2" topLeftCell="A3" activePane="bottomLeft" state="frozen"/>
      <selection pane="bottomLeft" activeCell="A3" sqref="A3"/>
    </sheetView>
  </sheetViews>
  <sheetFormatPr defaultColWidth="13" defaultRowHeight="15.6" x14ac:dyDescent="0.3"/>
  <cols>
    <col min="1" max="1" width="30.3984375" style="61" bestFit="1" customWidth="1"/>
    <col min="2" max="2" width="5.8984375" style="61" bestFit="1" customWidth="1"/>
    <col min="3" max="3" width="7.59765625" style="62" hidden="1" customWidth="1"/>
    <col min="4" max="4" width="5.8984375" style="62" hidden="1" customWidth="1"/>
    <col min="5" max="5" width="9.19921875" style="62" bestFit="1" customWidth="1"/>
    <col min="6" max="6" width="8.19921875" style="62" bestFit="1" customWidth="1"/>
    <col min="7" max="7" width="6" style="62" bestFit="1" customWidth="1"/>
    <col min="8" max="8" width="5.19921875" style="62" bestFit="1" customWidth="1"/>
    <col min="9" max="9" width="6.8984375" style="62" bestFit="1" customWidth="1"/>
    <col min="10" max="10" width="34.69921875" style="61" bestFit="1" customWidth="1"/>
    <col min="11" max="16384" width="13" style="14"/>
  </cols>
  <sheetData>
    <row r="1" spans="1:10" ht="23.4" thickBot="1" x14ac:dyDescent="0.35">
      <c r="A1" s="63" t="s">
        <v>7</v>
      </c>
      <c r="B1" s="64"/>
      <c r="C1" s="64"/>
      <c r="D1" s="64"/>
      <c r="E1" s="64"/>
      <c r="F1" s="64"/>
      <c r="G1" s="64"/>
      <c r="H1" s="64"/>
      <c r="I1" s="64"/>
      <c r="J1" s="64"/>
    </row>
    <row r="2" spans="1:10" s="55" customFormat="1" ht="34.200000000000003" thickBot="1" x14ac:dyDescent="0.35">
      <c r="A2" s="1" t="s">
        <v>465</v>
      </c>
      <c r="B2" s="2" t="s">
        <v>22</v>
      </c>
      <c r="C2" s="2" t="s">
        <v>29</v>
      </c>
      <c r="D2" s="2" t="s">
        <v>21</v>
      </c>
      <c r="E2" s="3" t="s">
        <v>54</v>
      </c>
      <c r="F2" s="3" t="s">
        <v>30</v>
      </c>
      <c r="G2" s="3" t="s">
        <v>56</v>
      </c>
      <c r="H2" s="12" t="s">
        <v>78</v>
      </c>
      <c r="I2" s="2" t="s">
        <v>68</v>
      </c>
      <c r="J2" s="4" t="s">
        <v>0</v>
      </c>
    </row>
    <row r="3" spans="1:10" s="55" customFormat="1" ht="16.8" x14ac:dyDescent="0.3">
      <c r="A3" s="65" t="s">
        <v>58</v>
      </c>
      <c r="B3" s="66">
        <f>1+4+1</f>
        <v>6</v>
      </c>
      <c r="C3" s="66" t="s">
        <v>24</v>
      </c>
      <c r="D3" s="66" t="str">
        <f>IF(C3="Str",'Personal File'!$C$13,IF(C3="Dex",'Personal File'!$C$14,IF(C3="Con",'Personal File'!$C$15,IF(C3="Int",'Personal File'!$C$16,IF(C3="Wis",'Personal File'!$C$17,IF(C3="Cha",'Personal File'!$C$18))))))</f>
        <v>+2</v>
      </c>
      <c r="E3" s="67" t="str">
        <f t="shared" ref="E3:E5" si="0">CONCATENATE(C3," (",D3,")")</f>
        <v>Con (+2)</v>
      </c>
      <c r="F3" s="418">
        <v>0</v>
      </c>
      <c r="G3" s="68">
        <f t="shared" ref="G3:G41" si="1">B3+D3+F3</f>
        <v>8</v>
      </c>
      <c r="H3" s="69">
        <f t="shared" ref="H3:H41" ca="1" si="2">RANDBETWEEN(1,20)</f>
        <v>10</v>
      </c>
      <c r="I3" s="70">
        <f t="shared" ref="I3:I5" ca="1" si="3">SUM(G3:H3)</f>
        <v>18</v>
      </c>
      <c r="J3" s="73" t="s">
        <v>106</v>
      </c>
    </row>
    <row r="4" spans="1:10" s="55" customFormat="1" ht="16.8" x14ac:dyDescent="0.3">
      <c r="A4" s="71" t="s">
        <v>59</v>
      </c>
      <c r="B4" s="66">
        <f>3+4+1</f>
        <v>8</v>
      </c>
      <c r="C4" s="66" t="s">
        <v>27</v>
      </c>
      <c r="D4" s="66" t="str">
        <f>IF(C4="Str",'Personal File'!$C$13,IF(C4="Dex",'Personal File'!$C$14,IF(C4="Con",'Personal File'!$C$15,IF(C4="Int",'Personal File'!$C$16,IF(C4="Wis",'Personal File'!$C$17,IF(C4="Cha",'Personal File'!$C$18))))))</f>
        <v>+0</v>
      </c>
      <c r="E4" s="72" t="str">
        <f t="shared" si="0"/>
        <v>Dex (+0)</v>
      </c>
      <c r="F4" s="418">
        <v>0</v>
      </c>
      <c r="G4" s="68">
        <f t="shared" si="1"/>
        <v>8</v>
      </c>
      <c r="H4" s="69">
        <f t="shared" ca="1" si="2"/>
        <v>19</v>
      </c>
      <c r="I4" s="70">
        <f t="shared" ca="1" si="3"/>
        <v>27</v>
      </c>
      <c r="J4" s="195" t="s">
        <v>464</v>
      </c>
    </row>
    <row r="5" spans="1:10" s="55" customFormat="1" ht="16.8" x14ac:dyDescent="0.3">
      <c r="A5" s="74" t="s">
        <v>60</v>
      </c>
      <c r="B5" s="75">
        <f>3+4+4</f>
        <v>11</v>
      </c>
      <c r="C5" s="75" t="s">
        <v>26</v>
      </c>
      <c r="D5" s="75" t="str">
        <f>IF(C5="Str",'Personal File'!$C$13,IF(C5="Dex",'Personal File'!$C$14,IF(C5="Con",'Personal File'!$C$15,IF(C5="Int",'Personal File'!$C$16,IF(C5="Wis",'Personal File'!$C$17,IF(C5="Cha",'Personal File'!$C$18))))))</f>
        <v>+3</v>
      </c>
      <c r="E5" s="76" t="str">
        <f t="shared" si="0"/>
        <v>Wis (+3)</v>
      </c>
      <c r="F5" s="419">
        <v>0</v>
      </c>
      <c r="G5" s="77">
        <f t="shared" si="1"/>
        <v>14</v>
      </c>
      <c r="H5" s="78">
        <f t="shared" ca="1" si="2"/>
        <v>19</v>
      </c>
      <c r="I5" s="79">
        <f t="shared" ca="1" si="3"/>
        <v>33</v>
      </c>
      <c r="J5" s="208" t="s">
        <v>109</v>
      </c>
    </row>
    <row r="6" spans="1:10" s="86" customFormat="1" ht="16.8" x14ac:dyDescent="0.3">
      <c r="A6" s="80" t="s">
        <v>31</v>
      </c>
      <c r="B6" s="66">
        <v>0</v>
      </c>
      <c r="C6" s="81" t="s">
        <v>25</v>
      </c>
      <c r="D6" s="82" t="str">
        <f>IF(C6="Str",'Personal File'!$C$13,IF(C6="Dex",'Personal File'!$C$14,IF(C6="Con",'Personal File'!$C$15,IF(C6="Int",'Personal File'!$C$16,IF(C6="Wis",'Personal File'!$C$17,IF(C6="Cha",'Personal File'!$C$18))))))</f>
        <v>+3</v>
      </c>
      <c r="E6" s="83" t="str">
        <f t="shared" ref="E6:E41" si="4">CONCATENATE(C6," (",D6,")")</f>
        <v>Int (+3)</v>
      </c>
      <c r="F6" s="84" t="s">
        <v>55</v>
      </c>
      <c r="G6" s="84">
        <f t="shared" si="1"/>
        <v>3</v>
      </c>
      <c r="H6" s="69">
        <f t="shared" ca="1" si="2"/>
        <v>12</v>
      </c>
      <c r="I6" s="84">
        <f t="shared" ref="I6:I7" ca="1" si="5">SUM(G6:H6)</f>
        <v>15</v>
      </c>
      <c r="J6" s="85"/>
    </row>
    <row r="7" spans="1:10" s="91" customFormat="1" ht="16.8" x14ac:dyDescent="0.3">
      <c r="A7" s="87" t="s">
        <v>32</v>
      </c>
      <c r="B7" s="66">
        <v>0</v>
      </c>
      <c r="C7" s="88" t="s">
        <v>27</v>
      </c>
      <c r="D7" s="89" t="str">
        <f>IF(C7="Str",'Personal File'!$C$13,IF(C7="Dex",'Personal File'!$C$14,IF(C7="Con",'Personal File'!$C$15,IF(C7="Int",'Personal File'!$C$16,IF(C7="Wis",'Personal File'!$C$17,IF(C7="Cha",'Personal File'!$C$18))))))</f>
        <v>+0</v>
      </c>
      <c r="E7" s="72" t="str">
        <f t="shared" si="4"/>
        <v>Dex (+0)</v>
      </c>
      <c r="F7" s="506">
        <f>SUM(Martial!$D$28:$D$29)</f>
        <v>-1</v>
      </c>
      <c r="G7" s="84">
        <f t="shared" si="1"/>
        <v>-1</v>
      </c>
      <c r="H7" s="90">
        <f t="shared" ca="1" si="2"/>
        <v>9</v>
      </c>
      <c r="I7" s="84">
        <f t="shared" ca="1" si="5"/>
        <v>8</v>
      </c>
      <c r="J7" s="85"/>
    </row>
    <row r="8" spans="1:10" s="96" customFormat="1" ht="16.8" x14ac:dyDescent="0.3">
      <c r="A8" s="92" t="s">
        <v>33</v>
      </c>
      <c r="B8" s="66">
        <v>0</v>
      </c>
      <c r="C8" s="93" t="s">
        <v>23</v>
      </c>
      <c r="D8" s="94" t="str">
        <f>IF(C8="Str",'Personal File'!$C$13,IF(C8="Dex",'Personal File'!$C$14,IF(C8="Con",'Personal File'!$C$15,IF(C8="Int",'Personal File'!$C$16,IF(C8="Wis",'Personal File'!$C$17,IF(C8="Cha",'Personal File'!$C$18))))))</f>
        <v>+4</v>
      </c>
      <c r="E8" s="95" t="str">
        <f t="shared" si="4"/>
        <v>Cha (+4)</v>
      </c>
      <c r="F8" s="84" t="s">
        <v>55</v>
      </c>
      <c r="G8" s="84">
        <f t="shared" si="1"/>
        <v>4</v>
      </c>
      <c r="H8" s="90">
        <f t="shared" ca="1" si="2"/>
        <v>1</v>
      </c>
      <c r="I8" s="84">
        <f t="shared" ref="I8:I41" ca="1" si="6">SUM(G8:H8)</f>
        <v>5</v>
      </c>
      <c r="J8" s="85"/>
    </row>
    <row r="9" spans="1:10" s="100" customFormat="1" ht="16.8" x14ac:dyDescent="0.3">
      <c r="A9" s="117" t="s">
        <v>34</v>
      </c>
      <c r="B9" s="66">
        <v>0</v>
      </c>
      <c r="C9" s="118" t="s">
        <v>28</v>
      </c>
      <c r="D9" s="119">
        <f>IF(C9="Str",'Personal File'!$C$13,IF(C9="Dex",'Personal File'!$C$14,IF(C9="Con",'Personal File'!$C$15,IF(C9="Int",'Personal File'!$C$16,IF(C9="Wis",'Personal File'!$C$17,IF(C9="Cha",'Personal File'!$C$18))))))</f>
        <v>-2</v>
      </c>
      <c r="E9" s="120" t="str">
        <f t="shared" si="4"/>
        <v>Str (-2)</v>
      </c>
      <c r="F9" s="506">
        <f>SUM(Martial!$D$28:$D$29)</f>
        <v>-1</v>
      </c>
      <c r="G9" s="84">
        <f t="shared" si="1"/>
        <v>-3</v>
      </c>
      <c r="H9" s="90">
        <f t="shared" ca="1" si="2"/>
        <v>14</v>
      </c>
      <c r="I9" s="84">
        <f t="shared" ca="1" si="6"/>
        <v>11</v>
      </c>
      <c r="J9" s="85"/>
    </row>
    <row r="10" spans="1:10" s="100" customFormat="1" ht="16.8" x14ac:dyDescent="0.3">
      <c r="A10" s="203" t="s">
        <v>8</v>
      </c>
      <c r="B10" s="97">
        <v>13</v>
      </c>
      <c r="C10" s="204" t="s">
        <v>24</v>
      </c>
      <c r="D10" s="205" t="str">
        <f>IF(C10="Str",'Personal File'!$C$13,IF(C10="Dex",'Personal File'!$C$14,IF(C10="Con",'Personal File'!$C$15,IF(C10="Int",'Personal File'!$C$16,IF(C10="Wis",'Personal File'!$C$17,IF(C10="Cha",'Personal File'!$C$18))))))</f>
        <v>+2</v>
      </c>
      <c r="E10" s="206" t="str">
        <f t="shared" si="4"/>
        <v>Con (+2)</v>
      </c>
      <c r="F10" s="98" t="s">
        <v>55</v>
      </c>
      <c r="G10" s="98">
        <f t="shared" si="1"/>
        <v>15</v>
      </c>
      <c r="H10" s="90">
        <f t="shared" ca="1" si="2"/>
        <v>13</v>
      </c>
      <c r="I10" s="98">
        <f t="shared" ca="1" si="6"/>
        <v>28</v>
      </c>
      <c r="J10" s="99"/>
    </row>
    <row r="11" spans="1:10" s="86" customFormat="1" ht="16.8" x14ac:dyDescent="0.3">
      <c r="A11" s="80" t="s">
        <v>89</v>
      </c>
      <c r="B11" s="66">
        <v>0</v>
      </c>
      <c r="C11" s="81" t="s">
        <v>25</v>
      </c>
      <c r="D11" s="82" t="str">
        <f>IF(C11="Str",'Personal File'!$C$13,IF(C11="Dex",'Personal File'!$C$14,IF(C11="Con",'Personal File'!$C$15,IF(C11="Int",'Personal File'!$C$16,IF(C11="Wis",'Personal File'!$C$17,IF(C11="Cha",'Personal File'!$C$18))))))</f>
        <v>+3</v>
      </c>
      <c r="E11" s="83" t="str">
        <f t="shared" ref="E11" si="7">CONCATENATE(C11," (",D11,")")</f>
        <v>Int (+3)</v>
      </c>
      <c r="F11" s="84" t="s">
        <v>55</v>
      </c>
      <c r="G11" s="84">
        <f t="shared" si="1"/>
        <v>3</v>
      </c>
      <c r="H11" s="90">
        <f t="shared" ca="1" si="2"/>
        <v>20</v>
      </c>
      <c r="I11" s="84">
        <f t="shared" ca="1" si="6"/>
        <v>23</v>
      </c>
      <c r="J11" s="85"/>
    </row>
    <row r="12" spans="1:10" s="112" customFormat="1" ht="16.8" x14ac:dyDescent="0.3">
      <c r="A12" s="105" t="s">
        <v>35</v>
      </c>
      <c r="B12" s="106">
        <v>0</v>
      </c>
      <c r="C12" s="107" t="s">
        <v>25</v>
      </c>
      <c r="D12" s="108" t="str">
        <f>IF(C12="Str",'Personal File'!$C$13,IF(C12="Dex",'Personal File'!$C$14,IF(C12="Con",'Personal File'!$C$15,IF(C12="Int",'Personal File'!$C$16,IF(C12="Wis",'Personal File'!$C$17,IF(C12="Cha",'Personal File'!$C$18))))))</f>
        <v>+3</v>
      </c>
      <c r="E12" s="109" t="str">
        <f t="shared" si="4"/>
        <v>Int (+3)</v>
      </c>
      <c r="F12" s="110" t="s">
        <v>55</v>
      </c>
      <c r="G12" s="110">
        <f t="shared" si="1"/>
        <v>3</v>
      </c>
      <c r="H12" s="90">
        <f t="shared" ca="1" si="2"/>
        <v>10</v>
      </c>
      <c r="I12" s="110">
        <f t="shared" ca="1" si="6"/>
        <v>13</v>
      </c>
      <c r="J12" s="111"/>
    </row>
    <row r="13" spans="1:10" s="91" customFormat="1" ht="16.8" x14ac:dyDescent="0.3">
      <c r="A13" s="502" t="s">
        <v>36</v>
      </c>
      <c r="B13" s="97">
        <v>1</v>
      </c>
      <c r="C13" s="503" t="s">
        <v>23</v>
      </c>
      <c r="D13" s="504" t="str">
        <f>IF(C13="Str",'Personal File'!$C$13,IF(C13="Dex",'Personal File'!$C$14,IF(C13="Con",'Personal File'!$C$15,IF(C13="Int",'Personal File'!$C$16,IF(C13="Wis",'Personal File'!$C$17,IF(C13="Cha",'Personal File'!$C$18))))))</f>
        <v>+4</v>
      </c>
      <c r="E13" s="505" t="str">
        <f t="shared" si="4"/>
        <v>Cha (+4)</v>
      </c>
      <c r="F13" s="98" t="s">
        <v>55</v>
      </c>
      <c r="G13" s="98">
        <f t="shared" si="1"/>
        <v>5</v>
      </c>
      <c r="H13" s="90">
        <f t="shared" ca="1" si="2"/>
        <v>10</v>
      </c>
      <c r="I13" s="98">
        <f t="shared" ca="1" si="6"/>
        <v>15</v>
      </c>
      <c r="J13" s="99"/>
    </row>
    <row r="14" spans="1:10" s="91" customFormat="1" ht="16.8" x14ac:dyDescent="0.3">
      <c r="A14" s="105" t="s">
        <v>37</v>
      </c>
      <c r="B14" s="106">
        <v>0</v>
      </c>
      <c r="C14" s="107" t="s">
        <v>25</v>
      </c>
      <c r="D14" s="108" t="str">
        <f>IF(C14="Str",'Personal File'!$C$13,IF(C14="Dex",'Personal File'!$C$14,IF(C14="Con",'Personal File'!$C$15,IF(C14="Int",'Personal File'!$C$16,IF(C14="Wis",'Personal File'!$C$17,IF(C14="Cha",'Personal File'!$C$18))))))</f>
        <v>+3</v>
      </c>
      <c r="E14" s="109" t="str">
        <f t="shared" si="4"/>
        <v>Int (+3)</v>
      </c>
      <c r="F14" s="110" t="s">
        <v>55</v>
      </c>
      <c r="G14" s="110">
        <f t="shared" si="1"/>
        <v>3</v>
      </c>
      <c r="H14" s="90">
        <f t="shared" ca="1" si="2"/>
        <v>14</v>
      </c>
      <c r="I14" s="110">
        <f t="shared" ca="1" si="6"/>
        <v>17</v>
      </c>
      <c r="J14" s="111"/>
    </row>
    <row r="15" spans="1:10" s="91" customFormat="1" ht="16.8" x14ac:dyDescent="0.3">
      <c r="A15" s="502" t="s">
        <v>38</v>
      </c>
      <c r="B15" s="97">
        <v>13</v>
      </c>
      <c r="C15" s="503" t="s">
        <v>23</v>
      </c>
      <c r="D15" s="504" t="str">
        <f>IF(C15="Str",'Personal File'!$C$13,IF(C15="Dex",'Personal File'!$C$14,IF(C15="Con",'Personal File'!$C$15,IF(C15="Int",'Personal File'!$C$16,IF(C15="Wis",'Personal File'!$C$17,IF(C15="Cha",'Personal File'!$C$18))))))</f>
        <v>+4</v>
      </c>
      <c r="E15" s="505" t="str">
        <f t="shared" si="4"/>
        <v>Cha (+4)</v>
      </c>
      <c r="F15" s="98" t="s">
        <v>55</v>
      </c>
      <c r="G15" s="98">
        <f t="shared" si="1"/>
        <v>17</v>
      </c>
      <c r="H15" s="90">
        <f t="shared" ca="1" si="2"/>
        <v>4</v>
      </c>
      <c r="I15" s="98">
        <f t="shared" ca="1" si="6"/>
        <v>21</v>
      </c>
      <c r="J15" s="99"/>
    </row>
    <row r="16" spans="1:10" s="91" customFormat="1" ht="16.8" x14ac:dyDescent="0.3">
      <c r="A16" s="87" t="s">
        <v>39</v>
      </c>
      <c r="B16" s="66">
        <v>0</v>
      </c>
      <c r="C16" s="88" t="s">
        <v>27</v>
      </c>
      <c r="D16" s="89" t="str">
        <f>IF(C16="Str",'Personal File'!$C$13,IF(C16="Dex",'Personal File'!$C$14,IF(C16="Con",'Personal File'!$C$15,IF(C16="Int",'Personal File'!$C$16,IF(C16="Wis",'Personal File'!$C$17,IF(C16="Cha",'Personal File'!$C$18))))))</f>
        <v>+0</v>
      </c>
      <c r="E16" s="72" t="str">
        <f t="shared" si="4"/>
        <v>Dex (+0)</v>
      </c>
      <c r="F16" s="506">
        <f>SUM(Martial!$D$28:$D$29)</f>
        <v>-1</v>
      </c>
      <c r="G16" s="84">
        <f t="shared" si="1"/>
        <v>-1</v>
      </c>
      <c r="H16" s="90">
        <f t="shared" ca="1" si="2"/>
        <v>16</v>
      </c>
      <c r="I16" s="84">
        <f t="shared" ca="1" si="6"/>
        <v>15</v>
      </c>
      <c r="J16" s="85"/>
    </row>
    <row r="17" spans="1:10" s="91" customFormat="1" ht="16.8" x14ac:dyDescent="0.3">
      <c r="A17" s="80" t="s">
        <v>40</v>
      </c>
      <c r="B17" s="66">
        <v>0</v>
      </c>
      <c r="C17" s="81" t="s">
        <v>25</v>
      </c>
      <c r="D17" s="82" t="str">
        <f>IF(C17="Str",'Personal File'!$C$13,IF(C17="Dex",'Personal File'!$C$14,IF(C17="Con",'Personal File'!$C$15,IF(C17="Int",'Personal File'!$C$16,IF(C17="Wis",'Personal File'!$C$17,IF(C17="Cha",'Personal File'!$C$18))))))</f>
        <v>+3</v>
      </c>
      <c r="E17" s="83" t="str">
        <f t="shared" si="4"/>
        <v>Int (+3)</v>
      </c>
      <c r="F17" s="84" t="s">
        <v>55</v>
      </c>
      <c r="G17" s="84">
        <f t="shared" si="1"/>
        <v>3</v>
      </c>
      <c r="H17" s="90">
        <f t="shared" ca="1" si="2"/>
        <v>7</v>
      </c>
      <c r="I17" s="84">
        <f t="shared" ca="1" si="6"/>
        <v>10</v>
      </c>
      <c r="J17" s="85"/>
    </row>
    <row r="18" spans="1:10" s="91" customFormat="1" ht="16.8" x14ac:dyDescent="0.3">
      <c r="A18" s="502" t="s">
        <v>41</v>
      </c>
      <c r="B18" s="97">
        <v>5</v>
      </c>
      <c r="C18" s="503" t="s">
        <v>23</v>
      </c>
      <c r="D18" s="504" t="str">
        <f>IF(C18="Str",'Personal File'!$C$13,IF(C18="Dex",'Personal File'!$C$14,IF(C18="Con",'Personal File'!$C$15,IF(C18="Int",'Personal File'!$C$16,IF(C18="Wis",'Personal File'!$C$17,IF(C18="Cha",'Personal File'!$C$18))))))</f>
        <v>+4</v>
      </c>
      <c r="E18" s="505" t="str">
        <f t="shared" si="4"/>
        <v>Cha (+4)</v>
      </c>
      <c r="F18" s="98" t="s">
        <v>55</v>
      </c>
      <c r="G18" s="98">
        <f t="shared" si="1"/>
        <v>9</v>
      </c>
      <c r="H18" s="90">
        <f t="shared" ca="1" si="2"/>
        <v>11</v>
      </c>
      <c r="I18" s="98">
        <f t="shared" ca="1" si="6"/>
        <v>20</v>
      </c>
      <c r="J18" s="99"/>
    </row>
    <row r="19" spans="1:10" s="91" customFormat="1" ht="16.8" x14ac:dyDescent="0.3">
      <c r="A19" s="92" t="s">
        <v>10</v>
      </c>
      <c r="B19" s="66">
        <v>0</v>
      </c>
      <c r="C19" s="93" t="s">
        <v>23</v>
      </c>
      <c r="D19" s="94" t="str">
        <f>IF(C19="Str",'Personal File'!$C$13,IF(C19="Dex",'Personal File'!$C$14,IF(C19="Con",'Personal File'!$C$15,IF(C19="Int",'Personal File'!$C$16,IF(C19="Wis",'Personal File'!$C$17,IF(C19="Cha",'Personal File'!$C$18))))))</f>
        <v>+4</v>
      </c>
      <c r="E19" s="95" t="str">
        <f t="shared" si="4"/>
        <v>Cha (+4)</v>
      </c>
      <c r="F19" s="84" t="s">
        <v>55</v>
      </c>
      <c r="G19" s="84">
        <f t="shared" si="1"/>
        <v>4</v>
      </c>
      <c r="H19" s="90">
        <f t="shared" ca="1" si="2"/>
        <v>18</v>
      </c>
      <c r="I19" s="84">
        <f t="shared" ca="1" si="6"/>
        <v>22</v>
      </c>
      <c r="J19" s="85"/>
    </row>
    <row r="20" spans="1:10" s="91" customFormat="1" ht="16.8" x14ac:dyDescent="0.3">
      <c r="A20" s="130" t="s">
        <v>42</v>
      </c>
      <c r="B20" s="66">
        <v>0</v>
      </c>
      <c r="C20" s="131" t="s">
        <v>26</v>
      </c>
      <c r="D20" s="132" t="str">
        <f>IF(C20="Str",'Personal File'!$C$13,IF(C20="Dex",'Personal File'!$C$14,IF(C20="Con",'Personal File'!$C$15,IF(C20="Int",'Personal File'!$C$16,IF(C20="Wis",'Personal File'!$C$17,IF(C20="Cha",'Personal File'!$C$18))))))</f>
        <v>+3</v>
      </c>
      <c r="E20" s="133" t="str">
        <f t="shared" si="4"/>
        <v>Wis (+3)</v>
      </c>
      <c r="F20" s="84" t="s">
        <v>55</v>
      </c>
      <c r="G20" s="84">
        <f t="shared" si="1"/>
        <v>3</v>
      </c>
      <c r="H20" s="90">
        <f t="shared" ca="1" si="2"/>
        <v>10</v>
      </c>
      <c r="I20" s="84">
        <f t="shared" ca="1" si="6"/>
        <v>13</v>
      </c>
      <c r="J20" s="85"/>
    </row>
    <row r="21" spans="1:10" s="91" customFormat="1" ht="16.8" x14ac:dyDescent="0.3">
      <c r="A21" s="87" t="s">
        <v>43</v>
      </c>
      <c r="B21" s="66">
        <v>0</v>
      </c>
      <c r="C21" s="88" t="s">
        <v>27</v>
      </c>
      <c r="D21" s="89" t="str">
        <f>IF(C21="Str",'Personal File'!$C$13,IF(C21="Dex",'Personal File'!$C$14,IF(C21="Con",'Personal File'!$C$15,IF(C21="Int",'Personal File'!$C$16,IF(C21="Wis",'Personal File'!$C$17,IF(C21="Cha",'Personal File'!$C$18))))))</f>
        <v>+0</v>
      </c>
      <c r="E21" s="72" t="str">
        <f t="shared" si="4"/>
        <v>Dex (+0)</v>
      </c>
      <c r="F21" s="506">
        <f>SUM(Martial!$D$28:$D$29)</f>
        <v>-1</v>
      </c>
      <c r="G21" s="84">
        <f t="shared" si="1"/>
        <v>-1</v>
      </c>
      <c r="H21" s="90">
        <f t="shared" ca="1" si="2"/>
        <v>17</v>
      </c>
      <c r="I21" s="84">
        <f t="shared" ca="1" si="6"/>
        <v>16</v>
      </c>
      <c r="J21" s="85"/>
    </row>
    <row r="22" spans="1:10" s="91" customFormat="1" ht="16.8" x14ac:dyDescent="0.3">
      <c r="A22" s="92" t="s">
        <v>44</v>
      </c>
      <c r="B22" s="66">
        <v>0</v>
      </c>
      <c r="C22" s="93" t="s">
        <v>23</v>
      </c>
      <c r="D22" s="94" t="str">
        <f>IF(C22="Str",'Personal File'!$C$13,IF(C22="Dex",'Personal File'!$C$14,IF(C22="Con",'Personal File'!$C$15,IF(C22="Int",'Personal File'!$C$16,IF(C22="Wis",'Personal File'!$C$17,IF(C22="Cha",'Personal File'!$C$18))))))</f>
        <v>+4</v>
      </c>
      <c r="E22" s="95" t="str">
        <f t="shared" si="4"/>
        <v>Cha (+4)</v>
      </c>
      <c r="F22" s="84" t="s">
        <v>55</v>
      </c>
      <c r="G22" s="84">
        <f t="shared" si="1"/>
        <v>4</v>
      </c>
      <c r="H22" s="90">
        <f t="shared" ca="1" si="2"/>
        <v>16</v>
      </c>
      <c r="I22" s="84">
        <f t="shared" ca="1" si="6"/>
        <v>20</v>
      </c>
      <c r="J22" s="85"/>
    </row>
    <row r="23" spans="1:10" s="91" customFormat="1" ht="16.8" x14ac:dyDescent="0.3">
      <c r="A23" s="117" t="s">
        <v>45</v>
      </c>
      <c r="B23" s="66">
        <v>0</v>
      </c>
      <c r="C23" s="118" t="s">
        <v>28</v>
      </c>
      <c r="D23" s="119">
        <f>IF(C23="Str",'Personal File'!$C$13,IF(C23="Dex",'Personal File'!$C$14,IF(C23="Con",'Personal File'!$C$15,IF(C23="Int",'Personal File'!$C$16,IF(C23="Wis",'Personal File'!$C$17,IF(C23="Cha",'Personal File'!$C$18))))))</f>
        <v>-2</v>
      </c>
      <c r="E23" s="120" t="str">
        <f t="shared" si="4"/>
        <v>Str (-2)</v>
      </c>
      <c r="F23" s="506">
        <f>SUM(Martial!$D$28:$D$29)</f>
        <v>-1</v>
      </c>
      <c r="G23" s="84">
        <f t="shared" si="1"/>
        <v>-3</v>
      </c>
      <c r="H23" s="90">
        <f t="shared" ca="1" si="2"/>
        <v>8</v>
      </c>
      <c r="I23" s="84">
        <f t="shared" ca="1" si="6"/>
        <v>5</v>
      </c>
      <c r="J23" s="85"/>
    </row>
    <row r="24" spans="1:10" s="91" customFormat="1" ht="16.8" x14ac:dyDescent="0.3">
      <c r="A24" s="101" t="s">
        <v>235</v>
      </c>
      <c r="B24" s="97">
        <v>7</v>
      </c>
      <c r="C24" s="102" t="s">
        <v>25</v>
      </c>
      <c r="D24" s="103" t="str">
        <f>IF(C24="Str",'Personal File'!$C$13,IF(C24="Dex",'Personal File'!$C$14,IF(C24="Con",'Personal File'!$C$15,IF(C24="Int",'Personal File'!$C$16,IF(C24="Wis",'Personal File'!$C$17,IF(C24="Cha",'Personal File'!$C$18))))))</f>
        <v>+3</v>
      </c>
      <c r="E24" s="104" t="str">
        <f t="shared" ref="E24" si="8">CONCATENATE(C24," (",D24,")")</f>
        <v>Int (+3)</v>
      </c>
      <c r="F24" s="98" t="s">
        <v>55</v>
      </c>
      <c r="G24" s="98">
        <f t="shared" ref="G24" si="9">B24+D24+F24</f>
        <v>10</v>
      </c>
      <c r="H24" s="90">
        <f t="shared" ca="1" si="2"/>
        <v>6</v>
      </c>
      <c r="I24" s="98">
        <f t="shared" ref="I24" ca="1" si="10">SUM(G24:H24)</f>
        <v>16</v>
      </c>
      <c r="J24" s="99" t="s">
        <v>309</v>
      </c>
    </row>
    <row r="25" spans="1:10" s="91" customFormat="1" ht="16.8" x14ac:dyDescent="0.3">
      <c r="A25" s="130" t="s">
        <v>46</v>
      </c>
      <c r="B25" s="66">
        <v>0</v>
      </c>
      <c r="C25" s="131" t="s">
        <v>26</v>
      </c>
      <c r="D25" s="132" t="str">
        <f>IF(C25="Str",'Personal File'!$C$13,IF(C25="Dex",'Personal File'!$C$14,IF(C25="Con",'Personal File'!$C$15,IF(C25="Int",'Personal File'!$C$16,IF(C25="Wis",'Personal File'!$C$17,IF(C25="Cha",'Personal File'!$C$18))))))</f>
        <v>+3</v>
      </c>
      <c r="E25" s="133" t="str">
        <f t="shared" si="4"/>
        <v>Wis (+3)</v>
      </c>
      <c r="F25" s="84" t="s">
        <v>55</v>
      </c>
      <c r="G25" s="84">
        <f t="shared" si="1"/>
        <v>3</v>
      </c>
      <c r="H25" s="90">
        <f t="shared" ca="1" si="2"/>
        <v>4</v>
      </c>
      <c r="I25" s="84">
        <f t="shared" ca="1" si="6"/>
        <v>7</v>
      </c>
      <c r="J25" s="85"/>
    </row>
    <row r="26" spans="1:10" s="91" customFormat="1" ht="16.8" x14ac:dyDescent="0.3">
      <c r="A26" s="126" t="s">
        <v>11</v>
      </c>
      <c r="B26" s="97">
        <v>4</v>
      </c>
      <c r="C26" s="127" t="s">
        <v>27</v>
      </c>
      <c r="D26" s="128" t="str">
        <f>IF(C26="Str",'Personal File'!$C$13,IF(C26="Dex",'Personal File'!$C$14,IF(C26="Con",'Personal File'!$C$15,IF(C26="Int",'Personal File'!$C$16,IF(C26="Wis",'Personal File'!$C$17,IF(C26="Cha",'Personal File'!$C$18))))))</f>
        <v>+0</v>
      </c>
      <c r="E26" s="129" t="str">
        <f t="shared" si="4"/>
        <v>Dex (+0)</v>
      </c>
      <c r="F26" s="98">
        <f>SUM(Martial!$D$28:$D$29)</f>
        <v>-1</v>
      </c>
      <c r="G26" s="98">
        <f t="shared" si="1"/>
        <v>3</v>
      </c>
      <c r="H26" s="90">
        <f t="shared" ca="1" si="2"/>
        <v>14</v>
      </c>
      <c r="I26" s="98">
        <f t="shared" ca="1" si="6"/>
        <v>17</v>
      </c>
      <c r="J26" s="99"/>
    </row>
    <row r="27" spans="1:10" s="91" customFormat="1" ht="16.8" x14ac:dyDescent="0.3">
      <c r="A27" s="121" t="s">
        <v>47</v>
      </c>
      <c r="B27" s="106">
        <v>0</v>
      </c>
      <c r="C27" s="122" t="s">
        <v>27</v>
      </c>
      <c r="D27" s="123" t="str">
        <f>IF(C27="Str",'Personal File'!$C$13,IF(C27="Dex",'Personal File'!$C$14,IF(C27="Con",'Personal File'!$C$15,IF(C27="Int",'Personal File'!$C$16,IF(C27="Wis",'Personal File'!$C$17,IF(C27="Cha",'Personal File'!$C$18))))))</f>
        <v>+0</v>
      </c>
      <c r="E27" s="124" t="str">
        <f t="shared" si="4"/>
        <v>Dex (+0)</v>
      </c>
      <c r="F27" s="110" t="s">
        <v>55</v>
      </c>
      <c r="G27" s="110">
        <f t="shared" si="1"/>
        <v>0</v>
      </c>
      <c r="H27" s="90">
        <f t="shared" ca="1" si="2"/>
        <v>2</v>
      </c>
      <c r="I27" s="110">
        <f t="shared" ca="1" si="6"/>
        <v>2</v>
      </c>
      <c r="J27" s="111"/>
    </row>
    <row r="28" spans="1:10" ht="16.8" x14ac:dyDescent="0.3">
      <c r="A28" s="92" t="s">
        <v>79</v>
      </c>
      <c r="B28" s="66">
        <v>0</v>
      </c>
      <c r="C28" s="93" t="s">
        <v>23</v>
      </c>
      <c r="D28" s="94" t="str">
        <f>IF(C28="Str",'Personal File'!$C$13,IF(C28="Dex",'Personal File'!$C$14,IF(C28="Con",'Personal File'!$C$15,IF(C28="Int",'Personal File'!$C$16,IF(C28="Wis",'Personal File'!$C$17,IF(C28="Cha",'Personal File'!$C$18))))))</f>
        <v>+4</v>
      </c>
      <c r="E28" s="95" t="str">
        <f t="shared" si="4"/>
        <v>Cha (+4)</v>
      </c>
      <c r="F28" s="84" t="s">
        <v>55</v>
      </c>
      <c r="G28" s="84">
        <f t="shared" si="1"/>
        <v>4</v>
      </c>
      <c r="H28" s="90">
        <f t="shared" ca="1" si="2"/>
        <v>19</v>
      </c>
      <c r="I28" s="84">
        <f t="shared" ca="1" si="6"/>
        <v>23</v>
      </c>
      <c r="J28" s="85"/>
    </row>
    <row r="29" spans="1:10" ht="16.8" x14ac:dyDescent="0.3">
      <c r="A29" s="125" t="s">
        <v>161</v>
      </c>
      <c r="B29" s="106">
        <v>0</v>
      </c>
      <c r="C29" s="423" t="s">
        <v>26</v>
      </c>
      <c r="D29" s="424" t="str">
        <f>IF(C29="Str",'Personal File'!$C$13,IF(C29="Dex",'Personal File'!$C$14,IF(C29="Con",'Personal File'!$C$15,IF(C29="Int",'Personal File'!$C$16,IF(C29="Wis",'Personal File'!$C$17,IF(C29="Cha",'Personal File'!$C$18))))))</f>
        <v>+3</v>
      </c>
      <c r="E29" s="425" t="str">
        <f t="shared" ref="E29" si="11">CONCATENATE(C29," (",D29,")")</f>
        <v>Wis (+3)</v>
      </c>
      <c r="F29" s="110" t="s">
        <v>55</v>
      </c>
      <c r="G29" s="110">
        <f t="shared" si="1"/>
        <v>3</v>
      </c>
      <c r="H29" s="90">
        <f t="shared" ca="1" si="2"/>
        <v>19</v>
      </c>
      <c r="I29" s="110">
        <f t="shared" ca="1" si="6"/>
        <v>22</v>
      </c>
      <c r="J29" s="111"/>
    </row>
    <row r="30" spans="1:10" ht="16.8" x14ac:dyDescent="0.3">
      <c r="A30" s="87" t="s">
        <v>12</v>
      </c>
      <c r="B30" s="66">
        <v>0</v>
      </c>
      <c r="C30" s="88" t="s">
        <v>27</v>
      </c>
      <c r="D30" s="89" t="str">
        <f>IF(C30="Str",'Personal File'!$C$13,IF(C30="Dex",'Personal File'!$C$14,IF(C30="Con",'Personal File'!$C$15,IF(C30="Int",'Personal File'!$C$16,IF(C30="Wis",'Personal File'!$C$17,IF(C30="Cha",'Personal File'!$C$18))))))</f>
        <v>+0</v>
      </c>
      <c r="E30" s="72" t="str">
        <f t="shared" si="4"/>
        <v>Dex (+0)</v>
      </c>
      <c r="F30" s="84" t="s">
        <v>55</v>
      </c>
      <c r="G30" s="84">
        <f t="shared" si="1"/>
        <v>0</v>
      </c>
      <c r="H30" s="90">
        <f t="shared" ca="1" si="2"/>
        <v>3</v>
      </c>
      <c r="I30" s="84">
        <f t="shared" ca="1" si="6"/>
        <v>3</v>
      </c>
      <c r="J30" s="85"/>
    </row>
    <row r="31" spans="1:10" ht="16.8" x14ac:dyDescent="0.3">
      <c r="A31" s="101" t="s">
        <v>13</v>
      </c>
      <c r="B31" s="97">
        <v>3</v>
      </c>
      <c r="C31" s="102" t="s">
        <v>25</v>
      </c>
      <c r="D31" s="103" t="str">
        <f>IF(C31="Str",'Personal File'!$C$13,IF(C31="Dex",'Personal File'!$C$14,IF(C31="Con",'Personal File'!$C$15,IF(C31="Int",'Personal File'!$C$16,IF(C31="Wis",'Personal File'!$C$17,IF(C31="Cha",'Personal File'!$C$18))))))</f>
        <v>+3</v>
      </c>
      <c r="E31" s="104" t="str">
        <f t="shared" si="4"/>
        <v>Int (+3)</v>
      </c>
      <c r="F31" s="98" t="s">
        <v>55</v>
      </c>
      <c r="G31" s="98">
        <f t="shared" si="1"/>
        <v>6</v>
      </c>
      <c r="H31" s="90">
        <f t="shared" ca="1" si="2"/>
        <v>14</v>
      </c>
      <c r="I31" s="98">
        <f t="shared" ca="1" si="6"/>
        <v>20</v>
      </c>
      <c r="J31" s="99"/>
    </row>
    <row r="32" spans="1:10" ht="16.8" x14ac:dyDescent="0.3">
      <c r="A32" s="113" t="s">
        <v>48</v>
      </c>
      <c r="B32" s="97">
        <v>4</v>
      </c>
      <c r="C32" s="114" t="s">
        <v>26</v>
      </c>
      <c r="D32" s="115" t="str">
        <f>IF(C32="Str",'Personal File'!$C$13,IF(C32="Dex",'Personal File'!$C$14,IF(C32="Con",'Personal File'!$C$15,IF(C32="Int",'Personal File'!$C$16,IF(C32="Wis",'Personal File'!$C$17,IF(C32="Cha",'Personal File'!$C$18))))))</f>
        <v>+3</v>
      </c>
      <c r="E32" s="116" t="str">
        <f t="shared" si="4"/>
        <v>Wis (+3)</v>
      </c>
      <c r="F32" s="98" t="s">
        <v>55</v>
      </c>
      <c r="G32" s="98">
        <f t="shared" si="1"/>
        <v>7</v>
      </c>
      <c r="H32" s="90">
        <f t="shared" ca="1" si="2"/>
        <v>13</v>
      </c>
      <c r="I32" s="98">
        <f t="shared" ca="1" si="6"/>
        <v>20</v>
      </c>
      <c r="J32" s="99"/>
    </row>
    <row r="33" spans="1:10" ht="16.8" x14ac:dyDescent="0.3">
      <c r="A33" s="121" t="s">
        <v>71</v>
      </c>
      <c r="B33" s="106">
        <v>0</v>
      </c>
      <c r="C33" s="122" t="s">
        <v>27</v>
      </c>
      <c r="D33" s="123" t="str">
        <f>IF(C33="Str",'Personal File'!$C$13,IF(C33="Dex",'Personal File'!$C$14,IF(C33="Con",'Personal File'!$C$15,IF(C33="Int",'Personal File'!$C$16,IF(C33="Wis",'Personal File'!$C$17,IF(C33="Cha",'Personal File'!$C$18))))))</f>
        <v>+0</v>
      </c>
      <c r="E33" s="124" t="str">
        <f t="shared" si="4"/>
        <v>Dex (+0)</v>
      </c>
      <c r="F33" s="110">
        <f>SUM(Martial!$D$28:$D$29)</f>
        <v>-1</v>
      </c>
      <c r="G33" s="110">
        <f t="shared" si="1"/>
        <v>-1</v>
      </c>
      <c r="H33" s="90">
        <f t="shared" ca="1" si="2"/>
        <v>20</v>
      </c>
      <c r="I33" s="110">
        <f t="shared" ca="1" si="6"/>
        <v>19</v>
      </c>
      <c r="J33" s="111"/>
    </row>
    <row r="34" spans="1:10" ht="16.8" x14ac:dyDescent="0.3">
      <c r="A34" s="105" t="s">
        <v>88</v>
      </c>
      <c r="B34" s="106">
        <v>0</v>
      </c>
      <c r="C34" s="107" t="s">
        <v>25</v>
      </c>
      <c r="D34" s="108" t="str">
        <f>IF(C34="Str",'Personal File'!$C$13,IF(C34="Dex",'Personal File'!$C$14,IF(C34="Con",'Personal File'!$C$15,IF(C34="Int",'Personal File'!$C$16,IF(C34="Wis",'Personal File'!$C$17,IF(C34="Cha",'Personal File'!$C$18))))))</f>
        <v>+3</v>
      </c>
      <c r="E34" s="109" t="str">
        <f t="shared" ref="E34" si="12">CONCATENATE(C34," (",D34,")")</f>
        <v>Int (+3)</v>
      </c>
      <c r="F34" s="110" t="s">
        <v>55</v>
      </c>
      <c r="G34" s="110">
        <f t="shared" ref="G34" si="13">B34+D34+F34</f>
        <v>3</v>
      </c>
      <c r="H34" s="90">
        <f t="shared" ca="1" si="2"/>
        <v>19</v>
      </c>
      <c r="I34" s="110">
        <f t="shared" ref="I34" ca="1" si="14">SUM(G34:H34)</f>
        <v>22</v>
      </c>
      <c r="J34" s="194"/>
    </row>
    <row r="35" spans="1:10" ht="16.8" x14ac:dyDescent="0.3">
      <c r="A35" s="101" t="s">
        <v>49</v>
      </c>
      <c r="B35" s="97">
        <v>13</v>
      </c>
      <c r="C35" s="102" t="s">
        <v>25</v>
      </c>
      <c r="D35" s="103" t="str">
        <f>IF(C35="Str",'Personal File'!$C$13,IF(C35="Dex",'Personal File'!$C$14,IF(C35="Con",'Personal File'!$C$15,IF(C35="Int",'Personal File'!$C$16,IF(C35="Wis",'Personal File'!$C$17,IF(C35="Cha",'Personal File'!$C$18))))))</f>
        <v>+3</v>
      </c>
      <c r="E35" s="104" t="str">
        <f t="shared" si="4"/>
        <v>Int (+3)</v>
      </c>
      <c r="F35" s="98" t="s">
        <v>55</v>
      </c>
      <c r="G35" s="98">
        <f t="shared" ref="G35" si="15">B35+D35+F35</f>
        <v>16</v>
      </c>
      <c r="H35" s="90">
        <f t="shared" ca="1" si="2"/>
        <v>3</v>
      </c>
      <c r="I35" s="98">
        <f t="shared" ref="I35" ca="1" si="16">SUM(G35:H35)</f>
        <v>19</v>
      </c>
      <c r="J35" s="134"/>
    </row>
    <row r="36" spans="1:10" ht="16.8" x14ac:dyDescent="0.3">
      <c r="A36" s="113" t="s">
        <v>50</v>
      </c>
      <c r="B36" s="97">
        <v>10</v>
      </c>
      <c r="C36" s="114" t="s">
        <v>26</v>
      </c>
      <c r="D36" s="115" t="str">
        <f>IF(C36="Str",'Personal File'!$C$13,IF(C36="Dex",'Personal File'!$C$14,IF(C36="Con",'Personal File'!$C$15,IF(C36="Int",'Personal File'!$C$16,IF(C36="Wis",'Personal File'!$C$17,IF(C36="Cha",'Personal File'!$C$18))))))</f>
        <v>+3</v>
      </c>
      <c r="E36" s="116" t="str">
        <f t="shared" si="4"/>
        <v>Wis (+3)</v>
      </c>
      <c r="F36" s="98" t="s">
        <v>55</v>
      </c>
      <c r="G36" s="98">
        <f t="shared" si="1"/>
        <v>13</v>
      </c>
      <c r="H36" s="90">
        <f t="shared" ca="1" si="2"/>
        <v>19</v>
      </c>
      <c r="I36" s="98">
        <f t="shared" ca="1" si="6"/>
        <v>32</v>
      </c>
      <c r="J36" s="134" t="s">
        <v>473</v>
      </c>
    </row>
    <row r="37" spans="1:10" ht="16.8" x14ac:dyDescent="0.3">
      <c r="A37" s="130" t="s">
        <v>72</v>
      </c>
      <c r="B37" s="66">
        <v>0</v>
      </c>
      <c r="C37" s="131" t="s">
        <v>26</v>
      </c>
      <c r="D37" s="132" t="str">
        <f>IF(C37="Str",'Personal File'!$C$13,IF(C37="Dex",'Personal File'!$C$14,IF(C37="Con",'Personal File'!$C$15,IF(C37="Int",'Personal File'!$C$16,IF(C37="Wis",'Personal File'!$C$17,IF(C37="Cha",'Personal File'!$C$18))))))</f>
        <v>+3</v>
      </c>
      <c r="E37" s="133" t="str">
        <f t="shared" si="4"/>
        <v>Wis (+3)</v>
      </c>
      <c r="F37" s="84" t="s">
        <v>55</v>
      </c>
      <c r="G37" s="84">
        <f t="shared" si="1"/>
        <v>3</v>
      </c>
      <c r="H37" s="90">
        <f t="shared" ca="1" si="2"/>
        <v>19</v>
      </c>
      <c r="I37" s="84">
        <f t="shared" ca="1" si="6"/>
        <v>22</v>
      </c>
      <c r="J37" s="85"/>
    </row>
    <row r="38" spans="1:10" ht="16.8" x14ac:dyDescent="0.3">
      <c r="A38" s="117" t="s">
        <v>14</v>
      </c>
      <c r="B38" s="66">
        <v>0</v>
      </c>
      <c r="C38" s="118" t="s">
        <v>28</v>
      </c>
      <c r="D38" s="119">
        <f>IF(C38="Str",'Personal File'!$C$13,IF(C38="Dex",'Personal File'!$C$14,IF(C38="Con",'Personal File'!$C$15,IF(C38="Int",'Personal File'!$C$16,IF(C38="Wis",'Personal File'!$C$17,IF(C38="Cha",'Personal File'!$C$18))))))</f>
        <v>-2</v>
      </c>
      <c r="E38" s="120" t="str">
        <f t="shared" si="4"/>
        <v>Str (-2)</v>
      </c>
      <c r="F38" s="84" t="s">
        <v>55</v>
      </c>
      <c r="G38" s="84">
        <f t="shared" si="1"/>
        <v>-2</v>
      </c>
      <c r="H38" s="90">
        <f t="shared" ca="1" si="2"/>
        <v>11</v>
      </c>
      <c r="I38" s="84">
        <f t="shared" ca="1" si="6"/>
        <v>9</v>
      </c>
      <c r="J38" s="85"/>
    </row>
    <row r="39" spans="1:10" ht="16.8" x14ac:dyDescent="0.3">
      <c r="A39" s="121" t="s">
        <v>51</v>
      </c>
      <c r="B39" s="106">
        <v>0</v>
      </c>
      <c r="C39" s="122" t="s">
        <v>27</v>
      </c>
      <c r="D39" s="123" t="str">
        <f>IF(C39="Str",'Personal File'!$C$13,IF(C39="Dex",'Personal File'!$C$14,IF(C39="Con",'Personal File'!$C$15,IF(C39="Int",'Personal File'!$C$16,IF(C39="Wis",'Personal File'!$C$17,IF(C39="Cha",'Personal File'!$C$18))))))</f>
        <v>+0</v>
      </c>
      <c r="E39" s="124" t="str">
        <f t="shared" si="4"/>
        <v>Dex (+0)</v>
      </c>
      <c r="F39" s="110">
        <f>SUM(Martial!$D$28:$D$29)</f>
        <v>-1</v>
      </c>
      <c r="G39" s="110">
        <f t="shared" si="1"/>
        <v>-1</v>
      </c>
      <c r="H39" s="90">
        <f t="shared" ca="1" si="2"/>
        <v>18</v>
      </c>
      <c r="I39" s="110">
        <f t="shared" ca="1" si="6"/>
        <v>17</v>
      </c>
      <c r="J39" s="111"/>
    </row>
    <row r="40" spans="1:10" ht="16.8" x14ac:dyDescent="0.3">
      <c r="A40" s="502" t="s">
        <v>52</v>
      </c>
      <c r="B40" s="97">
        <v>4</v>
      </c>
      <c r="C40" s="503" t="s">
        <v>23</v>
      </c>
      <c r="D40" s="504" t="str">
        <f>IF(C40="Str",'Personal File'!$C$13,IF(C40="Dex",'Personal File'!$C$14,IF(C40="Con",'Personal File'!$C$15,IF(C40="Int",'Personal File'!$C$16,IF(C40="Wis",'Personal File'!$C$17,IF(C40="Cha",'Personal File'!$C$18))))))</f>
        <v>+4</v>
      </c>
      <c r="E40" s="505" t="str">
        <f t="shared" si="4"/>
        <v>Cha (+4)</v>
      </c>
      <c r="F40" s="98" t="s">
        <v>55</v>
      </c>
      <c r="G40" s="98">
        <f t="shared" si="1"/>
        <v>8</v>
      </c>
      <c r="H40" s="90">
        <f t="shared" ca="1" si="2"/>
        <v>7</v>
      </c>
      <c r="I40" s="98">
        <f t="shared" ca="1" si="6"/>
        <v>15</v>
      </c>
      <c r="J40" s="99"/>
    </row>
    <row r="41" spans="1:10" ht="17.399999999999999" thickBot="1" x14ac:dyDescent="0.35">
      <c r="A41" s="196" t="s">
        <v>53</v>
      </c>
      <c r="B41" s="197">
        <v>0</v>
      </c>
      <c r="C41" s="198" t="s">
        <v>27</v>
      </c>
      <c r="D41" s="199" t="str">
        <f>IF(C41="Str",'Personal File'!$C$13,IF(C41="Dex",'Personal File'!$C$14,IF(C41="Con",'Personal File'!$C$15,IF(C41="Int",'Personal File'!$C$16,IF(C41="Wis",'Personal File'!$C$17,IF(C41="Cha",'Personal File'!$C$18))))))</f>
        <v>+0</v>
      </c>
      <c r="E41" s="200" t="str">
        <f t="shared" si="4"/>
        <v>Dex (+0)</v>
      </c>
      <c r="F41" s="201" t="s">
        <v>55</v>
      </c>
      <c r="G41" s="201">
        <f t="shared" si="1"/>
        <v>0</v>
      </c>
      <c r="H41" s="135">
        <f t="shared" ca="1" si="2"/>
        <v>20</v>
      </c>
      <c r="I41" s="201">
        <f t="shared" ca="1" si="6"/>
        <v>20</v>
      </c>
      <c r="J41" s="202"/>
    </row>
    <row r="42" spans="1:10" ht="16.2" thickTop="1" x14ac:dyDescent="0.3">
      <c r="B42" s="136">
        <f>SUM(B6:B41)</f>
        <v>77</v>
      </c>
      <c r="E42" s="243">
        <f>SUM(E43:E55)</f>
        <v>76</v>
      </c>
      <c r="F42" s="137" t="s">
        <v>56</v>
      </c>
    </row>
    <row r="43" spans="1:10" x14ac:dyDescent="0.3">
      <c r="B43" s="136"/>
      <c r="E43" s="184">
        <f>4*(2+'Personal File'!$C$16)</f>
        <v>20</v>
      </c>
      <c r="F43" s="139" t="s">
        <v>162</v>
      </c>
    </row>
    <row r="44" spans="1:10" x14ac:dyDescent="0.3">
      <c r="B44" s="136"/>
      <c r="E44" s="184">
        <f>2+'Personal File'!$C$16</f>
        <v>5</v>
      </c>
      <c r="F44" s="139" t="s">
        <v>163</v>
      </c>
    </row>
    <row r="45" spans="1:10" x14ac:dyDescent="0.3">
      <c r="B45" s="136"/>
      <c r="E45" s="426">
        <v>0</v>
      </c>
      <c r="F45" s="139" t="s">
        <v>164</v>
      </c>
    </row>
    <row r="46" spans="1:10" x14ac:dyDescent="0.3">
      <c r="B46" s="136"/>
      <c r="E46" s="184">
        <f>2+'Personal File'!$C$16</f>
        <v>5</v>
      </c>
      <c r="F46" s="139" t="s">
        <v>165</v>
      </c>
    </row>
    <row r="47" spans="1:10" x14ac:dyDescent="0.3">
      <c r="E47" s="184">
        <f>2+'Personal File'!$C$16</f>
        <v>5</v>
      </c>
      <c r="F47" s="139" t="s">
        <v>166</v>
      </c>
    </row>
    <row r="48" spans="1:10" x14ac:dyDescent="0.3">
      <c r="E48" s="184">
        <f>2+'Personal File'!$C$16</f>
        <v>5</v>
      </c>
      <c r="F48" s="139" t="s">
        <v>236</v>
      </c>
    </row>
    <row r="49" spans="5:6" x14ac:dyDescent="0.3">
      <c r="E49" s="184">
        <f>2+'Personal File'!$C$16</f>
        <v>5</v>
      </c>
      <c r="F49" s="139" t="s">
        <v>237</v>
      </c>
    </row>
    <row r="50" spans="5:6" x14ac:dyDescent="0.3">
      <c r="E50" s="184">
        <f>2+'Personal File'!$C$16</f>
        <v>5</v>
      </c>
      <c r="F50" s="139" t="s">
        <v>238</v>
      </c>
    </row>
    <row r="51" spans="5:6" x14ac:dyDescent="0.3">
      <c r="E51" s="184">
        <f>2+'Personal File'!$C$16</f>
        <v>5</v>
      </c>
      <c r="F51" s="139" t="s">
        <v>239</v>
      </c>
    </row>
    <row r="52" spans="5:6" x14ac:dyDescent="0.3">
      <c r="E52" s="184">
        <f>4+'Personal File'!$C$16</f>
        <v>7</v>
      </c>
      <c r="F52" s="139" t="s">
        <v>467</v>
      </c>
    </row>
    <row r="53" spans="5:6" x14ac:dyDescent="0.3">
      <c r="E53" s="184">
        <f>4+'Personal File'!$C$16</f>
        <v>7</v>
      </c>
      <c r="F53" s="139" t="s">
        <v>468</v>
      </c>
    </row>
    <row r="54" spans="5:6" x14ac:dyDescent="0.3">
      <c r="E54" s="184">
        <f>4+'Personal File'!$C$16</f>
        <v>7</v>
      </c>
      <c r="F54" s="139" t="s">
        <v>469</v>
      </c>
    </row>
  </sheetData>
  <phoneticPr fontId="0" type="noConversion"/>
  <conditionalFormatting sqref="H3:H41">
    <cfRule type="cellIs" dxfId="11" priority="1" operator="equal">
      <formula>20</formula>
    </cfRule>
    <cfRule type="cellIs" dxfId="10" priority="2" operator="equal">
      <formula>1</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7"/>
  <sheetViews>
    <sheetView showGridLines="0" zoomScaleNormal="100" workbookViewId="0">
      <pane ySplit="2" topLeftCell="A3" activePane="bottomLeft" state="frozen"/>
      <selection pane="bottomLeft" activeCell="A3" sqref="A3"/>
    </sheetView>
  </sheetViews>
  <sheetFormatPr defaultColWidth="18.19921875" defaultRowHeight="15.6" x14ac:dyDescent="0.3"/>
  <cols>
    <col min="1" max="1" width="23.69921875" style="219" bestFit="1" customWidth="1"/>
    <col min="2" max="2" width="6.19921875" style="219" bestFit="1" customWidth="1"/>
    <col min="3" max="3" width="8.296875" style="219" bestFit="1" customWidth="1"/>
    <col min="4" max="4" width="13.59765625" style="220" bestFit="1" customWidth="1"/>
    <col min="5" max="5" width="11.296875" style="220" bestFit="1" customWidth="1"/>
    <col min="6" max="6" width="10" style="220" bestFit="1" customWidth="1"/>
    <col min="7" max="7" width="13.19921875" style="220" bestFit="1" customWidth="1"/>
    <col min="8" max="8" width="10.5" style="220" bestFit="1" customWidth="1"/>
    <col min="9" max="9" width="21.69921875" style="219" bestFit="1" customWidth="1"/>
    <col min="10" max="10" width="5.5" style="218" bestFit="1" customWidth="1"/>
    <col min="11" max="16384" width="18.19921875" style="218"/>
  </cols>
  <sheetData>
    <row r="1" spans="1:10" ht="23.4" thickBot="1" x14ac:dyDescent="0.45">
      <c r="A1" s="382" t="s">
        <v>168</v>
      </c>
      <c r="B1" s="225"/>
      <c r="C1" s="225"/>
      <c r="D1" s="225"/>
      <c r="E1" s="225"/>
      <c r="F1" s="225"/>
      <c r="G1" s="225"/>
      <c r="H1" s="225"/>
      <c r="I1" s="225"/>
    </row>
    <row r="2" spans="1:10" s="267" customFormat="1" ht="16.8" x14ac:dyDescent="0.3">
      <c r="A2" s="377" t="s">
        <v>103</v>
      </c>
      <c r="B2" s="378" t="s">
        <v>85</v>
      </c>
      <c r="C2" s="378" t="s">
        <v>233</v>
      </c>
      <c r="D2" s="378" t="s">
        <v>102</v>
      </c>
      <c r="E2" s="379" t="s">
        <v>101</v>
      </c>
      <c r="F2" s="379" t="s">
        <v>100</v>
      </c>
      <c r="G2" s="378" t="s">
        <v>99</v>
      </c>
      <c r="H2" s="378" t="s">
        <v>98</v>
      </c>
      <c r="I2" s="380" t="s">
        <v>104</v>
      </c>
      <c r="J2" s="381" t="s">
        <v>105</v>
      </c>
    </row>
    <row r="3" spans="1:10" s="224" customFormat="1" ht="16.8" x14ac:dyDescent="0.3">
      <c r="A3" s="383" t="s">
        <v>212</v>
      </c>
      <c r="B3" s="223">
        <v>0</v>
      </c>
      <c r="C3" s="223"/>
      <c r="D3" s="268" t="s">
        <v>410</v>
      </c>
      <c r="E3" s="222" t="s">
        <v>369</v>
      </c>
      <c r="F3" s="269" t="s">
        <v>365</v>
      </c>
      <c r="G3" s="226" t="s">
        <v>373</v>
      </c>
      <c r="H3" s="226" t="s">
        <v>391</v>
      </c>
      <c r="I3" s="226" t="s">
        <v>368</v>
      </c>
      <c r="J3" s="227">
        <v>216</v>
      </c>
    </row>
    <row r="4" spans="1:10" s="224" customFormat="1" ht="16.8" x14ac:dyDescent="0.3">
      <c r="A4" s="383" t="s">
        <v>213</v>
      </c>
      <c r="B4" s="223">
        <v>0</v>
      </c>
      <c r="C4" s="223"/>
      <c r="D4" s="268" t="s">
        <v>410</v>
      </c>
      <c r="E4" s="222" t="s">
        <v>369</v>
      </c>
      <c r="F4" s="226" t="s">
        <v>365</v>
      </c>
      <c r="G4" s="226" t="s">
        <v>91</v>
      </c>
      <c r="H4" s="226" t="s">
        <v>389</v>
      </c>
      <c r="I4" s="226" t="s">
        <v>368</v>
      </c>
      <c r="J4" s="227">
        <v>219</v>
      </c>
    </row>
    <row r="5" spans="1:10" s="224" customFormat="1" ht="16.8" x14ac:dyDescent="0.3">
      <c r="A5" s="383" t="s">
        <v>214</v>
      </c>
      <c r="B5" s="223">
        <v>0</v>
      </c>
      <c r="C5" s="223"/>
      <c r="D5" s="270" t="s">
        <v>387</v>
      </c>
      <c r="E5" s="222" t="s">
        <v>369</v>
      </c>
      <c r="F5" s="269" t="s">
        <v>365</v>
      </c>
      <c r="G5" s="226" t="s">
        <v>373</v>
      </c>
      <c r="H5" s="226" t="s">
        <v>418</v>
      </c>
      <c r="I5" s="226" t="s">
        <v>368</v>
      </c>
      <c r="J5" s="539">
        <v>238</v>
      </c>
    </row>
    <row r="6" spans="1:10" ht="16.8" x14ac:dyDescent="0.3">
      <c r="A6" s="383" t="s">
        <v>215</v>
      </c>
      <c r="B6" s="223">
        <v>0</v>
      </c>
      <c r="C6" s="223"/>
      <c r="D6" s="270" t="s">
        <v>403</v>
      </c>
      <c r="E6" s="222" t="s">
        <v>369</v>
      </c>
      <c r="F6" s="269" t="s">
        <v>365</v>
      </c>
      <c r="G6" s="226" t="s">
        <v>310</v>
      </c>
      <c r="H6" s="226" t="s">
        <v>391</v>
      </c>
      <c r="I6" s="226" t="s">
        <v>368</v>
      </c>
      <c r="J6" s="227">
        <v>253</v>
      </c>
    </row>
    <row r="7" spans="1:10" ht="16.8" x14ac:dyDescent="0.3">
      <c r="A7" s="383" t="s">
        <v>419</v>
      </c>
      <c r="B7" s="223">
        <v>0</v>
      </c>
      <c r="C7" s="223"/>
      <c r="D7" s="270" t="s">
        <v>410</v>
      </c>
      <c r="E7" s="222" t="s">
        <v>369</v>
      </c>
      <c r="F7" s="269" t="s">
        <v>365</v>
      </c>
      <c r="G7" s="226" t="s">
        <v>310</v>
      </c>
      <c r="H7" s="226" t="s">
        <v>391</v>
      </c>
      <c r="I7" s="226" t="s">
        <v>368</v>
      </c>
      <c r="J7" s="227">
        <v>267</v>
      </c>
    </row>
    <row r="8" spans="1:10" ht="16.8" x14ac:dyDescent="0.3">
      <c r="A8" s="383" t="s">
        <v>216</v>
      </c>
      <c r="B8" s="223">
        <v>0</v>
      </c>
      <c r="C8" s="223"/>
      <c r="D8" s="270" t="s">
        <v>410</v>
      </c>
      <c r="E8" s="222" t="s">
        <v>393</v>
      </c>
      <c r="F8" s="269" t="s">
        <v>365</v>
      </c>
      <c r="G8" s="226" t="s">
        <v>384</v>
      </c>
      <c r="H8" s="226" t="s">
        <v>378</v>
      </c>
      <c r="I8" s="226" t="s">
        <v>368</v>
      </c>
      <c r="J8" s="227">
        <v>269</v>
      </c>
    </row>
    <row r="9" spans="1:10" ht="16.8" x14ac:dyDescent="0.3">
      <c r="A9" s="384" t="s">
        <v>217</v>
      </c>
      <c r="B9" s="221">
        <v>0</v>
      </c>
      <c r="C9" s="221"/>
      <c r="D9" s="332" t="s">
        <v>363</v>
      </c>
      <c r="E9" s="333" t="s">
        <v>364</v>
      </c>
      <c r="F9" s="335" t="s">
        <v>365</v>
      </c>
      <c r="G9" s="335" t="s">
        <v>373</v>
      </c>
      <c r="H9" s="335" t="s">
        <v>418</v>
      </c>
      <c r="I9" s="228" t="s">
        <v>368</v>
      </c>
      <c r="J9" s="229">
        <v>272</v>
      </c>
    </row>
    <row r="10" spans="1:10" ht="16.8" x14ac:dyDescent="0.3">
      <c r="A10" s="383" t="s">
        <v>218</v>
      </c>
      <c r="B10" s="223">
        <v>1</v>
      </c>
      <c r="C10" s="223" t="s">
        <v>234</v>
      </c>
      <c r="D10" s="270" t="s">
        <v>403</v>
      </c>
      <c r="E10" s="222" t="s">
        <v>379</v>
      </c>
      <c r="F10" s="269" t="s">
        <v>365</v>
      </c>
      <c r="G10" s="226" t="s">
        <v>373</v>
      </c>
      <c r="H10" s="226" t="s">
        <v>420</v>
      </c>
      <c r="I10" s="226" t="s">
        <v>368</v>
      </c>
      <c r="J10" s="304">
        <v>251</v>
      </c>
    </row>
    <row r="11" spans="1:10" ht="16.8" x14ac:dyDescent="0.3">
      <c r="A11" s="383" t="s">
        <v>219</v>
      </c>
      <c r="B11" s="223">
        <v>1</v>
      </c>
      <c r="C11" s="223"/>
      <c r="D11" s="270" t="s">
        <v>387</v>
      </c>
      <c r="E11" s="222" t="s">
        <v>364</v>
      </c>
      <c r="F11" s="269" t="s">
        <v>365</v>
      </c>
      <c r="G11" s="226" t="s">
        <v>384</v>
      </c>
      <c r="H11" s="226" t="s">
        <v>378</v>
      </c>
      <c r="I11" s="226" t="s">
        <v>368</v>
      </c>
      <c r="J11" s="227">
        <v>212</v>
      </c>
    </row>
    <row r="12" spans="1:10" ht="16.8" x14ac:dyDescent="0.3">
      <c r="A12" s="383" t="s">
        <v>220</v>
      </c>
      <c r="B12" s="223">
        <v>1</v>
      </c>
      <c r="C12" s="223"/>
      <c r="D12" s="270" t="s">
        <v>410</v>
      </c>
      <c r="E12" s="222" t="s">
        <v>369</v>
      </c>
      <c r="F12" s="269" t="s">
        <v>365</v>
      </c>
      <c r="G12" s="226" t="s">
        <v>373</v>
      </c>
      <c r="H12" s="226" t="s">
        <v>391</v>
      </c>
      <c r="I12" s="226" t="s">
        <v>368</v>
      </c>
      <c r="J12" s="227">
        <v>216</v>
      </c>
    </row>
    <row r="13" spans="1:10" ht="16.8" x14ac:dyDescent="0.3">
      <c r="A13" s="383" t="s">
        <v>221</v>
      </c>
      <c r="B13" s="223">
        <v>1</v>
      </c>
      <c r="C13" s="223"/>
      <c r="D13" s="270" t="s">
        <v>363</v>
      </c>
      <c r="E13" s="222" t="s">
        <v>379</v>
      </c>
      <c r="F13" s="269" t="s">
        <v>365</v>
      </c>
      <c r="G13" s="226" t="s">
        <v>373</v>
      </c>
      <c r="H13" s="226" t="s">
        <v>385</v>
      </c>
      <c r="I13" s="226" t="s">
        <v>368</v>
      </c>
      <c r="J13" s="227">
        <v>274</v>
      </c>
    </row>
    <row r="14" spans="1:10" ht="16.8" x14ac:dyDescent="0.3">
      <c r="A14" s="383" t="s">
        <v>222</v>
      </c>
      <c r="B14" s="223">
        <v>1</v>
      </c>
      <c r="C14" s="223"/>
      <c r="D14" s="270" t="s">
        <v>363</v>
      </c>
      <c r="E14" s="222" t="s">
        <v>388</v>
      </c>
      <c r="F14" s="269" t="s">
        <v>365</v>
      </c>
      <c r="G14" s="226" t="s">
        <v>373</v>
      </c>
      <c r="H14" s="226" t="s">
        <v>389</v>
      </c>
      <c r="I14" s="226" t="s">
        <v>368</v>
      </c>
      <c r="J14" s="539">
        <v>278</v>
      </c>
    </row>
    <row r="15" spans="1:10" ht="16.8" x14ac:dyDescent="0.3">
      <c r="A15" s="578" t="s">
        <v>223</v>
      </c>
      <c r="B15" s="579">
        <v>1</v>
      </c>
      <c r="C15" s="579"/>
      <c r="D15" s="580" t="s">
        <v>381</v>
      </c>
      <c r="E15" s="581" t="s">
        <v>369</v>
      </c>
      <c r="F15" s="582" t="s">
        <v>365</v>
      </c>
      <c r="G15" s="583" t="s">
        <v>373</v>
      </c>
      <c r="H15" s="583" t="s">
        <v>421</v>
      </c>
      <c r="I15" s="583" t="s">
        <v>402</v>
      </c>
      <c r="J15" s="584">
        <v>186</v>
      </c>
    </row>
    <row r="16" spans="1:10" ht="16.8" x14ac:dyDescent="0.3">
      <c r="A16" s="384" t="s">
        <v>224</v>
      </c>
      <c r="B16" s="221">
        <v>1</v>
      </c>
      <c r="C16" s="221"/>
      <c r="D16" s="305" t="s">
        <v>381</v>
      </c>
      <c r="E16" s="334" t="s">
        <v>388</v>
      </c>
      <c r="F16" s="306" t="s">
        <v>383</v>
      </c>
      <c r="G16" s="336" t="s">
        <v>384</v>
      </c>
      <c r="H16" s="228" t="s">
        <v>391</v>
      </c>
      <c r="I16" s="228" t="s">
        <v>386</v>
      </c>
      <c r="J16" s="337">
        <v>228</v>
      </c>
    </row>
    <row r="17" spans="1:10" ht="16.8" x14ac:dyDescent="0.3">
      <c r="A17" s="383" t="s">
        <v>422</v>
      </c>
      <c r="B17" s="223">
        <v>2</v>
      </c>
      <c r="C17" s="223" t="s">
        <v>234</v>
      </c>
      <c r="D17" s="270" t="s">
        <v>403</v>
      </c>
      <c r="E17" s="222" t="s">
        <v>379</v>
      </c>
      <c r="F17" s="269" t="s">
        <v>365</v>
      </c>
      <c r="G17" s="226" t="s">
        <v>366</v>
      </c>
      <c r="H17" s="226" t="s">
        <v>391</v>
      </c>
      <c r="I17" s="226" t="s">
        <v>368</v>
      </c>
      <c r="J17" s="227">
        <v>280</v>
      </c>
    </row>
    <row r="18" spans="1:10" ht="16.8" x14ac:dyDescent="0.3">
      <c r="A18" s="383" t="s">
        <v>225</v>
      </c>
      <c r="B18" s="223">
        <v>2</v>
      </c>
      <c r="C18" s="223"/>
      <c r="D18" s="594" t="s">
        <v>381</v>
      </c>
      <c r="E18" s="222" t="s">
        <v>382</v>
      </c>
      <c r="F18" s="226" t="s">
        <v>404</v>
      </c>
      <c r="G18" s="226" t="s">
        <v>366</v>
      </c>
      <c r="H18" s="226" t="s">
        <v>391</v>
      </c>
      <c r="I18" s="226" t="s">
        <v>386</v>
      </c>
      <c r="J18" s="595">
        <v>48</v>
      </c>
    </row>
    <row r="19" spans="1:10" ht="16.8" x14ac:dyDescent="0.3">
      <c r="A19" s="578" t="s">
        <v>226</v>
      </c>
      <c r="B19" s="579">
        <v>2</v>
      </c>
      <c r="C19" s="579"/>
      <c r="D19" s="580" t="s">
        <v>423</v>
      </c>
      <c r="E19" s="581" t="s">
        <v>364</v>
      </c>
      <c r="F19" s="582" t="s">
        <v>365</v>
      </c>
      <c r="G19" s="583" t="s">
        <v>366</v>
      </c>
      <c r="H19" s="583" t="s">
        <v>367</v>
      </c>
      <c r="I19" s="583" t="s">
        <v>368</v>
      </c>
      <c r="J19" s="584">
        <v>212</v>
      </c>
    </row>
    <row r="20" spans="1:10" ht="16.8" x14ac:dyDescent="0.3">
      <c r="A20" s="383" t="s">
        <v>227</v>
      </c>
      <c r="B20" s="223">
        <v>2</v>
      </c>
      <c r="C20" s="223"/>
      <c r="D20" s="270" t="s">
        <v>410</v>
      </c>
      <c r="E20" s="222" t="s">
        <v>369</v>
      </c>
      <c r="F20" s="269" t="s">
        <v>365</v>
      </c>
      <c r="G20" s="226" t="s">
        <v>373</v>
      </c>
      <c r="H20" s="226" t="s">
        <v>391</v>
      </c>
      <c r="I20" s="226" t="s">
        <v>368</v>
      </c>
      <c r="J20" s="227">
        <v>216</v>
      </c>
    </row>
    <row r="21" spans="1:10" ht="16.8" x14ac:dyDescent="0.3">
      <c r="A21" s="383" t="s">
        <v>470</v>
      </c>
      <c r="B21" s="223">
        <v>2</v>
      </c>
      <c r="C21" s="223"/>
      <c r="D21" s="270" t="s">
        <v>381</v>
      </c>
      <c r="E21" s="222" t="s">
        <v>369</v>
      </c>
      <c r="F21" s="269" t="s">
        <v>365</v>
      </c>
      <c r="G21" s="226" t="s">
        <v>373</v>
      </c>
      <c r="H21" s="226" t="s">
        <v>391</v>
      </c>
      <c r="I21" s="226" t="s">
        <v>368</v>
      </c>
      <c r="J21" s="227">
        <v>272</v>
      </c>
    </row>
    <row r="22" spans="1:10" ht="16.8" x14ac:dyDescent="0.3">
      <c r="A22" s="384" t="s">
        <v>228</v>
      </c>
      <c r="B22" s="221">
        <v>2</v>
      </c>
      <c r="C22" s="221"/>
      <c r="D22" s="305" t="s">
        <v>381</v>
      </c>
      <c r="E22" s="334" t="s">
        <v>379</v>
      </c>
      <c r="F22" s="306" t="s">
        <v>365</v>
      </c>
      <c r="G22" s="336" t="s">
        <v>366</v>
      </c>
      <c r="H22" s="228" t="s">
        <v>391</v>
      </c>
      <c r="I22" s="228" t="s">
        <v>402</v>
      </c>
      <c r="J22" s="337">
        <v>161</v>
      </c>
    </row>
    <row r="23" spans="1:10" ht="16.8" x14ac:dyDescent="0.3">
      <c r="A23" s="383" t="s">
        <v>229</v>
      </c>
      <c r="B23" s="223">
        <v>3</v>
      </c>
      <c r="C23" s="223" t="s">
        <v>234</v>
      </c>
      <c r="D23" s="630" t="s">
        <v>403</v>
      </c>
      <c r="E23" s="222" t="s">
        <v>364</v>
      </c>
      <c r="F23" s="631" t="s">
        <v>365</v>
      </c>
      <c r="G23" s="632" t="s">
        <v>373</v>
      </c>
      <c r="H23" s="632" t="s">
        <v>391</v>
      </c>
      <c r="I23" s="226" t="s">
        <v>368</v>
      </c>
      <c r="J23" s="227">
        <v>284</v>
      </c>
    </row>
    <row r="24" spans="1:10" ht="16.8" x14ac:dyDescent="0.3">
      <c r="A24" s="383" t="s">
        <v>230</v>
      </c>
      <c r="B24" s="223">
        <v>3</v>
      </c>
      <c r="C24" s="223"/>
      <c r="D24" s="270" t="s">
        <v>387</v>
      </c>
      <c r="E24" s="222" t="s">
        <v>369</v>
      </c>
      <c r="F24" s="269" t="s">
        <v>365</v>
      </c>
      <c r="G24" s="226" t="s">
        <v>373</v>
      </c>
      <c r="H24" s="226" t="s">
        <v>371</v>
      </c>
      <c r="I24" s="226" t="s">
        <v>424</v>
      </c>
      <c r="J24" s="227">
        <v>84</v>
      </c>
    </row>
    <row r="25" spans="1:10" ht="16.8" x14ac:dyDescent="0.3">
      <c r="A25" s="383" t="s">
        <v>231</v>
      </c>
      <c r="B25" s="223">
        <v>3</v>
      </c>
      <c r="C25" s="223"/>
      <c r="D25" s="270" t="s">
        <v>410</v>
      </c>
      <c r="E25" s="222" t="s">
        <v>369</v>
      </c>
      <c r="F25" s="269" t="s">
        <v>365</v>
      </c>
      <c r="G25" s="226" t="s">
        <v>373</v>
      </c>
      <c r="H25" s="226" t="s">
        <v>391</v>
      </c>
      <c r="I25" s="226" t="s">
        <v>368</v>
      </c>
      <c r="J25" s="227">
        <v>216</v>
      </c>
    </row>
    <row r="26" spans="1:10" ht="17.399999999999999" thickBot="1" x14ac:dyDescent="0.35">
      <c r="A26" s="638" t="s">
        <v>232</v>
      </c>
      <c r="B26" s="633">
        <v>3</v>
      </c>
      <c r="C26" s="633"/>
      <c r="D26" s="634" t="s">
        <v>403</v>
      </c>
      <c r="E26" s="635" t="s">
        <v>395</v>
      </c>
      <c r="F26" s="636" t="s">
        <v>365</v>
      </c>
      <c r="G26" s="636" t="s">
        <v>384</v>
      </c>
      <c r="H26" s="636" t="s">
        <v>385</v>
      </c>
      <c r="I26" s="636" t="s">
        <v>424</v>
      </c>
      <c r="J26" s="637">
        <v>92</v>
      </c>
    </row>
    <row r="27" spans="1:10" ht="16.2" thickTop="1" x14ac:dyDescent="0.3"/>
  </sheetData>
  <sortState xmlns:xlrd2="http://schemas.microsoft.com/office/spreadsheetml/2017/richdata2" ref="A3:I28">
    <sortCondition ref="B3:B28"/>
    <sortCondition ref="A3:A28"/>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60"/>
  <sheetViews>
    <sheetView showGridLines="0" zoomScaleNormal="100" workbookViewId="0">
      <pane ySplit="2" topLeftCell="A3" activePane="bottomLeft" state="frozen"/>
      <selection pane="bottomLeft" activeCell="A3" sqref="A3"/>
    </sheetView>
  </sheetViews>
  <sheetFormatPr defaultColWidth="18.19921875" defaultRowHeight="15.6" x14ac:dyDescent="0.3"/>
  <cols>
    <col min="1" max="1" width="23.69921875" style="219" bestFit="1" customWidth="1"/>
    <col min="2" max="2" width="6.19921875" style="219" bestFit="1" customWidth="1"/>
    <col min="3" max="3" width="13.59765625" style="220" bestFit="1" customWidth="1"/>
    <col min="4" max="4" width="11.296875" style="220" bestFit="1" customWidth="1"/>
    <col min="5" max="5" width="10" style="220" bestFit="1" customWidth="1"/>
    <col min="6" max="6" width="13.19921875" style="220" bestFit="1" customWidth="1"/>
    <col min="7" max="7" width="9.796875" style="220" bestFit="1" customWidth="1"/>
    <col min="8" max="8" width="21.69921875" style="219" bestFit="1" customWidth="1"/>
    <col min="9" max="9" width="5.5" style="218" bestFit="1" customWidth="1"/>
    <col min="10" max="16384" width="18.19921875" style="218"/>
  </cols>
  <sheetData>
    <row r="1" spans="1:9" ht="23.4" thickBot="1" x14ac:dyDescent="0.45">
      <c r="A1" s="467" t="s">
        <v>425</v>
      </c>
      <c r="B1" s="225"/>
      <c r="C1" s="225"/>
      <c r="D1" s="225"/>
      <c r="E1" s="225"/>
      <c r="F1" s="225"/>
      <c r="G1" s="225"/>
      <c r="H1" s="225"/>
    </row>
    <row r="2" spans="1:9" s="267" customFormat="1" ht="16.8" x14ac:dyDescent="0.3">
      <c r="A2" s="462" t="s">
        <v>103</v>
      </c>
      <c r="B2" s="463" t="s">
        <v>85</v>
      </c>
      <c r="C2" s="463" t="s">
        <v>102</v>
      </c>
      <c r="D2" s="464" t="s">
        <v>101</v>
      </c>
      <c r="E2" s="464" t="s">
        <v>100</v>
      </c>
      <c r="F2" s="463" t="s">
        <v>99</v>
      </c>
      <c r="G2" s="463" t="s">
        <v>98</v>
      </c>
      <c r="H2" s="465" t="s">
        <v>104</v>
      </c>
      <c r="I2" s="466" t="s">
        <v>105</v>
      </c>
    </row>
    <row r="3" spans="1:9" s="224" customFormat="1" ht="16.8" x14ac:dyDescent="0.3">
      <c r="A3" s="578" t="s">
        <v>343</v>
      </c>
      <c r="B3" s="579">
        <v>1</v>
      </c>
      <c r="C3" s="585" t="s">
        <v>403</v>
      </c>
      <c r="D3" s="601" t="s">
        <v>388</v>
      </c>
      <c r="E3" s="587" t="s">
        <v>383</v>
      </c>
      <c r="F3" s="587" t="s">
        <v>384</v>
      </c>
      <c r="G3" s="587" t="s">
        <v>385</v>
      </c>
      <c r="H3" s="583" t="s">
        <v>372</v>
      </c>
      <c r="I3" s="584">
        <v>142</v>
      </c>
    </row>
    <row r="4" spans="1:9" s="224" customFormat="1" ht="16.8" x14ac:dyDescent="0.3">
      <c r="A4" s="578" t="s">
        <v>313</v>
      </c>
      <c r="B4" s="579">
        <v>1</v>
      </c>
      <c r="C4" s="602" t="s">
        <v>363</v>
      </c>
      <c r="D4" s="581" t="s">
        <v>364</v>
      </c>
      <c r="E4" s="582" t="s">
        <v>365</v>
      </c>
      <c r="F4" s="583" t="s">
        <v>366</v>
      </c>
      <c r="G4" s="583" t="s">
        <v>367</v>
      </c>
      <c r="H4" s="583" t="s">
        <v>368</v>
      </c>
      <c r="I4" s="584">
        <v>197</v>
      </c>
    </row>
    <row r="5" spans="1:9" s="224" customFormat="1" ht="16.8" x14ac:dyDescent="0.3">
      <c r="A5" s="578" t="s">
        <v>337</v>
      </c>
      <c r="B5" s="579">
        <v>1</v>
      </c>
      <c r="C5" s="585" t="s">
        <v>396</v>
      </c>
      <c r="D5" s="601" t="s">
        <v>388</v>
      </c>
      <c r="E5" s="587" t="s">
        <v>365</v>
      </c>
      <c r="F5" s="587" t="s">
        <v>366</v>
      </c>
      <c r="G5" s="587" t="s">
        <v>397</v>
      </c>
      <c r="H5" s="583" t="s">
        <v>368</v>
      </c>
      <c r="I5" s="584">
        <v>198</v>
      </c>
    </row>
    <row r="6" spans="1:9" s="224" customFormat="1" ht="16.8" x14ac:dyDescent="0.3">
      <c r="A6" s="578" t="s">
        <v>411</v>
      </c>
      <c r="B6" s="579">
        <v>1</v>
      </c>
      <c r="C6" s="580" t="s">
        <v>403</v>
      </c>
      <c r="D6" s="581" t="s">
        <v>369</v>
      </c>
      <c r="E6" s="582" t="s">
        <v>365</v>
      </c>
      <c r="F6" s="583" t="s">
        <v>412</v>
      </c>
      <c r="G6" s="583" t="s">
        <v>385</v>
      </c>
      <c r="H6" s="583" t="s">
        <v>368</v>
      </c>
      <c r="I6" s="584">
        <v>199</v>
      </c>
    </row>
    <row r="7" spans="1:9" s="224" customFormat="1" ht="16.8" x14ac:dyDescent="0.3">
      <c r="A7" s="578" t="s">
        <v>323</v>
      </c>
      <c r="B7" s="579">
        <v>1</v>
      </c>
      <c r="C7" s="580" t="s">
        <v>387</v>
      </c>
      <c r="D7" s="581" t="s">
        <v>388</v>
      </c>
      <c r="E7" s="582" t="s">
        <v>383</v>
      </c>
      <c r="F7" s="583" t="s">
        <v>384</v>
      </c>
      <c r="G7" s="583" t="s">
        <v>389</v>
      </c>
      <c r="H7" s="583" t="s">
        <v>372</v>
      </c>
      <c r="I7" s="584">
        <v>142</v>
      </c>
    </row>
    <row r="8" spans="1:9" s="224" customFormat="1" ht="16.8" x14ac:dyDescent="0.3">
      <c r="A8" s="578" t="s">
        <v>324</v>
      </c>
      <c r="B8" s="579">
        <v>1</v>
      </c>
      <c r="C8" s="580" t="s">
        <v>387</v>
      </c>
      <c r="D8" s="581" t="s">
        <v>369</v>
      </c>
      <c r="E8" s="582" t="s">
        <v>365</v>
      </c>
      <c r="F8" s="583" t="s">
        <v>384</v>
      </c>
      <c r="G8" s="583" t="s">
        <v>374</v>
      </c>
      <c r="H8" s="583" t="s">
        <v>372</v>
      </c>
      <c r="I8" s="584">
        <v>144</v>
      </c>
    </row>
    <row r="9" spans="1:9" ht="16.8" x14ac:dyDescent="0.3">
      <c r="A9" s="578" t="s">
        <v>338</v>
      </c>
      <c r="B9" s="579">
        <v>1</v>
      </c>
      <c r="C9" s="585" t="s">
        <v>396</v>
      </c>
      <c r="D9" s="601" t="s">
        <v>369</v>
      </c>
      <c r="E9" s="587" t="s">
        <v>365</v>
      </c>
      <c r="F9" s="587" t="s">
        <v>366</v>
      </c>
      <c r="G9" s="587" t="s">
        <v>389</v>
      </c>
      <c r="H9" s="583" t="s">
        <v>368</v>
      </c>
      <c r="I9" s="584">
        <v>207</v>
      </c>
    </row>
    <row r="10" spans="1:9" ht="16.8" x14ac:dyDescent="0.3">
      <c r="A10" s="578" t="s">
        <v>413</v>
      </c>
      <c r="B10" s="579">
        <v>1</v>
      </c>
      <c r="C10" s="580" t="s">
        <v>396</v>
      </c>
      <c r="D10" s="581" t="s">
        <v>379</v>
      </c>
      <c r="E10" s="582" t="s">
        <v>365</v>
      </c>
      <c r="F10" s="583" t="s">
        <v>412</v>
      </c>
      <c r="G10" s="583" t="s">
        <v>385</v>
      </c>
      <c r="H10" s="583" t="s">
        <v>368</v>
      </c>
      <c r="I10" s="584">
        <v>207</v>
      </c>
    </row>
    <row r="11" spans="1:9" ht="16.8" x14ac:dyDescent="0.3">
      <c r="A11" s="578" t="s">
        <v>339</v>
      </c>
      <c r="B11" s="579">
        <v>1</v>
      </c>
      <c r="C11" s="585" t="s">
        <v>396</v>
      </c>
      <c r="D11" s="601" t="s">
        <v>369</v>
      </c>
      <c r="E11" s="587" t="s">
        <v>365</v>
      </c>
      <c r="F11" s="587" t="s">
        <v>366</v>
      </c>
      <c r="G11" s="587" t="s">
        <v>371</v>
      </c>
      <c r="H11" s="583" t="s">
        <v>368</v>
      </c>
      <c r="I11" s="584">
        <v>208</v>
      </c>
    </row>
    <row r="12" spans="1:9" ht="16.8" x14ac:dyDescent="0.3">
      <c r="A12" s="578" t="s">
        <v>414</v>
      </c>
      <c r="B12" s="579">
        <v>1</v>
      </c>
      <c r="C12" s="580" t="s">
        <v>396</v>
      </c>
      <c r="D12" s="581" t="s">
        <v>382</v>
      </c>
      <c r="E12" s="582" t="s">
        <v>365</v>
      </c>
      <c r="F12" s="583" t="s">
        <v>366</v>
      </c>
      <c r="G12" s="583" t="s">
        <v>392</v>
      </c>
      <c r="H12" s="583" t="s">
        <v>368</v>
      </c>
      <c r="I12" s="584">
        <v>211</v>
      </c>
    </row>
    <row r="13" spans="1:9" ht="16.8" x14ac:dyDescent="0.3">
      <c r="A13" s="578" t="s">
        <v>320</v>
      </c>
      <c r="B13" s="579">
        <v>1</v>
      </c>
      <c r="C13" s="580" t="s">
        <v>381</v>
      </c>
      <c r="D13" s="581" t="s">
        <v>382</v>
      </c>
      <c r="E13" s="582" t="s">
        <v>383</v>
      </c>
      <c r="F13" s="583" t="s">
        <v>384</v>
      </c>
      <c r="G13" s="583" t="s">
        <v>385</v>
      </c>
      <c r="H13" s="583" t="s">
        <v>386</v>
      </c>
      <c r="I13" s="603">
        <v>61</v>
      </c>
    </row>
    <row r="14" spans="1:9" ht="16.8" x14ac:dyDescent="0.3">
      <c r="A14" s="578" t="s">
        <v>321</v>
      </c>
      <c r="B14" s="579">
        <v>1</v>
      </c>
      <c r="C14" s="585" t="s">
        <v>381</v>
      </c>
      <c r="D14" s="581" t="s">
        <v>379</v>
      </c>
      <c r="E14" s="587" t="s">
        <v>365</v>
      </c>
      <c r="F14" s="587" t="s">
        <v>373</v>
      </c>
      <c r="G14" s="587" t="s">
        <v>371</v>
      </c>
      <c r="H14" s="583" t="s">
        <v>368</v>
      </c>
      <c r="I14" s="584">
        <v>217</v>
      </c>
    </row>
    <row r="15" spans="1:9" ht="16.8" x14ac:dyDescent="0.3">
      <c r="A15" s="578" t="s">
        <v>325</v>
      </c>
      <c r="B15" s="579">
        <v>1</v>
      </c>
      <c r="C15" s="580" t="s">
        <v>387</v>
      </c>
      <c r="D15" s="581" t="s">
        <v>379</v>
      </c>
      <c r="E15" s="582" t="s">
        <v>365</v>
      </c>
      <c r="F15" s="583" t="s">
        <v>390</v>
      </c>
      <c r="G15" s="583" t="s">
        <v>378</v>
      </c>
      <c r="H15" s="583" t="s">
        <v>368</v>
      </c>
      <c r="I15" s="584">
        <v>218</v>
      </c>
    </row>
    <row r="16" spans="1:9" ht="16.8" x14ac:dyDescent="0.3">
      <c r="A16" s="578" t="s">
        <v>326</v>
      </c>
      <c r="B16" s="579">
        <v>1</v>
      </c>
      <c r="C16" s="580" t="s">
        <v>387</v>
      </c>
      <c r="D16" s="581" t="s">
        <v>369</v>
      </c>
      <c r="E16" s="582" t="s">
        <v>365</v>
      </c>
      <c r="F16" s="583" t="s">
        <v>366</v>
      </c>
      <c r="G16" s="583" t="s">
        <v>391</v>
      </c>
      <c r="H16" s="583" t="s">
        <v>368</v>
      </c>
      <c r="I16" s="584">
        <v>219</v>
      </c>
    </row>
    <row r="17" spans="1:9" ht="16.8" x14ac:dyDescent="0.3">
      <c r="A17" s="578" t="s">
        <v>327</v>
      </c>
      <c r="B17" s="579">
        <v>1</v>
      </c>
      <c r="C17" s="585" t="s">
        <v>387</v>
      </c>
      <c r="D17" s="581" t="s">
        <v>369</v>
      </c>
      <c r="E17" s="586" t="s">
        <v>365</v>
      </c>
      <c r="F17" s="587" t="s">
        <v>91</v>
      </c>
      <c r="G17" s="587" t="s">
        <v>378</v>
      </c>
      <c r="H17" s="583" t="s">
        <v>368</v>
      </c>
      <c r="I17" s="584">
        <v>220</v>
      </c>
    </row>
    <row r="18" spans="1:9" ht="16.8" x14ac:dyDescent="0.3">
      <c r="A18" s="578" t="s">
        <v>416</v>
      </c>
      <c r="B18" s="579">
        <v>1</v>
      </c>
      <c r="C18" s="580" t="s">
        <v>417</v>
      </c>
      <c r="D18" s="581" t="s">
        <v>369</v>
      </c>
      <c r="E18" s="582" t="s">
        <v>365</v>
      </c>
      <c r="F18" s="583" t="s">
        <v>384</v>
      </c>
      <c r="G18" s="583" t="s">
        <v>378</v>
      </c>
      <c r="H18" s="583" t="s">
        <v>368</v>
      </c>
      <c r="I18" s="604">
        <v>222</v>
      </c>
    </row>
    <row r="19" spans="1:9" ht="16.8" x14ac:dyDescent="0.3">
      <c r="A19" s="578" t="s">
        <v>415</v>
      </c>
      <c r="B19" s="579">
        <v>1</v>
      </c>
      <c r="C19" s="580" t="s">
        <v>396</v>
      </c>
      <c r="D19" s="581" t="s">
        <v>379</v>
      </c>
      <c r="E19" s="582" t="s">
        <v>365</v>
      </c>
      <c r="F19" s="583" t="s">
        <v>412</v>
      </c>
      <c r="G19" s="583" t="s">
        <v>389</v>
      </c>
      <c r="H19" s="583" t="s">
        <v>368</v>
      </c>
      <c r="I19" s="584">
        <v>225</v>
      </c>
    </row>
    <row r="20" spans="1:9" ht="16.8" x14ac:dyDescent="0.3">
      <c r="A20" s="578" t="s">
        <v>341</v>
      </c>
      <c r="B20" s="579">
        <v>1</v>
      </c>
      <c r="C20" s="585" t="s">
        <v>399</v>
      </c>
      <c r="D20" s="601" t="s">
        <v>379</v>
      </c>
      <c r="E20" s="587" t="s">
        <v>365</v>
      </c>
      <c r="F20" s="587" t="s">
        <v>373</v>
      </c>
      <c r="G20" s="587" t="s">
        <v>371</v>
      </c>
      <c r="H20" s="583" t="s">
        <v>400</v>
      </c>
      <c r="I20" s="584">
        <v>93</v>
      </c>
    </row>
    <row r="21" spans="1:9" ht="16.8" x14ac:dyDescent="0.3">
      <c r="A21" s="578" t="s">
        <v>314</v>
      </c>
      <c r="B21" s="579">
        <v>1</v>
      </c>
      <c r="C21" s="585" t="s">
        <v>363</v>
      </c>
      <c r="D21" s="581" t="s">
        <v>369</v>
      </c>
      <c r="E21" s="587" t="s">
        <v>365</v>
      </c>
      <c r="F21" s="587" t="s">
        <v>370</v>
      </c>
      <c r="G21" s="587" t="s">
        <v>371</v>
      </c>
      <c r="H21" s="583" t="s">
        <v>372</v>
      </c>
      <c r="I21" s="584">
        <v>147</v>
      </c>
    </row>
    <row r="22" spans="1:9" ht="16.8" x14ac:dyDescent="0.3">
      <c r="A22" s="578" t="s">
        <v>344</v>
      </c>
      <c r="B22" s="579">
        <v>1</v>
      </c>
      <c r="C22" s="585" t="s">
        <v>403</v>
      </c>
      <c r="D22" s="601" t="s">
        <v>388</v>
      </c>
      <c r="E22" s="587" t="s">
        <v>365</v>
      </c>
      <c r="F22" s="587" t="s">
        <v>373</v>
      </c>
      <c r="G22" s="587" t="s">
        <v>378</v>
      </c>
      <c r="H22" s="583" t="s">
        <v>386</v>
      </c>
      <c r="I22" s="584">
        <v>77</v>
      </c>
    </row>
    <row r="23" spans="1:9" ht="16.8" x14ac:dyDescent="0.3">
      <c r="A23" s="578" t="s">
        <v>345</v>
      </c>
      <c r="B23" s="579">
        <v>1</v>
      </c>
      <c r="C23" s="585" t="s">
        <v>403</v>
      </c>
      <c r="D23" s="601" t="s">
        <v>382</v>
      </c>
      <c r="E23" s="587" t="s">
        <v>365</v>
      </c>
      <c r="F23" s="587" t="s">
        <v>384</v>
      </c>
      <c r="G23" s="587" t="s">
        <v>378</v>
      </c>
      <c r="H23" s="583" t="s">
        <v>372</v>
      </c>
      <c r="I23" s="584">
        <v>147</v>
      </c>
    </row>
    <row r="24" spans="1:9" ht="16.8" x14ac:dyDescent="0.3">
      <c r="A24" s="578" t="s">
        <v>315</v>
      </c>
      <c r="B24" s="579">
        <v>1</v>
      </c>
      <c r="C24" s="585" t="s">
        <v>363</v>
      </c>
      <c r="D24" s="601" t="s">
        <v>369</v>
      </c>
      <c r="E24" s="587" t="s">
        <v>365</v>
      </c>
      <c r="F24" s="587" t="s">
        <v>373</v>
      </c>
      <c r="G24" s="587" t="s">
        <v>374</v>
      </c>
      <c r="H24" s="583" t="s">
        <v>368</v>
      </c>
      <c r="I24" s="584">
        <v>226</v>
      </c>
    </row>
    <row r="25" spans="1:9" ht="16.8" x14ac:dyDescent="0.3">
      <c r="A25" s="578" t="s">
        <v>340</v>
      </c>
      <c r="B25" s="579">
        <v>1</v>
      </c>
      <c r="C25" s="585" t="s">
        <v>396</v>
      </c>
      <c r="D25" s="601" t="s">
        <v>369</v>
      </c>
      <c r="E25" s="587" t="s">
        <v>365</v>
      </c>
      <c r="F25" s="587" t="s">
        <v>366</v>
      </c>
      <c r="G25" s="587" t="s">
        <v>389</v>
      </c>
      <c r="H25" s="583" t="s">
        <v>398</v>
      </c>
      <c r="I25" s="584">
        <v>31</v>
      </c>
    </row>
    <row r="26" spans="1:9" ht="16.8" x14ac:dyDescent="0.3">
      <c r="A26" s="578" t="s">
        <v>346</v>
      </c>
      <c r="B26" s="579">
        <v>1</v>
      </c>
      <c r="C26" s="585" t="s">
        <v>403</v>
      </c>
      <c r="D26" s="601" t="s">
        <v>379</v>
      </c>
      <c r="E26" s="587" t="s">
        <v>365</v>
      </c>
      <c r="F26" s="587" t="s">
        <v>390</v>
      </c>
      <c r="G26" s="587" t="s">
        <v>389</v>
      </c>
      <c r="H26" s="583" t="s">
        <v>368</v>
      </c>
      <c r="I26" s="584">
        <v>227</v>
      </c>
    </row>
    <row r="27" spans="1:9" ht="16.8" x14ac:dyDescent="0.3">
      <c r="A27" s="578" t="s">
        <v>347</v>
      </c>
      <c r="B27" s="579">
        <v>1</v>
      </c>
      <c r="C27" s="585" t="s">
        <v>403</v>
      </c>
      <c r="D27" s="601" t="s">
        <v>369</v>
      </c>
      <c r="E27" s="587" t="s">
        <v>365</v>
      </c>
      <c r="F27" s="587" t="s">
        <v>373</v>
      </c>
      <c r="G27" s="587" t="s">
        <v>389</v>
      </c>
      <c r="H27" s="583" t="s">
        <v>372</v>
      </c>
      <c r="I27" s="584">
        <v>148</v>
      </c>
    </row>
    <row r="28" spans="1:9" ht="16.8" x14ac:dyDescent="0.3">
      <c r="A28" s="578" t="s">
        <v>316</v>
      </c>
      <c r="B28" s="579">
        <v>1</v>
      </c>
      <c r="C28" s="580" t="s">
        <v>363</v>
      </c>
      <c r="D28" s="581" t="s">
        <v>375</v>
      </c>
      <c r="E28" s="582" t="s">
        <v>365</v>
      </c>
      <c r="F28" s="583" t="s">
        <v>366</v>
      </c>
      <c r="G28" s="583" t="s">
        <v>371</v>
      </c>
      <c r="H28" s="583" t="s">
        <v>376</v>
      </c>
      <c r="I28" s="584">
        <v>99</v>
      </c>
    </row>
    <row r="29" spans="1:9" ht="16.8" x14ac:dyDescent="0.3">
      <c r="A29" s="578" t="s">
        <v>328</v>
      </c>
      <c r="B29" s="579">
        <v>1</v>
      </c>
      <c r="C29" s="585" t="s">
        <v>387</v>
      </c>
      <c r="D29" s="581" t="s">
        <v>382</v>
      </c>
      <c r="E29" s="586" t="s">
        <v>383</v>
      </c>
      <c r="F29" s="587" t="s">
        <v>384</v>
      </c>
      <c r="G29" s="587" t="s">
        <v>392</v>
      </c>
      <c r="H29" s="583" t="s">
        <v>372</v>
      </c>
      <c r="I29" s="584">
        <v>150</v>
      </c>
    </row>
    <row r="30" spans="1:9" ht="16.8" x14ac:dyDescent="0.3">
      <c r="A30" s="578" t="s">
        <v>348</v>
      </c>
      <c r="B30" s="579">
        <v>1</v>
      </c>
      <c r="C30" s="585" t="s">
        <v>403</v>
      </c>
      <c r="D30" s="601" t="s">
        <v>382</v>
      </c>
      <c r="E30" s="587" t="s">
        <v>365</v>
      </c>
      <c r="F30" s="587" t="s">
        <v>384</v>
      </c>
      <c r="G30" s="587" t="s">
        <v>378</v>
      </c>
      <c r="H30" s="583" t="s">
        <v>372</v>
      </c>
      <c r="I30" s="584">
        <v>151</v>
      </c>
    </row>
    <row r="31" spans="1:9" ht="16.8" x14ac:dyDescent="0.3">
      <c r="A31" s="578" t="s">
        <v>329</v>
      </c>
      <c r="B31" s="579">
        <v>1</v>
      </c>
      <c r="C31" s="585" t="s">
        <v>387</v>
      </c>
      <c r="D31" s="581" t="s">
        <v>388</v>
      </c>
      <c r="E31" s="586" t="s">
        <v>365</v>
      </c>
      <c r="F31" s="587" t="s">
        <v>384</v>
      </c>
      <c r="G31" s="587" t="s">
        <v>389</v>
      </c>
      <c r="H31" s="583" t="s">
        <v>372</v>
      </c>
      <c r="I31" s="584">
        <v>151</v>
      </c>
    </row>
    <row r="32" spans="1:9" ht="16.8" x14ac:dyDescent="0.3">
      <c r="A32" s="578" t="s">
        <v>317</v>
      </c>
      <c r="B32" s="579">
        <v>1</v>
      </c>
      <c r="C32" s="580" t="s">
        <v>363</v>
      </c>
      <c r="D32" s="581" t="s">
        <v>377</v>
      </c>
      <c r="E32" s="582" t="s">
        <v>365</v>
      </c>
      <c r="F32" s="583" t="s">
        <v>373</v>
      </c>
      <c r="G32" s="583" t="s">
        <v>378</v>
      </c>
      <c r="H32" s="583" t="s">
        <v>368</v>
      </c>
      <c r="I32" s="603">
        <v>241</v>
      </c>
    </row>
    <row r="33" spans="1:9" ht="16.8" x14ac:dyDescent="0.3">
      <c r="A33" s="578" t="s">
        <v>349</v>
      </c>
      <c r="B33" s="579">
        <v>1</v>
      </c>
      <c r="C33" s="585" t="s">
        <v>403</v>
      </c>
      <c r="D33" s="601" t="s">
        <v>369</v>
      </c>
      <c r="E33" s="587" t="s">
        <v>404</v>
      </c>
      <c r="F33" s="587" t="s">
        <v>384</v>
      </c>
      <c r="G33" s="587" t="s">
        <v>385</v>
      </c>
      <c r="H33" s="583" t="s">
        <v>405</v>
      </c>
      <c r="I33" s="584">
        <v>56</v>
      </c>
    </row>
    <row r="34" spans="1:9" ht="16.8" x14ac:dyDescent="0.3">
      <c r="A34" s="578" t="s">
        <v>330</v>
      </c>
      <c r="B34" s="579">
        <v>1</v>
      </c>
      <c r="C34" s="585" t="s">
        <v>387</v>
      </c>
      <c r="D34" s="581" t="s">
        <v>382</v>
      </c>
      <c r="E34" s="586" t="s">
        <v>383</v>
      </c>
      <c r="F34" s="587" t="s">
        <v>384</v>
      </c>
      <c r="G34" s="587" t="s">
        <v>392</v>
      </c>
      <c r="H34" s="583" t="s">
        <v>372</v>
      </c>
      <c r="I34" s="584">
        <v>153</v>
      </c>
    </row>
    <row r="35" spans="1:9" ht="16.8" x14ac:dyDescent="0.3">
      <c r="A35" s="578" t="s">
        <v>331</v>
      </c>
      <c r="B35" s="579">
        <v>1</v>
      </c>
      <c r="C35" s="580" t="s">
        <v>387</v>
      </c>
      <c r="D35" s="581" t="s">
        <v>369</v>
      </c>
      <c r="E35" s="582" t="s">
        <v>383</v>
      </c>
      <c r="F35" s="583" t="s">
        <v>384</v>
      </c>
      <c r="G35" s="583" t="s">
        <v>392</v>
      </c>
      <c r="H35" s="583" t="s">
        <v>372</v>
      </c>
      <c r="I35" s="584">
        <v>153</v>
      </c>
    </row>
    <row r="36" spans="1:9" ht="16.8" x14ac:dyDescent="0.3">
      <c r="A36" s="578" t="s">
        <v>332</v>
      </c>
      <c r="B36" s="579">
        <v>1</v>
      </c>
      <c r="C36" s="585" t="s">
        <v>387</v>
      </c>
      <c r="D36" s="601" t="s">
        <v>369</v>
      </c>
      <c r="E36" s="587" t="s">
        <v>383</v>
      </c>
      <c r="F36" s="587" t="s">
        <v>384</v>
      </c>
      <c r="G36" s="587" t="s">
        <v>392</v>
      </c>
      <c r="H36" s="583" t="s">
        <v>372</v>
      </c>
      <c r="I36" s="584">
        <v>153</v>
      </c>
    </row>
    <row r="37" spans="1:9" ht="16.8" x14ac:dyDescent="0.3">
      <c r="A37" s="578" t="s">
        <v>45</v>
      </c>
      <c r="B37" s="579">
        <v>1</v>
      </c>
      <c r="C37" s="585" t="s">
        <v>403</v>
      </c>
      <c r="D37" s="601" t="s">
        <v>388</v>
      </c>
      <c r="E37" s="587" t="s">
        <v>365</v>
      </c>
      <c r="F37" s="587" t="s">
        <v>373</v>
      </c>
      <c r="G37" s="587" t="s">
        <v>389</v>
      </c>
      <c r="H37" s="583" t="s">
        <v>368</v>
      </c>
      <c r="I37" s="584">
        <v>246</v>
      </c>
    </row>
    <row r="38" spans="1:9" ht="16.8" x14ac:dyDescent="0.3">
      <c r="A38" s="578" t="s">
        <v>350</v>
      </c>
      <c r="B38" s="579">
        <v>1</v>
      </c>
      <c r="C38" s="585" t="s">
        <v>403</v>
      </c>
      <c r="D38" s="601" t="s">
        <v>364</v>
      </c>
      <c r="E38" s="587" t="s">
        <v>365</v>
      </c>
      <c r="F38" s="587" t="s">
        <v>373</v>
      </c>
      <c r="G38" s="587" t="s">
        <v>371</v>
      </c>
      <c r="H38" s="583" t="s">
        <v>406</v>
      </c>
      <c r="I38" s="584">
        <v>118</v>
      </c>
    </row>
    <row r="39" spans="1:9" ht="16.8" x14ac:dyDescent="0.3">
      <c r="A39" s="578" t="s">
        <v>333</v>
      </c>
      <c r="B39" s="579">
        <v>1</v>
      </c>
      <c r="C39" s="585" t="s">
        <v>387</v>
      </c>
      <c r="D39" s="601" t="s">
        <v>393</v>
      </c>
      <c r="E39" s="587" t="s">
        <v>394</v>
      </c>
      <c r="F39" s="587" t="s">
        <v>384</v>
      </c>
      <c r="G39" s="587" t="s">
        <v>391</v>
      </c>
      <c r="H39" s="583" t="s">
        <v>380</v>
      </c>
      <c r="I39" s="584">
        <v>100</v>
      </c>
    </row>
    <row r="40" spans="1:9" ht="16.8" x14ac:dyDescent="0.3">
      <c r="A40" s="578" t="s">
        <v>351</v>
      </c>
      <c r="B40" s="579">
        <v>1</v>
      </c>
      <c r="C40" s="585" t="s">
        <v>403</v>
      </c>
      <c r="D40" s="601" t="s">
        <v>388</v>
      </c>
      <c r="E40" s="587" t="s">
        <v>365</v>
      </c>
      <c r="F40" s="587" t="s">
        <v>384</v>
      </c>
      <c r="G40" s="587" t="s">
        <v>371</v>
      </c>
      <c r="H40" s="583" t="s">
        <v>368</v>
      </c>
      <c r="I40" s="584">
        <v>249</v>
      </c>
    </row>
    <row r="41" spans="1:9" ht="16.8" x14ac:dyDescent="0.3">
      <c r="A41" s="578" t="s">
        <v>352</v>
      </c>
      <c r="B41" s="579">
        <v>1</v>
      </c>
      <c r="C41" s="585" t="s">
        <v>403</v>
      </c>
      <c r="D41" s="601" t="s">
        <v>369</v>
      </c>
      <c r="E41" s="587" t="s">
        <v>365</v>
      </c>
      <c r="F41" s="587" t="s">
        <v>373</v>
      </c>
      <c r="G41" s="587" t="s">
        <v>371</v>
      </c>
      <c r="H41" s="583" t="s">
        <v>407</v>
      </c>
      <c r="I41" s="584">
        <v>113</v>
      </c>
    </row>
    <row r="42" spans="1:9" ht="16.8" x14ac:dyDescent="0.3">
      <c r="A42" s="578" t="s">
        <v>353</v>
      </c>
      <c r="B42" s="579">
        <v>1</v>
      </c>
      <c r="C42" s="585" t="s">
        <v>403</v>
      </c>
      <c r="D42" s="601" t="s">
        <v>379</v>
      </c>
      <c r="E42" s="587" t="s">
        <v>365</v>
      </c>
      <c r="F42" s="587" t="s">
        <v>373</v>
      </c>
      <c r="G42" s="587" t="s">
        <v>389</v>
      </c>
      <c r="H42" s="583" t="s">
        <v>368</v>
      </c>
      <c r="I42" s="584">
        <v>250</v>
      </c>
    </row>
    <row r="43" spans="1:9" ht="16.8" x14ac:dyDescent="0.3">
      <c r="A43" s="578" t="s">
        <v>342</v>
      </c>
      <c r="B43" s="579">
        <v>1</v>
      </c>
      <c r="C43" s="585" t="s">
        <v>399</v>
      </c>
      <c r="D43" s="601" t="s">
        <v>401</v>
      </c>
      <c r="E43" s="587" t="s">
        <v>365</v>
      </c>
      <c r="F43" s="587" t="s">
        <v>366</v>
      </c>
      <c r="G43" s="587" t="s">
        <v>378</v>
      </c>
      <c r="H43" s="583" t="s">
        <v>402</v>
      </c>
      <c r="I43" s="584">
        <v>170</v>
      </c>
    </row>
    <row r="44" spans="1:9" ht="16.8" x14ac:dyDescent="0.3">
      <c r="A44" s="578" t="s">
        <v>354</v>
      </c>
      <c r="B44" s="579">
        <v>1</v>
      </c>
      <c r="C44" s="585" t="s">
        <v>403</v>
      </c>
      <c r="D44" s="601" t="s">
        <v>379</v>
      </c>
      <c r="E44" s="587" t="s">
        <v>365</v>
      </c>
      <c r="F44" s="587" t="s">
        <v>373</v>
      </c>
      <c r="G44" s="587" t="s">
        <v>371</v>
      </c>
      <c r="H44" s="583" t="s">
        <v>368</v>
      </c>
      <c r="I44" s="584">
        <v>259</v>
      </c>
    </row>
    <row r="45" spans="1:9" ht="16.8" x14ac:dyDescent="0.3">
      <c r="A45" s="578" t="s">
        <v>355</v>
      </c>
      <c r="B45" s="579">
        <v>1</v>
      </c>
      <c r="C45" s="585" t="s">
        <v>403</v>
      </c>
      <c r="D45" s="601" t="s">
        <v>364</v>
      </c>
      <c r="E45" s="587" t="s">
        <v>365</v>
      </c>
      <c r="F45" s="587" t="s">
        <v>384</v>
      </c>
      <c r="G45" s="587" t="s">
        <v>371</v>
      </c>
      <c r="H45" s="583" t="s">
        <v>406</v>
      </c>
      <c r="I45" s="584">
        <v>120</v>
      </c>
    </row>
    <row r="46" spans="1:9" ht="16.8" x14ac:dyDescent="0.3">
      <c r="A46" s="578" t="s">
        <v>356</v>
      </c>
      <c r="B46" s="579">
        <v>1</v>
      </c>
      <c r="C46" s="585" t="s">
        <v>403</v>
      </c>
      <c r="D46" s="601" t="s">
        <v>379</v>
      </c>
      <c r="E46" s="587" t="s">
        <v>365</v>
      </c>
      <c r="F46" s="587" t="s">
        <v>384</v>
      </c>
      <c r="G46" s="587" t="s">
        <v>371</v>
      </c>
      <c r="H46" s="583" t="s">
        <v>408</v>
      </c>
      <c r="I46" s="584">
        <v>175</v>
      </c>
    </row>
    <row r="47" spans="1:9" ht="16.8" x14ac:dyDescent="0.3">
      <c r="A47" s="578" t="s">
        <v>216</v>
      </c>
      <c r="B47" s="579">
        <v>1</v>
      </c>
      <c r="C47" s="580" t="s">
        <v>410</v>
      </c>
      <c r="D47" s="581" t="s">
        <v>393</v>
      </c>
      <c r="E47" s="583" t="s">
        <v>365</v>
      </c>
      <c r="F47" s="583" t="s">
        <v>384</v>
      </c>
      <c r="G47" s="583" t="s">
        <v>378</v>
      </c>
      <c r="H47" s="583" t="s">
        <v>368</v>
      </c>
      <c r="I47" s="584">
        <v>269</v>
      </c>
    </row>
    <row r="48" spans="1:9" ht="16.8" x14ac:dyDescent="0.3">
      <c r="A48" s="578" t="s">
        <v>318</v>
      </c>
      <c r="B48" s="579">
        <v>1</v>
      </c>
      <c r="C48" s="580" t="s">
        <v>363</v>
      </c>
      <c r="D48" s="581" t="s">
        <v>379</v>
      </c>
      <c r="E48" s="582" t="s">
        <v>365</v>
      </c>
      <c r="F48" s="583" t="s">
        <v>373</v>
      </c>
      <c r="G48" s="583" t="s">
        <v>378</v>
      </c>
      <c r="H48" s="583" t="s">
        <v>368</v>
      </c>
      <c r="I48" s="584">
        <v>272</v>
      </c>
    </row>
    <row r="49" spans="1:9" ht="16.8" x14ac:dyDescent="0.3">
      <c r="A49" s="578" t="s">
        <v>319</v>
      </c>
      <c r="B49" s="579">
        <v>1</v>
      </c>
      <c r="C49" s="580" t="s">
        <v>363</v>
      </c>
      <c r="D49" s="581" t="s">
        <v>379</v>
      </c>
      <c r="E49" s="582" t="s">
        <v>365</v>
      </c>
      <c r="F49" s="583" t="s">
        <v>373</v>
      </c>
      <c r="G49" s="583" t="s">
        <v>378</v>
      </c>
      <c r="H49" s="583" t="s">
        <v>380</v>
      </c>
      <c r="I49" s="584">
        <v>104</v>
      </c>
    </row>
    <row r="50" spans="1:9" ht="16.8" x14ac:dyDescent="0.3">
      <c r="A50" s="578" t="s">
        <v>357</v>
      </c>
      <c r="B50" s="579">
        <v>1</v>
      </c>
      <c r="C50" s="585" t="s">
        <v>403</v>
      </c>
      <c r="D50" s="601" t="s">
        <v>379</v>
      </c>
      <c r="E50" s="587" t="s">
        <v>365</v>
      </c>
      <c r="F50" s="587" t="s">
        <v>373</v>
      </c>
      <c r="G50" s="587" t="s">
        <v>389</v>
      </c>
      <c r="H50" s="583" t="s">
        <v>409</v>
      </c>
      <c r="I50" s="584">
        <v>107</v>
      </c>
    </row>
    <row r="51" spans="1:9" ht="16.8" x14ac:dyDescent="0.3">
      <c r="A51" s="578" t="s">
        <v>334</v>
      </c>
      <c r="B51" s="579">
        <v>1</v>
      </c>
      <c r="C51" s="580" t="s">
        <v>387</v>
      </c>
      <c r="D51" s="581" t="s">
        <v>369</v>
      </c>
      <c r="E51" s="582" t="s">
        <v>383</v>
      </c>
      <c r="F51" s="583" t="s">
        <v>384</v>
      </c>
      <c r="G51" s="583" t="s">
        <v>392</v>
      </c>
      <c r="H51" s="583" t="s">
        <v>372</v>
      </c>
      <c r="I51" s="584">
        <v>157</v>
      </c>
    </row>
    <row r="52" spans="1:9" ht="16.8" x14ac:dyDescent="0.3">
      <c r="A52" s="578" t="s">
        <v>335</v>
      </c>
      <c r="B52" s="579">
        <v>1</v>
      </c>
      <c r="C52" s="580" t="s">
        <v>387</v>
      </c>
      <c r="D52" s="581" t="s">
        <v>369</v>
      </c>
      <c r="E52" s="582" t="s">
        <v>365</v>
      </c>
      <c r="F52" s="583" t="s">
        <v>384</v>
      </c>
      <c r="G52" s="583" t="s">
        <v>389</v>
      </c>
      <c r="H52" s="583" t="s">
        <v>368</v>
      </c>
      <c r="I52" s="584">
        <v>281</v>
      </c>
    </row>
    <row r="53" spans="1:9" ht="16.8" x14ac:dyDescent="0.3">
      <c r="A53" s="578" t="s">
        <v>322</v>
      </c>
      <c r="B53" s="579">
        <v>1</v>
      </c>
      <c r="C53" s="580" t="s">
        <v>381</v>
      </c>
      <c r="D53" s="581" t="s">
        <v>379</v>
      </c>
      <c r="E53" s="582" t="s">
        <v>365</v>
      </c>
      <c r="F53" s="583" t="s">
        <v>366</v>
      </c>
      <c r="G53" s="583" t="s">
        <v>385</v>
      </c>
      <c r="H53" s="583" t="s">
        <v>368</v>
      </c>
      <c r="I53" s="584">
        <v>288</v>
      </c>
    </row>
    <row r="54" spans="1:9" ht="16.8" x14ac:dyDescent="0.3">
      <c r="A54" s="578" t="s">
        <v>358</v>
      </c>
      <c r="B54" s="579">
        <v>1</v>
      </c>
      <c r="C54" s="585" t="s">
        <v>403</v>
      </c>
      <c r="D54" s="601" t="s">
        <v>364</v>
      </c>
      <c r="E54" s="587" t="s">
        <v>365</v>
      </c>
      <c r="F54" s="587" t="s">
        <v>373</v>
      </c>
      <c r="G54" s="587" t="s">
        <v>374</v>
      </c>
      <c r="H54" s="583" t="s">
        <v>406</v>
      </c>
      <c r="I54" s="584">
        <v>123</v>
      </c>
    </row>
    <row r="55" spans="1:9" ht="16.8" x14ac:dyDescent="0.3">
      <c r="A55" s="578" t="s">
        <v>359</v>
      </c>
      <c r="B55" s="579">
        <v>1</v>
      </c>
      <c r="C55" s="585" t="s">
        <v>403</v>
      </c>
      <c r="D55" s="601" t="s">
        <v>369</v>
      </c>
      <c r="E55" s="587" t="s">
        <v>365</v>
      </c>
      <c r="F55" s="587" t="s">
        <v>373</v>
      </c>
      <c r="G55" s="587" t="s">
        <v>371</v>
      </c>
      <c r="H55" s="583" t="s">
        <v>402</v>
      </c>
      <c r="I55" s="584">
        <v>184</v>
      </c>
    </row>
    <row r="56" spans="1:9" ht="16.8" x14ac:dyDescent="0.3">
      <c r="A56" s="578" t="s">
        <v>360</v>
      </c>
      <c r="B56" s="579">
        <v>1</v>
      </c>
      <c r="C56" s="585" t="s">
        <v>403</v>
      </c>
      <c r="D56" s="601" t="s">
        <v>364</v>
      </c>
      <c r="E56" s="587" t="s">
        <v>365</v>
      </c>
      <c r="F56" s="587" t="s">
        <v>373</v>
      </c>
      <c r="G56" s="587" t="s">
        <v>389</v>
      </c>
      <c r="H56" s="583" t="s">
        <v>406</v>
      </c>
      <c r="I56" s="584">
        <v>124</v>
      </c>
    </row>
    <row r="57" spans="1:9" ht="16.8" x14ac:dyDescent="0.3">
      <c r="A57" s="578" t="s">
        <v>336</v>
      </c>
      <c r="B57" s="579">
        <v>1</v>
      </c>
      <c r="C57" s="585" t="s">
        <v>387</v>
      </c>
      <c r="D57" s="601" t="s">
        <v>395</v>
      </c>
      <c r="E57" s="587" t="s">
        <v>383</v>
      </c>
      <c r="F57" s="587" t="s">
        <v>384</v>
      </c>
      <c r="G57" s="587" t="s">
        <v>392</v>
      </c>
      <c r="H57" s="583" t="s">
        <v>372</v>
      </c>
      <c r="I57" s="584">
        <v>158</v>
      </c>
    </row>
    <row r="58" spans="1:9" ht="16.8" x14ac:dyDescent="0.3">
      <c r="A58" s="578" t="s">
        <v>361</v>
      </c>
      <c r="B58" s="579">
        <v>1</v>
      </c>
      <c r="C58" s="585" t="s">
        <v>403</v>
      </c>
      <c r="D58" s="601" t="s">
        <v>379</v>
      </c>
      <c r="E58" s="587" t="s">
        <v>365</v>
      </c>
      <c r="F58" s="587" t="s">
        <v>373</v>
      </c>
      <c r="G58" s="587" t="s">
        <v>378</v>
      </c>
      <c r="H58" s="583" t="s">
        <v>406</v>
      </c>
      <c r="I58" s="584">
        <v>125</v>
      </c>
    </row>
    <row r="59" spans="1:9" ht="17.399999999999999" thickBot="1" x14ac:dyDescent="0.35">
      <c r="A59" s="588" t="s">
        <v>362</v>
      </c>
      <c r="B59" s="589">
        <v>1</v>
      </c>
      <c r="C59" s="605" t="s">
        <v>403</v>
      </c>
      <c r="D59" s="606" t="s">
        <v>388</v>
      </c>
      <c r="E59" s="607" t="s">
        <v>365</v>
      </c>
      <c r="F59" s="607" t="s">
        <v>373</v>
      </c>
      <c r="G59" s="607" t="s">
        <v>389</v>
      </c>
      <c r="H59" s="590" t="s">
        <v>398</v>
      </c>
      <c r="I59" s="591">
        <v>37</v>
      </c>
    </row>
    <row r="60" spans="1:9" ht="16.2" thickTop="1" x14ac:dyDescent="0.3"/>
  </sheetData>
  <sortState xmlns:xlrd2="http://schemas.microsoft.com/office/spreadsheetml/2017/richdata2" ref="A3:I59">
    <sortCondition ref="B3:B59"/>
    <sortCondition ref="A3:A59"/>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showGridLines="0" workbookViewId="0"/>
  </sheetViews>
  <sheetFormatPr defaultColWidth="9.59765625" defaultRowHeight="16.8" x14ac:dyDescent="0.3"/>
  <cols>
    <col min="1" max="1" width="17.5" style="141" bestFit="1" customWidth="1"/>
    <col min="2" max="3" width="3.59765625" style="141" bestFit="1" customWidth="1"/>
    <col min="4" max="4" width="3.8984375" style="141" bestFit="1" customWidth="1"/>
    <col min="5" max="5" width="3.69921875" style="141" bestFit="1" customWidth="1"/>
    <col min="6" max="7" width="3.59765625" style="141" bestFit="1" customWidth="1"/>
    <col min="8" max="8" width="2.09765625" style="141" customWidth="1"/>
    <col min="9" max="9" width="16.3984375" style="141" bestFit="1" customWidth="1"/>
    <col min="10" max="10" width="3.59765625" style="141" bestFit="1" customWidth="1"/>
    <col min="11" max="11" width="3.3984375" style="141" bestFit="1" customWidth="1"/>
    <col min="12" max="12" width="3.8984375" style="141" bestFit="1" customWidth="1"/>
    <col min="13" max="13" width="3.69921875" style="141" bestFit="1" customWidth="1"/>
    <col min="14" max="15" width="3.59765625" style="141" bestFit="1" customWidth="1"/>
    <col min="16" max="16384" width="9.59765625" style="141"/>
  </cols>
  <sheetData>
    <row r="1" spans="1:16" ht="17.399999999999999" thickTop="1" x14ac:dyDescent="0.3">
      <c r="A1" s="363"/>
      <c r="B1" s="443" t="s">
        <v>169</v>
      </c>
      <c r="C1" s="444"/>
      <c r="D1" s="445"/>
      <c r="E1" s="445"/>
      <c r="F1" s="445"/>
      <c r="G1" s="446"/>
      <c r="I1" s="363"/>
      <c r="J1" s="431" t="s">
        <v>173</v>
      </c>
      <c r="K1" s="432"/>
      <c r="L1" s="432"/>
      <c r="M1" s="432"/>
      <c r="N1" s="433"/>
    </row>
    <row r="2" spans="1:16" ht="17.399999999999999" thickBot="1" x14ac:dyDescent="0.35">
      <c r="A2" s="363"/>
      <c r="B2" s="447" t="s">
        <v>148</v>
      </c>
      <c r="C2" s="448" t="s">
        <v>112</v>
      </c>
      <c r="D2" s="448" t="s">
        <v>113</v>
      </c>
      <c r="E2" s="448" t="s">
        <v>114</v>
      </c>
      <c r="F2" s="448" t="s">
        <v>115</v>
      </c>
      <c r="G2" s="449" t="s">
        <v>116</v>
      </c>
      <c r="I2" s="363"/>
      <c r="J2" s="434" t="s">
        <v>112</v>
      </c>
      <c r="K2" s="435" t="s">
        <v>113</v>
      </c>
      <c r="L2" s="435" t="s">
        <v>114</v>
      </c>
      <c r="M2" s="435" t="s">
        <v>115</v>
      </c>
      <c r="N2" s="436" t="s">
        <v>116</v>
      </c>
    </row>
    <row r="3" spans="1:16" ht="17.399999999999999" thickTop="1" x14ac:dyDescent="0.3">
      <c r="A3" s="450" t="s">
        <v>168</v>
      </c>
      <c r="B3" s="364">
        <v>6</v>
      </c>
      <c r="C3" s="365">
        <v>6</v>
      </c>
      <c r="D3" s="365">
        <v>5</v>
      </c>
      <c r="E3" s="365">
        <v>3</v>
      </c>
      <c r="F3" s="366">
        <v>0</v>
      </c>
      <c r="G3" s="367">
        <v>0</v>
      </c>
      <c r="I3" s="437" t="s">
        <v>170</v>
      </c>
      <c r="J3" s="608">
        <v>0</v>
      </c>
      <c r="K3" s="366">
        <v>0</v>
      </c>
      <c r="L3" s="366">
        <v>0</v>
      </c>
      <c r="M3" s="366">
        <v>0</v>
      </c>
      <c r="N3" s="367">
        <v>0</v>
      </c>
    </row>
    <row r="4" spans="1:16" x14ac:dyDescent="0.3">
      <c r="A4" s="451" t="s">
        <v>171</v>
      </c>
      <c r="B4" s="368">
        <v>0</v>
      </c>
      <c r="C4" s="368">
        <v>1</v>
      </c>
      <c r="D4" s="368">
        <v>1</v>
      </c>
      <c r="E4" s="368">
        <v>1</v>
      </c>
      <c r="F4" s="369">
        <v>0</v>
      </c>
      <c r="G4" s="370">
        <v>0</v>
      </c>
      <c r="I4" s="438" t="s">
        <v>172</v>
      </c>
      <c r="J4" s="609">
        <v>1</v>
      </c>
      <c r="K4" s="369">
        <v>0</v>
      </c>
      <c r="L4" s="369">
        <v>0</v>
      </c>
      <c r="M4" s="369">
        <v>0</v>
      </c>
      <c r="N4" s="370">
        <v>0</v>
      </c>
    </row>
    <row r="5" spans="1:16" ht="17.399999999999999" thickBot="1" x14ac:dyDescent="0.35">
      <c r="A5" s="452" t="s">
        <v>149</v>
      </c>
      <c r="B5" s="442">
        <f>SUM(B3:B4)</f>
        <v>6</v>
      </c>
      <c r="C5" s="442">
        <f>SUM(C3:C4)</f>
        <v>7</v>
      </c>
      <c r="D5" s="442">
        <f>SUM(D3:D4)</f>
        <v>6</v>
      </c>
      <c r="E5" s="442">
        <f>SUM(E3:E4)</f>
        <v>4</v>
      </c>
      <c r="F5" s="371">
        <v>0</v>
      </c>
      <c r="G5" s="372">
        <v>0</v>
      </c>
      <c r="I5" s="439" t="s">
        <v>149</v>
      </c>
      <c r="J5" s="610">
        <f t="shared" ref="J5" si="0">SUM(J3:J4)</f>
        <v>1</v>
      </c>
      <c r="K5" s="371">
        <v>0</v>
      </c>
      <c r="L5" s="371">
        <v>0</v>
      </c>
      <c r="M5" s="371">
        <v>0</v>
      </c>
      <c r="N5" s="372">
        <v>0</v>
      </c>
    </row>
    <row r="6" spans="1:16" x14ac:dyDescent="0.3">
      <c r="A6" s="453" t="s">
        <v>96</v>
      </c>
      <c r="B6" s="622">
        <f>10+LEFT(B2,1)+'Personal File'!$C$18</f>
        <v>14</v>
      </c>
      <c r="C6" s="622">
        <f>10+LEFT(C2,1)+'Personal File'!$C$18</f>
        <v>15</v>
      </c>
      <c r="D6" s="622">
        <f>10+LEFT(D2,1)+'Personal File'!$C$18</f>
        <v>16</v>
      </c>
      <c r="E6" s="622">
        <f>10+LEFT(E2,1)+'Personal File'!$C$18</f>
        <v>17</v>
      </c>
      <c r="F6" s="623">
        <f>10+LEFT(F2,1)+'Personal File'!$C$18</f>
        <v>18</v>
      </c>
      <c r="G6" s="624">
        <f>10+LEFT(G2,1)+'Personal File'!$C$18</f>
        <v>19</v>
      </c>
      <c r="I6" s="440" t="s">
        <v>96</v>
      </c>
      <c r="J6" s="611">
        <f>10+LEFT(J2,1)+'Personal File'!$C$15</f>
        <v>13</v>
      </c>
      <c r="K6" s="373">
        <f>10+LEFT(K2,1)+'Personal File'!$C$15</f>
        <v>14</v>
      </c>
      <c r="L6" s="373">
        <f>10+LEFT(L2,1)+'Personal File'!$C$15</f>
        <v>15</v>
      </c>
      <c r="M6" s="373">
        <f>10+LEFT(M2,1)+'Personal File'!$C$15</f>
        <v>16</v>
      </c>
      <c r="N6" s="374">
        <f>10+LEFT(N2,1)+'Personal File'!$C$15</f>
        <v>17</v>
      </c>
    </row>
    <row r="7" spans="1:16" ht="17.399999999999999" thickBot="1" x14ac:dyDescent="0.35">
      <c r="A7" s="454" t="s">
        <v>97</v>
      </c>
      <c r="B7" s="459">
        <v>0</v>
      </c>
      <c r="C7" s="459">
        <v>0</v>
      </c>
      <c r="D7" s="459">
        <v>0</v>
      </c>
      <c r="E7" s="459">
        <v>0</v>
      </c>
      <c r="F7" s="375" t="s">
        <v>86</v>
      </c>
      <c r="G7" s="376" t="s">
        <v>86</v>
      </c>
      <c r="I7" s="441" t="s">
        <v>97</v>
      </c>
      <c r="J7" s="612">
        <v>0</v>
      </c>
      <c r="K7" s="375" t="s">
        <v>86</v>
      </c>
      <c r="L7" s="375" t="s">
        <v>86</v>
      </c>
      <c r="M7" s="375" t="s">
        <v>86</v>
      </c>
      <c r="N7" s="376" t="s">
        <v>86</v>
      </c>
    </row>
    <row r="8" spans="1:16" ht="17.399999999999999" thickTop="1" x14ac:dyDescent="0.3">
      <c r="A8" s="363"/>
      <c r="B8" s="363"/>
      <c r="C8" s="363"/>
      <c r="D8" s="363"/>
      <c r="E8" s="363"/>
      <c r="F8" s="363"/>
      <c r="G8" s="363"/>
    </row>
    <row r="9" spans="1:16" ht="23.4" thickBot="1" x14ac:dyDescent="0.35">
      <c r="A9" s="538" t="s">
        <v>167</v>
      </c>
      <c r="B9" s="250"/>
      <c r="C9" s="250"/>
      <c r="D9" s="250"/>
      <c r="E9" s="250"/>
      <c r="F9" s="250"/>
      <c r="G9" s="250"/>
      <c r="I9" s="538" t="s">
        <v>426</v>
      </c>
      <c r="J9" s="250"/>
      <c r="K9" s="250"/>
      <c r="L9" s="250"/>
      <c r="M9" s="250"/>
      <c r="N9" s="250"/>
      <c r="O9" s="250"/>
    </row>
    <row r="10" spans="1:16" ht="18" thickTop="1" thickBot="1" x14ac:dyDescent="0.35">
      <c r="A10" s="251" t="s">
        <v>85</v>
      </c>
      <c r="B10" s="252">
        <v>0</v>
      </c>
      <c r="C10" s="253" t="s">
        <v>112</v>
      </c>
      <c r="D10" s="253" t="s">
        <v>113</v>
      </c>
      <c r="E10" s="253" t="s">
        <v>114</v>
      </c>
      <c r="F10" s="253" t="s">
        <v>115</v>
      </c>
      <c r="G10" s="254" t="s">
        <v>116</v>
      </c>
      <c r="I10" s="535" t="s">
        <v>150</v>
      </c>
      <c r="J10" s="536"/>
      <c r="K10" s="537" t="s">
        <v>151</v>
      </c>
      <c r="L10" s="537" t="s">
        <v>311</v>
      </c>
      <c r="M10" s="537"/>
      <c r="N10" s="537" t="s">
        <v>472</v>
      </c>
      <c r="O10" s="537"/>
      <c r="P10" s="639" t="s">
        <v>312</v>
      </c>
    </row>
    <row r="11" spans="1:16" x14ac:dyDescent="0.3">
      <c r="A11" s="255">
        <v>1</v>
      </c>
      <c r="B11" s="264">
        <v>4</v>
      </c>
      <c r="C11" s="261">
        <v>3</v>
      </c>
      <c r="D11" s="256"/>
      <c r="E11" s="256"/>
      <c r="F11" s="256"/>
      <c r="G11" s="257"/>
      <c r="I11" s="455" t="s">
        <v>156</v>
      </c>
      <c r="J11" s="456"/>
      <c r="K11" s="427">
        <f>'Personal File'!$E$4+ROUNDDOWN('Personal File'!$E$5/2,0)</f>
        <v>6</v>
      </c>
      <c r="L11" s="427">
        <f>$K$11</f>
        <v>6</v>
      </c>
      <c r="M11" s="428"/>
      <c r="N11" s="427">
        <f>$K$11</f>
        <v>6</v>
      </c>
      <c r="O11" s="428"/>
      <c r="P11" s="640">
        <f>$K$11+4</f>
        <v>10</v>
      </c>
    </row>
    <row r="12" spans="1:16" ht="17.399999999999999" thickBot="1" x14ac:dyDescent="0.35">
      <c r="A12" s="258">
        <v>2</v>
      </c>
      <c r="B12" s="265">
        <v>5</v>
      </c>
      <c r="C12" s="261">
        <v>3</v>
      </c>
      <c r="D12" s="259"/>
      <c r="E12" s="259"/>
      <c r="F12" s="259"/>
      <c r="G12" s="260"/>
      <c r="I12" s="457" t="s">
        <v>157</v>
      </c>
      <c r="J12" s="458"/>
      <c r="K12" s="429">
        <f>'Personal File'!$E$6</f>
        <v>0</v>
      </c>
      <c r="L12" s="429">
        <f>'Personal File'!$E$6</f>
        <v>0</v>
      </c>
      <c r="M12" s="430"/>
      <c r="N12" s="429">
        <f>'Personal File'!$E$6</f>
        <v>0</v>
      </c>
      <c r="O12" s="430"/>
      <c r="P12" s="641">
        <f>'Personal File'!$E$6</f>
        <v>0</v>
      </c>
    </row>
    <row r="13" spans="1:16" ht="17.399999999999999" thickTop="1" x14ac:dyDescent="0.3">
      <c r="A13" s="258">
        <v>3</v>
      </c>
      <c r="B13" s="265">
        <v>5</v>
      </c>
      <c r="C13" s="261">
        <v>4</v>
      </c>
      <c r="D13" s="259"/>
      <c r="E13" s="259"/>
      <c r="F13" s="259"/>
      <c r="G13" s="260"/>
    </row>
    <row r="14" spans="1:16" x14ac:dyDescent="0.3">
      <c r="A14" s="258">
        <v>4</v>
      </c>
      <c r="B14" s="265">
        <v>6</v>
      </c>
      <c r="C14" s="261">
        <v>4</v>
      </c>
      <c r="D14" s="261">
        <v>3</v>
      </c>
      <c r="E14" s="259"/>
      <c r="F14" s="259"/>
      <c r="G14" s="260"/>
      <c r="J14" s="61" t="s">
        <v>462</v>
      </c>
      <c r="K14" s="620" t="s">
        <v>463</v>
      </c>
    </row>
    <row r="15" spans="1:16" x14ac:dyDescent="0.3">
      <c r="A15" s="258">
        <v>5</v>
      </c>
      <c r="B15" s="265">
        <v>6</v>
      </c>
      <c r="C15" s="261">
        <v>5</v>
      </c>
      <c r="D15" s="261">
        <v>3</v>
      </c>
      <c r="E15" s="259"/>
      <c r="F15" s="259"/>
      <c r="G15" s="260"/>
    </row>
    <row r="16" spans="1:16" x14ac:dyDescent="0.3">
      <c r="A16" s="532">
        <v>6</v>
      </c>
      <c r="B16" s="533">
        <v>7</v>
      </c>
      <c r="C16" s="534">
        <v>5</v>
      </c>
      <c r="D16" s="534">
        <f>D15+1</f>
        <v>4</v>
      </c>
      <c r="E16" s="534">
        <v>3</v>
      </c>
      <c r="F16" s="259"/>
      <c r="G16" s="260"/>
    </row>
    <row r="17" spans="1:7" x14ac:dyDescent="0.3">
      <c r="A17" s="258">
        <v>7</v>
      </c>
      <c r="B17" s="265">
        <v>7</v>
      </c>
      <c r="C17" s="261">
        <v>6</v>
      </c>
      <c r="D17" s="261">
        <v>4</v>
      </c>
      <c r="E17" s="261">
        <v>3</v>
      </c>
      <c r="F17" s="259"/>
      <c r="G17" s="260"/>
    </row>
    <row r="18" spans="1:7" x14ac:dyDescent="0.3">
      <c r="A18" s="258">
        <v>8</v>
      </c>
      <c r="B18" s="265">
        <v>8</v>
      </c>
      <c r="C18" s="261">
        <f t="shared" ref="C18:E25" si="1">C17</f>
        <v>6</v>
      </c>
      <c r="D18" s="261">
        <f t="shared" ref="D18" si="2">D17+1</f>
        <v>5</v>
      </c>
      <c r="E18" s="261">
        <v>4</v>
      </c>
      <c r="F18" s="261">
        <v>3</v>
      </c>
      <c r="G18" s="260"/>
    </row>
    <row r="19" spans="1:7" x14ac:dyDescent="0.3">
      <c r="A19" s="258">
        <v>9</v>
      </c>
      <c r="B19" s="265">
        <v>8</v>
      </c>
      <c r="C19" s="261">
        <f t="shared" si="1"/>
        <v>6</v>
      </c>
      <c r="D19" s="261">
        <f t="shared" si="1"/>
        <v>5</v>
      </c>
      <c r="E19" s="261">
        <v>4</v>
      </c>
      <c r="F19" s="261">
        <v>3</v>
      </c>
      <c r="G19" s="260"/>
    </row>
    <row r="20" spans="1:7" x14ac:dyDescent="0.3">
      <c r="A20" s="258">
        <v>10</v>
      </c>
      <c r="B20" s="265">
        <v>9</v>
      </c>
      <c r="C20" s="261">
        <f t="shared" si="1"/>
        <v>6</v>
      </c>
      <c r="D20" s="261">
        <v>6</v>
      </c>
      <c r="E20" s="261">
        <v>5</v>
      </c>
      <c r="F20" s="261">
        <v>4</v>
      </c>
      <c r="G20" s="592">
        <v>3</v>
      </c>
    </row>
    <row r="21" spans="1:7" x14ac:dyDescent="0.3">
      <c r="A21" s="258">
        <v>11</v>
      </c>
      <c r="B21" s="265">
        <v>9</v>
      </c>
      <c r="C21" s="261">
        <f t="shared" si="1"/>
        <v>6</v>
      </c>
      <c r="D21" s="261">
        <v>6</v>
      </c>
      <c r="E21" s="261">
        <v>5</v>
      </c>
      <c r="F21" s="261">
        <v>4</v>
      </c>
      <c r="G21" s="592">
        <v>3</v>
      </c>
    </row>
    <row r="22" spans="1:7" x14ac:dyDescent="0.3">
      <c r="A22" s="258">
        <v>12</v>
      </c>
      <c r="B22" s="265">
        <v>9</v>
      </c>
      <c r="C22" s="261">
        <f t="shared" si="1"/>
        <v>6</v>
      </c>
      <c r="D22" s="261">
        <v>6</v>
      </c>
      <c r="E22" s="261">
        <f t="shared" ref="E22" si="3">E21+1</f>
        <v>6</v>
      </c>
      <c r="F22" s="261">
        <v>5</v>
      </c>
      <c r="G22" s="592">
        <v>4</v>
      </c>
    </row>
    <row r="23" spans="1:7" x14ac:dyDescent="0.3">
      <c r="A23" s="258">
        <v>13</v>
      </c>
      <c r="B23" s="265">
        <v>9</v>
      </c>
      <c r="C23" s="261">
        <f t="shared" si="1"/>
        <v>6</v>
      </c>
      <c r="D23" s="261">
        <v>6</v>
      </c>
      <c r="E23" s="261">
        <f t="shared" si="1"/>
        <v>6</v>
      </c>
      <c r="F23" s="261">
        <v>5</v>
      </c>
      <c r="G23" s="592">
        <v>4</v>
      </c>
    </row>
    <row r="24" spans="1:7" x14ac:dyDescent="0.3">
      <c r="A24" s="258">
        <v>14</v>
      </c>
      <c r="B24" s="265">
        <v>9</v>
      </c>
      <c r="C24" s="261">
        <f t="shared" si="1"/>
        <v>6</v>
      </c>
      <c r="D24" s="261">
        <v>6</v>
      </c>
      <c r="E24" s="261">
        <f t="shared" si="1"/>
        <v>6</v>
      </c>
      <c r="F24" s="261">
        <v>6</v>
      </c>
      <c r="G24" s="592">
        <v>5</v>
      </c>
    </row>
    <row r="25" spans="1:7" ht="17.399999999999999" thickBot="1" x14ac:dyDescent="0.35">
      <c r="A25" s="262">
        <v>15</v>
      </c>
      <c r="B25" s="266">
        <v>9</v>
      </c>
      <c r="C25" s="263">
        <f t="shared" si="1"/>
        <v>6</v>
      </c>
      <c r="D25" s="263">
        <v>6</v>
      </c>
      <c r="E25" s="263">
        <f t="shared" si="1"/>
        <v>6</v>
      </c>
      <c r="F25" s="263">
        <v>6</v>
      </c>
      <c r="G25" s="593">
        <v>5</v>
      </c>
    </row>
    <row r="26" spans="1:7" ht="17.399999999999999" thickTop="1" x14ac:dyDescent="0.3"/>
  </sheetData>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4"/>
  <sheetViews>
    <sheetView showGridLines="0" workbookViewId="0"/>
  </sheetViews>
  <sheetFormatPr defaultColWidth="9.59765625" defaultRowHeight="16.8" x14ac:dyDescent="0.3"/>
  <cols>
    <col min="1" max="1" width="35.09765625" style="24" bestFit="1" customWidth="1"/>
    <col min="2" max="2" width="2.19921875" style="16" customWidth="1"/>
    <col min="3" max="3" width="25.3984375" style="16" bestFit="1" customWidth="1"/>
    <col min="4" max="16384" width="9.59765625" style="16"/>
  </cols>
  <sheetData>
    <row r="1" spans="1:3" ht="22.2" thickTop="1" thickBot="1" x14ac:dyDescent="0.45">
      <c r="A1" s="273" t="s">
        <v>74</v>
      </c>
      <c r="C1" s="420" t="s">
        <v>159</v>
      </c>
    </row>
    <row r="2" spans="1:3" x14ac:dyDescent="0.3">
      <c r="A2" s="142" t="s">
        <v>208</v>
      </c>
      <c r="C2" s="421" t="s">
        <v>158</v>
      </c>
    </row>
    <row r="3" spans="1:3" x14ac:dyDescent="0.3">
      <c r="A3" s="541" t="s">
        <v>209</v>
      </c>
      <c r="C3" s="421" t="s">
        <v>308</v>
      </c>
    </row>
    <row r="4" spans="1:3" x14ac:dyDescent="0.3">
      <c r="A4" s="317" t="s">
        <v>210</v>
      </c>
      <c r="C4" s="421" t="s">
        <v>183</v>
      </c>
    </row>
    <row r="5" spans="1:3" x14ac:dyDescent="0.3">
      <c r="A5" s="317" t="s">
        <v>211</v>
      </c>
      <c r="C5" s="421" t="s">
        <v>160</v>
      </c>
    </row>
    <row r="6" spans="1:3" ht="17.399999999999999" thickBot="1" x14ac:dyDescent="0.35">
      <c r="A6" s="621" t="s">
        <v>466</v>
      </c>
      <c r="C6" s="422"/>
    </row>
    <row r="7" spans="1:3" ht="18" thickTop="1" thickBot="1" x14ac:dyDescent="0.35"/>
    <row r="8" spans="1:3" ht="22.2" thickTop="1" thickBot="1" x14ac:dyDescent="0.45">
      <c r="A8" s="460" t="s">
        <v>175</v>
      </c>
      <c r="C8" s="500" t="s">
        <v>63</v>
      </c>
    </row>
    <row r="9" spans="1:3" ht="20.399999999999999" x14ac:dyDescent="0.45">
      <c r="A9" s="215" t="s">
        <v>444</v>
      </c>
      <c r="C9" s="216" t="s">
        <v>182</v>
      </c>
    </row>
    <row r="10" spans="1:3" ht="17.399999999999999" thickBot="1" x14ac:dyDescent="0.35">
      <c r="A10" s="232"/>
      <c r="C10" s="577" t="s">
        <v>448</v>
      </c>
    </row>
    <row r="11" spans="1:3" ht="18" thickTop="1" thickBot="1" x14ac:dyDescent="0.35"/>
    <row r="12" spans="1:3" ht="22.2" thickTop="1" thickBot="1" x14ac:dyDescent="0.45">
      <c r="A12" s="628" t="s">
        <v>174</v>
      </c>
      <c r="C12" s="501" t="s">
        <v>94</v>
      </c>
    </row>
    <row r="13" spans="1:3" ht="20.399999999999999" x14ac:dyDescent="0.45">
      <c r="A13" s="540" t="s">
        <v>450</v>
      </c>
      <c r="C13" s="216" t="s">
        <v>453</v>
      </c>
    </row>
    <row r="14" spans="1:3" ht="20.399999999999999" x14ac:dyDescent="0.45">
      <c r="A14" s="540" t="s">
        <v>451</v>
      </c>
      <c r="C14" s="207" t="s">
        <v>95</v>
      </c>
    </row>
    <row r="15" spans="1:3" ht="17.399999999999999" thickBot="1" x14ac:dyDescent="0.35">
      <c r="A15" s="629"/>
      <c r="C15" s="217" t="s">
        <v>452</v>
      </c>
    </row>
    <row r="16" spans="1:3" ht="18" thickTop="1" thickBot="1" x14ac:dyDescent="0.35"/>
    <row r="17" spans="1:1" ht="22.2" thickTop="1" thickBot="1" x14ac:dyDescent="0.45">
      <c r="A17" s="461" t="s">
        <v>206</v>
      </c>
    </row>
    <row r="18" spans="1:1" ht="20.399999999999999" x14ac:dyDescent="0.45">
      <c r="A18" s="617" t="s">
        <v>449</v>
      </c>
    </row>
    <row r="19" spans="1:1" x14ac:dyDescent="0.3">
      <c r="A19" s="618" t="str">
        <f>CONCATENATE("Divine Counterspell, ",1+'Personal File'!C18,"/day")</f>
        <v>Divine Counterspell, 5/day</v>
      </c>
    </row>
    <row r="20" spans="1:1" ht="20.399999999999999" x14ac:dyDescent="0.45">
      <c r="A20" s="613" t="s">
        <v>454</v>
      </c>
    </row>
    <row r="21" spans="1:1" ht="20.399999999999999" x14ac:dyDescent="0.45">
      <c r="A21" s="614" t="s">
        <v>455</v>
      </c>
    </row>
    <row r="22" spans="1:1" ht="20.399999999999999" x14ac:dyDescent="0.45">
      <c r="A22" s="626" t="s">
        <v>456</v>
      </c>
    </row>
    <row r="23" spans="1:1" ht="21" thickBot="1" x14ac:dyDescent="0.35">
      <c r="A23" s="625" t="s">
        <v>471</v>
      </c>
    </row>
    <row r="24" spans="1:1" ht="17.399999999999999" thickTop="1" x14ac:dyDescent="0.3"/>
  </sheetData>
  <sortState xmlns:xlrd2="http://schemas.microsoft.com/office/spreadsheetml/2017/richdata2" ref="A2:A6">
    <sortCondition ref="A2:A6"/>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8"/>
  <sheetViews>
    <sheetView showGridLines="0" zoomScaleNormal="100" workbookViewId="0"/>
  </sheetViews>
  <sheetFormatPr defaultColWidth="13" defaultRowHeight="15.6" x14ac:dyDescent="0.3"/>
  <cols>
    <col min="1" max="1" width="39.5" style="140" bestFit="1" customWidth="1"/>
    <col min="2" max="2" width="8.5" style="140" bestFit="1" customWidth="1"/>
    <col min="3" max="3" width="5.59765625" style="140" bestFit="1" customWidth="1"/>
    <col min="4" max="4" width="6.296875" style="140" bestFit="1" customWidth="1"/>
    <col min="5" max="5" width="8.09765625" style="140" bestFit="1" customWidth="1"/>
    <col min="6" max="6" width="10.8984375" style="140" bestFit="1" customWidth="1"/>
    <col min="7" max="7" width="5.296875" style="140" bestFit="1" customWidth="1"/>
    <col min="8" max="8" width="4.69921875" style="140" bestFit="1" customWidth="1"/>
    <col min="9" max="9" width="5.69921875" style="140" bestFit="1" customWidth="1"/>
    <col min="10" max="10" width="6.296875" style="140" bestFit="1" customWidth="1"/>
    <col min="11" max="11" width="30.09765625" style="140" bestFit="1" customWidth="1"/>
    <col min="12" max="12" width="2.8984375" style="14" customWidth="1"/>
    <col min="13" max="13" width="8.296875" style="14" bestFit="1" customWidth="1"/>
    <col min="14" max="16384" width="13" style="14"/>
  </cols>
  <sheetData>
    <row r="1" spans="1:13" ht="23.4" thickBot="1" x14ac:dyDescent="0.35">
      <c r="A1" s="143" t="s">
        <v>15</v>
      </c>
      <c r="B1" s="143"/>
      <c r="C1" s="143"/>
      <c r="D1" s="143"/>
      <c r="E1" s="143"/>
      <c r="F1" s="143"/>
      <c r="G1" s="143"/>
      <c r="H1" s="143"/>
      <c r="I1" s="143"/>
      <c r="J1" s="143"/>
      <c r="K1" s="143"/>
    </row>
    <row r="2" spans="1:13" ht="16.8" thickTop="1" thickBot="1" x14ac:dyDescent="0.35">
      <c r="A2" s="144" t="s">
        <v>1</v>
      </c>
      <c r="B2" s="145" t="s">
        <v>2</v>
      </c>
      <c r="C2" s="145" t="s">
        <v>18</v>
      </c>
      <c r="D2" s="145" t="s">
        <v>19</v>
      </c>
      <c r="E2" s="146" t="s">
        <v>57</v>
      </c>
      <c r="F2" s="145" t="s">
        <v>16</v>
      </c>
      <c r="G2" s="145" t="s">
        <v>20</v>
      </c>
      <c r="H2" s="147" t="s">
        <v>73</v>
      </c>
      <c r="I2" s="148" t="s">
        <v>78</v>
      </c>
      <c r="J2" s="147" t="s">
        <v>68</v>
      </c>
      <c r="K2" s="149" t="s">
        <v>0</v>
      </c>
      <c r="M2" s="150" t="s">
        <v>84</v>
      </c>
    </row>
    <row r="3" spans="1:13" x14ac:dyDescent="0.3">
      <c r="A3" s="339" t="s">
        <v>443</v>
      </c>
      <c r="B3" s="6" t="s">
        <v>185</v>
      </c>
      <c r="C3" s="478">
        <f>'Personal File'!$C$13+1</f>
        <v>-1</v>
      </c>
      <c r="D3" s="8" t="s">
        <v>75</v>
      </c>
      <c r="E3" s="8" t="s">
        <v>90</v>
      </c>
      <c r="F3" s="9" t="s">
        <v>186</v>
      </c>
      <c r="G3" s="10">
        <v>3</v>
      </c>
      <c r="H3" s="13" t="str">
        <f>CONCATENATE("+",'Personal File'!$B$10+'Personal File'!$C$13+D3+1)</f>
        <v>+9</v>
      </c>
      <c r="I3" s="11">
        <f t="shared" ref="I3:I15" ca="1" si="0">RANDBETWEEN(1,20)</f>
        <v>10</v>
      </c>
      <c r="J3" s="5">
        <f t="shared" ref="J3:J16" ca="1" si="1">I3+H3</f>
        <v>19</v>
      </c>
      <c r="K3" s="345" t="s">
        <v>199</v>
      </c>
      <c r="M3" s="245">
        <f>300+30+3000</f>
        <v>3330</v>
      </c>
    </row>
    <row r="4" spans="1:13" x14ac:dyDescent="0.3">
      <c r="A4" s="233" t="s">
        <v>190</v>
      </c>
      <c r="B4" s="240" t="s">
        <v>185</v>
      </c>
      <c r="C4" s="7">
        <f>'Personal File'!$C$13+1</f>
        <v>-1</v>
      </c>
      <c r="D4" s="241" t="s">
        <v>75</v>
      </c>
      <c r="E4" s="241" t="s">
        <v>90</v>
      </c>
      <c r="F4" s="9" t="s">
        <v>186</v>
      </c>
      <c r="G4" s="242"/>
      <c r="H4" s="13" t="str">
        <f>CONCATENATE("+",'Personal File'!$B$10+'Personal File'!$C$13+D4-5+1)</f>
        <v>+4</v>
      </c>
      <c r="I4" s="11">
        <f t="shared" ca="1" si="0"/>
        <v>1</v>
      </c>
      <c r="J4" s="5">
        <f t="shared" ref="J4" ca="1" si="2">I4+H4</f>
        <v>5</v>
      </c>
      <c r="K4" s="346" t="s">
        <v>445</v>
      </c>
      <c r="M4" s="247" t="s">
        <v>86</v>
      </c>
    </row>
    <row r="5" spans="1:13" x14ac:dyDescent="0.3">
      <c r="A5" s="518" t="s">
        <v>191</v>
      </c>
      <c r="B5" s="519" t="s">
        <v>185</v>
      </c>
      <c r="C5" s="520">
        <f>'Personal File'!$C$13+1</f>
        <v>-1</v>
      </c>
      <c r="D5" s="521" t="s">
        <v>75</v>
      </c>
      <c r="E5" s="521" t="s">
        <v>90</v>
      </c>
      <c r="F5" s="522" t="s">
        <v>186</v>
      </c>
      <c r="G5" s="242"/>
      <c r="H5" s="523"/>
      <c r="I5" s="524"/>
      <c r="J5" s="525"/>
      <c r="K5" s="526"/>
      <c r="M5" s="531" t="s">
        <v>86</v>
      </c>
    </row>
    <row r="6" spans="1:13" x14ac:dyDescent="0.3">
      <c r="A6" s="233" t="s">
        <v>192</v>
      </c>
      <c r="B6" s="6" t="s">
        <v>185</v>
      </c>
      <c r="C6" s="7">
        <f>'Personal File'!$C$13+1</f>
        <v>-1</v>
      </c>
      <c r="D6" s="8" t="s">
        <v>75</v>
      </c>
      <c r="E6" s="8" t="s">
        <v>90</v>
      </c>
      <c r="F6" s="9" t="s">
        <v>186</v>
      </c>
      <c r="G6" s="242"/>
      <c r="H6" s="13" t="str">
        <f>CONCATENATE("+",'Personal File'!$B$10+'Personal File'!$C$13+D6+1)</f>
        <v>+9</v>
      </c>
      <c r="I6" s="11">
        <f t="shared" ca="1" si="0"/>
        <v>14</v>
      </c>
      <c r="J6" s="5">
        <f t="shared" ref="J6:J11" ca="1" si="3">I6+H6</f>
        <v>23</v>
      </c>
      <c r="K6" s="346"/>
      <c r="M6" s="344" t="s">
        <v>86</v>
      </c>
    </row>
    <row r="7" spans="1:13" x14ac:dyDescent="0.3">
      <c r="A7" s="318" t="s">
        <v>140</v>
      </c>
      <c r="B7" s="319" t="s">
        <v>82</v>
      </c>
      <c r="C7" s="320" t="s">
        <v>141</v>
      </c>
      <c r="D7" s="321" t="s">
        <v>142</v>
      </c>
      <c r="E7" s="322"/>
      <c r="F7" s="322"/>
      <c r="G7" s="323"/>
      <c r="H7" s="323"/>
      <c r="I7" s="323"/>
      <c r="J7" s="323"/>
      <c r="K7" s="351"/>
      <c r="M7" s="342">
        <v>5000</v>
      </c>
    </row>
    <row r="8" spans="1:13" x14ac:dyDescent="0.3">
      <c r="A8" s="339" t="s">
        <v>187</v>
      </c>
      <c r="B8" s="286" t="s">
        <v>137</v>
      </c>
      <c r="C8" s="478">
        <f>'Personal File'!$C$13</f>
        <v>-2</v>
      </c>
      <c r="D8" s="340" t="s">
        <v>75</v>
      </c>
      <c r="E8" s="340" t="s">
        <v>188</v>
      </c>
      <c r="F8" s="287" t="s">
        <v>189</v>
      </c>
      <c r="G8" s="289">
        <v>2</v>
      </c>
      <c r="H8" s="13" t="str">
        <f>CONCATENATE("+",'Personal File'!$B$10+'Personal File'!$C$13+D8)</f>
        <v>+8</v>
      </c>
      <c r="I8" s="11">
        <f t="shared" ca="1" si="0"/>
        <v>11</v>
      </c>
      <c r="J8" s="338">
        <f t="shared" ca="1" si="3"/>
        <v>19</v>
      </c>
      <c r="K8" s="348" t="s">
        <v>198</v>
      </c>
      <c r="M8" s="484">
        <f>2*300</f>
        <v>600</v>
      </c>
    </row>
    <row r="9" spans="1:13" x14ac:dyDescent="0.3">
      <c r="A9" s="233" t="s">
        <v>200</v>
      </c>
      <c r="B9" s="6" t="s">
        <v>137</v>
      </c>
      <c r="C9" s="7">
        <f>'Personal File'!$C$13</f>
        <v>-2</v>
      </c>
      <c r="D9" s="8" t="s">
        <v>75</v>
      </c>
      <c r="E9" s="8" t="s">
        <v>188</v>
      </c>
      <c r="F9" s="293" t="s">
        <v>189</v>
      </c>
      <c r="G9" s="10">
        <v>2</v>
      </c>
      <c r="H9" s="13" t="str">
        <f>CONCATENATE("+",'Personal File'!$B$10+'Personal File'!$C$13+D9-5)</f>
        <v>+3</v>
      </c>
      <c r="I9" s="11">
        <f t="shared" ca="1" si="0"/>
        <v>14</v>
      </c>
      <c r="J9" s="5">
        <f t="shared" ca="1" si="3"/>
        <v>17</v>
      </c>
      <c r="K9" s="349"/>
      <c r="M9" s="247" t="s">
        <v>86</v>
      </c>
    </row>
    <row r="10" spans="1:13" x14ac:dyDescent="0.3">
      <c r="A10" s="518" t="s">
        <v>201</v>
      </c>
      <c r="B10" s="527" t="s">
        <v>137</v>
      </c>
      <c r="C10" s="520">
        <f>'Personal File'!$C$13</f>
        <v>-2</v>
      </c>
      <c r="D10" s="528" t="s">
        <v>75</v>
      </c>
      <c r="E10" s="528" t="s">
        <v>188</v>
      </c>
      <c r="F10" s="529" t="s">
        <v>189</v>
      </c>
      <c r="G10" s="341">
        <v>2</v>
      </c>
      <c r="H10" s="523"/>
      <c r="I10" s="524"/>
      <c r="J10" s="525"/>
      <c r="K10" s="530"/>
      <c r="M10" s="531" t="s">
        <v>86</v>
      </c>
    </row>
    <row r="11" spans="1:13" x14ac:dyDescent="0.3">
      <c r="A11" s="318" t="s">
        <v>202</v>
      </c>
      <c r="B11" s="319" t="s">
        <v>137</v>
      </c>
      <c r="C11" s="320">
        <f>'Personal File'!$C$13</f>
        <v>-2</v>
      </c>
      <c r="D11" s="321" t="s">
        <v>75</v>
      </c>
      <c r="E11" s="321" t="s">
        <v>188</v>
      </c>
      <c r="F11" s="329" t="s">
        <v>189</v>
      </c>
      <c r="G11" s="485">
        <v>2</v>
      </c>
      <c r="H11" s="486" t="str">
        <f>CONCATENATE("+",'Personal File'!$B$10+'Personal File'!$C$13+D11)</f>
        <v>+8</v>
      </c>
      <c r="I11" s="414">
        <f t="shared" ca="1" si="0"/>
        <v>17</v>
      </c>
      <c r="J11" s="415">
        <f t="shared" ca="1" si="3"/>
        <v>25</v>
      </c>
      <c r="K11" s="347"/>
      <c r="M11" s="342" t="s">
        <v>86</v>
      </c>
    </row>
    <row r="12" spans="1:13" x14ac:dyDescent="0.3">
      <c r="A12" s="477" t="s">
        <v>136</v>
      </c>
      <c r="B12" s="469" t="s">
        <v>137</v>
      </c>
      <c r="C12" s="478">
        <f>'Personal File'!$C$13</f>
        <v>-2</v>
      </c>
      <c r="D12" s="479" t="s">
        <v>55</v>
      </c>
      <c r="E12" s="479" t="s">
        <v>138</v>
      </c>
      <c r="F12" s="470" t="s">
        <v>139</v>
      </c>
      <c r="G12" s="473" t="s">
        <v>86</v>
      </c>
      <c r="H12" s="480" t="str">
        <f>CONCATENATE("+",'Personal File'!$B$10+'Personal File'!$C$13+D12)</f>
        <v>+7</v>
      </c>
      <c r="I12" s="481">
        <f t="shared" ca="1" si="0"/>
        <v>5</v>
      </c>
      <c r="J12" s="482">
        <f t="shared" ref="J12" ca="1" si="4">I12+H12</f>
        <v>12</v>
      </c>
      <c r="K12" s="483"/>
      <c r="M12" s="343" t="s">
        <v>86</v>
      </c>
    </row>
    <row r="13" spans="1:13" x14ac:dyDescent="0.3">
      <c r="A13" s="233" t="s">
        <v>144</v>
      </c>
      <c r="B13" s="6" t="s">
        <v>137</v>
      </c>
      <c r="C13" s="7">
        <f>'Personal File'!$C$13</f>
        <v>-2</v>
      </c>
      <c r="D13" s="8" t="s">
        <v>55</v>
      </c>
      <c r="E13" s="8" t="s">
        <v>138</v>
      </c>
      <c r="F13" s="293" t="s">
        <v>139</v>
      </c>
      <c r="G13" s="341"/>
      <c r="H13" s="13" t="str">
        <f>CONCATENATE("+",'Personal File'!$B$10+'Personal File'!$C$13+D13-5)</f>
        <v>+2</v>
      </c>
      <c r="I13" s="11">
        <f t="shared" ca="1" si="0"/>
        <v>11</v>
      </c>
      <c r="J13" s="5">
        <f t="shared" ref="J13" ca="1" si="5">I13+H13</f>
        <v>13</v>
      </c>
      <c r="K13" s="349"/>
      <c r="M13" s="247" t="s">
        <v>86</v>
      </c>
    </row>
    <row r="14" spans="1:13" x14ac:dyDescent="0.3">
      <c r="A14" s="518" t="s">
        <v>145</v>
      </c>
      <c r="B14" s="527" t="s">
        <v>137</v>
      </c>
      <c r="C14" s="520">
        <f>'Personal File'!$C$13</f>
        <v>-2</v>
      </c>
      <c r="D14" s="528" t="s">
        <v>55</v>
      </c>
      <c r="E14" s="528" t="s">
        <v>138</v>
      </c>
      <c r="F14" s="529" t="s">
        <v>139</v>
      </c>
      <c r="G14" s="341"/>
      <c r="H14" s="523"/>
      <c r="I14" s="524"/>
      <c r="J14" s="525"/>
      <c r="K14" s="530"/>
      <c r="M14" s="531" t="s">
        <v>86</v>
      </c>
    </row>
    <row r="15" spans="1:13" x14ac:dyDescent="0.3">
      <c r="A15" s="318" t="s">
        <v>146</v>
      </c>
      <c r="B15" s="319" t="s">
        <v>137</v>
      </c>
      <c r="C15" s="320">
        <f>'Personal File'!$C$13</f>
        <v>-2</v>
      </c>
      <c r="D15" s="321" t="s">
        <v>55</v>
      </c>
      <c r="E15" s="321" t="s">
        <v>138</v>
      </c>
      <c r="F15" s="329" t="s">
        <v>139</v>
      </c>
      <c r="G15" s="323"/>
      <c r="H15" s="330" t="str">
        <f>CONCATENATE("+",'Personal File'!$B$10+'Personal File'!$C$13+D15)</f>
        <v>+7</v>
      </c>
      <c r="I15" s="414">
        <f t="shared" ca="1" si="0"/>
        <v>12</v>
      </c>
      <c r="J15" s="415">
        <f t="shared" ref="J15" ca="1" si="6">I15+H15</f>
        <v>19</v>
      </c>
      <c r="K15" s="347"/>
      <c r="M15" s="342" t="s">
        <v>86</v>
      </c>
    </row>
    <row r="16" spans="1:13" ht="16.2" thickBot="1" x14ac:dyDescent="0.35">
      <c r="A16" s="234" t="s">
        <v>110</v>
      </c>
      <c r="B16" s="235" t="s">
        <v>110</v>
      </c>
      <c r="C16" s="324" t="str">
        <f>CONCATENATE('Personal File'!$C$13," +2")</f>
        <v>-2 +2</v>
      </c>
      <c r="D16" s="325" t="s">
        <v>55</v>
      </c>
      <c r="E16" s="325" t="s">
        <v>86</v>
      </c>
      <c r="F16" s="326" t="s">
        <v>86</v>
      </c>
      <c r="G16" s="236" t="s">
        <v>86</v>
      </c>
      <c r="H16" s="327" t="str">
        <f>CONCATENATE("+",'Personal File'!$B$10+'Personal File'!$C$13+D16)</f>
        <v>+7</v>
      </c>
      <c r="I16" s="237">
        <f ca="1">RANDBETWEEN(1,20)</f>
        <v>14</v>
      </c>
      <c r="J16" s="151">
        <f t="shared" ca="1" si="1"/>
        <v>21</v>
      </c>
      <c r="K16" s="328"/>
      <c r="M16" s="244" t="s">
        <v>86</v>
      </c>
    </row>
    <row r="17" spans="1:13" ht="6" customHeight="1" thickTop="1" thickBot="1" x14ac:dyDescent="0.35">
      <c r="I17" s="138"/>
      <c r="J17" s="138"/>
    </row>
    <row r="18" spans="1:13" ht="16.8" thickTop="1" thickBot="1" x14ac:dyDescent="0.35">
      <c r="A18" s="144" t="s">
        <v>4</v>
      </c>
      <c r="B18" s="145" t="s">
        <v>5</v>
      </c>
      <c r="C18" s="145" t="s">
        <v>18</v>
      </c>
      <c r="D18" s="145" t="s">
        <v>19</v>
      </c>
      <c r="E18" s="146" t="s">
        <v>57</v>
      </c>
      <c r="F18" s="145" t="s">
        <v>6</v>
      </c>
      <c r="G18" s="145" t="s">
        <v>20</v>
      </c>
      <c r="H18" s="147" t="s">
        <v>73</v>
      </c>
      <c r="I18" s="148" t="s">
        <v>78</v>
      </c>
      <c r="J18" s="147" t="s">
        <v>68</v>
      </c>
      <c r="K18" s="149" t="s">
        <v>0</v>
      </c>
      <c r="M18" s="150" t="s">
        <v>84</v>
      </c>
    </row>
    <row r="19" spans="1:13" x14ac:dyDescent="0.3">
      <c r="A19" s="390" t="s">
        <v>107</v>
      </c>
      <c r="B19" s="391" t="s">
        <v>108</v>
      </c>
      <c r="C19" s="392" t="s">
        <v>86</v>
      </c>
      <c r="D19" s="392" t="s">
        <v>55</v>
      </c>
      <c r="E19" s="392" t="s">
        <v>86</v>
      </c>
      <c r="F19" s="393" t="s">
        <v>86</v>
      </c>
      <c r="G19" s="394" t="s">
        <v>86</v>
      </c>
      <c r="H19" s="395" t="str">
        <f>CONCATENATE("+",'Personal File'!$B$10+'Personal File'!$C$14+D19)</f>
        <v>+9</v>
      </c>
      <c r="I19" s="238">
        <f t="shared" ref="I19:I25" ca="1" si="7">RANDBETWEEN(1,20)</f>
        <v>3</v>
      </c>
      <c r="J19" s="388">
        <f t="shared" ref="J19:J22" ca="1" si="8">I19+H19</f>
        <v>12</v>
      </c>
      <c r="K19" s="389"/>
      <c r="M19" s="386" t="s">
        <v>86</v>
      </c>
    </row>
    <row r="20" spans="1:13" x14ac:dyDescent="0.3">
      <c r="A20" s="390" t="s">
        <v>147</v>
      </c>
      <c r="B20" s="391" t="s">
        <v>86</v>
      </c>
      <c r="C20" s="392" t="s">
        <v>86</v>
      </c>
      <c r="D20" s="392" t="s">
        <v>55</v>
      </c>
      <c r="E20" s="392" t="s">
        <v>86</v>
      </c>
      <c r="F20" s="393" t="s">
        <v>86</v>
      </c>
      <c r="G20" s="394" t="s">
        <v>86</v>
      </c>
      <c r="H20" s="395" t="str">
        <f>CONCATENATE("+",'Personal File'!$E$3+D20)</f>
        <v>+4</v>
      </c>
      <c r="I20" s="11">
        <f t="shared" ca="1" si="7"/>
        <v>12</v>
      </c>
      <c r="J20" s="388">
        <f t="shared" ca="1" si="8"/>
        <v>16</v>
      </c>
      <c r="K20" s="389"/>
      <c r="M20" s="387" t="s">
        <v>86</v>
      </c>
    </row>
    <row r="21" spans="1:13" x14ac:dyDescent="0.3">
      <c r="A21" s="390" t="s">
        <v>461</v>
      </c>
      <c r="B21" s="391" t="s">
        <v>86</v>
      </c>
      <c r="C21" s="392" t="s">
        <v>86</v>
      </c>
      <c r="D21" s="392" t="s">
        <v>55</v>
      </c>
      <c r="E21" s="392" t="s">
        <v>86</v>
      </c>
      <c r="F21" s="393" t="s">
        <v>86</v>
      </c>
      <c r="G21" s="394" t="s">
        <v>86</v>
      </c>
      <c r="H21" s="395" t="str">
        <f>CONCATENATE("+",Spells!N11+D21)</f>
        <v>+6</v>
      </c>
      <c r="I21" s="11">
        <f t="shared" ca="1" si="7"/>
        <v>10</v>
      </c>
      <c r="J21" s="388">
        <f t="shared" ref="J21" ca="1" si="9">I21+H21</f>
        <v>16</v>
      </c>
      <c r="K21" s="389"/>
      <c r="M21" s="387" t="s">
        <v>86</v>
      </c>
    </row>
    <row r="22" spans="1:13" x14ac:dyDescent="0.3">
      <c r="A22" s="233" t="s">
        <v>193</v>
      </c>
      <c r="B22" s="6" t="s">
        <v>185</v>
      </c>
      <c r="C22" s="7" t="s">
        <v>194</v>
      </c>
      <c r="D22" s="8" t="s">
        <v>75</v>
      </c>
      <c r="E22" s="8" t="s">
        <v>90</v>
      </c>
      <c r="F22" s="293" t="s">
        <v>427</v>
      </c>
      <c r="G22" s="10">
        <v>3</v>
      </c>
      <c r="H22" s="13" t="str">
        <f>CONCATENATE("+",'Personal File'!$B$10+'Personal File'!$C$14+D22)</f>
        <v>+10</v>
      </c>
      <c r="I22" s="11">
        <f t="shared" ca="1" si="7"/>
        <v>5</v>
      </c>
      <c r="J22" s="5">
        <f t="shared" ca="1" si="8"/>
        <v>15</v>
      </c>
      <c r="K22" s="349"/>
      <c r="M22" s="247">
        <f>8000+300+30</f>
        <v>8330</v>
      </c>
    </row>
    <row r="23" spans="1:13" x14ac:dyDescent="0.3">
      <c r="A23" s="233" t="s">
        <v>195</v>
      </c>
      <c r="B23" s="6" t="s">
        <v>185</v>
      </c>
      <c r="C23" s="7" t="s">
        <v>194</v>
      </c>
      <c r="D23" s="8" t="s">
        <v>75</v>
      </c>
      <c r="E23" s="8" t="s">
        <v>90</v>
      </c>
      <c r="F23" s="293" t="s">
        <v>427</v>
      </c>
      <c r="G23" s="341"/>
      <c r="H23" s="13" t="str">
        <f>CONCATENATE("+",'Personal File'!$B$10+'Personal File'!$C$14+D23-5)</f>
        <v>+5</v>
      </c>
      <c r="I23" s="11">
        <f t="shared" ca="1" si="7"/>
        <v>17</v>
      </c>
      <c r="J23" s="5">
        <f t="shared" ref="J23:J25" ca="1" si="10">I23+H23</f>
        <v>22</v>
      </c>
      <c r="K23" s="349"/>
      <c r="M23" s="247" t="s">
        <v>86</v>
      </c>
    </row>
    <row r="24" spans="1:13" x14ac:dyDescent="0.3">
      <c r="A24" s="518" t="s">
        <v>196</v>
      </c>
      <c r="B24" s="527" t="s">
        <v>185</v>
      </c>
      <c r="C24" s="520" t="s">
        <v>194</v>
      </c>
      <c r="D24" s="528" t="s">
        <v>75</v>
      </c>
      <c r="E24" s="528" t="s">
        <v>90</v>
      </c>
      <c r="F24" s="529" t="s">
        <v>427</v>
      </c>
      <c r="G24" s="341"/>
      <c r="H24" s="523"/>
      <c r="I24" s="524"/>
      <c r="J24" s="525"/>
      <c r="K24" s="530"/>
      <c r="M24" s="531" t="s">
        <v>86</v>
      </c>
    </row>
    <row r="25" spans="1:13" ht="16.2" thickBot="1" x14ac:dyDescent="0.35">
      <c r="A25" s="352" t="s">
        <v>197</v>
      </c>
      <c r="B25" s="353" t="s">
        <v>185</v>
      </c>
      <c r="C25" s="652" t="s">
        <v>194</v>
      </c>
      <c r="D25" s="354" t="s">
        <v>75</v>
      </c>
      <c r="E25" s="353" t="s">
        <v>90</v>
      </c>
      <c r="F25" s="652" t="s">
        <v>427</v>
      </c>
      <c r="G25" s="355"/>
      <c r="H25" s="356" t="str">
        <f>CONCATENATE("+",'Personal File'!$B$10+'Personal File'!$C$14+D25)</f>
        <v>+10</v>
      </c>
      <c r="I25" s="357">
        <f t="shared" ca="1" si="7"/>
        <v>3</v>
      </c>
      <c r="J25" s="358">
        <f t="shared" ca="1" si="10"/>
        <v>13</v>
      </c>
      <c r="K25" s="350"/>
      <c r="M25" s="244" t="s">
        <v>86</v>
      </c>
    </row>
    <row r="26" spans="1:13" ht="6" customHeight="1" thickTop="1" thickBot="1" x14ac:dyDescent="0.35">
      <c r="D26" s="152"/>
      <c r="E26" s="152"/>
      <c r="G26" s="153"/>
      <c r="H26" s="153"/>
      <c r="I26" s="153"/>
      <c r="J26" s="153"/>
    </row>
    <row r="27" spans="1:13" ht="16.8" thickTop="1" thickBot="1" x14ac:dyDescent="0.35">
      <c r="A27" s="144" t="s">
        <v>61</v>
      </c>
      <c r="B27" s="145" t="s">
        <v>9</v>
      </c>
      <c r="C27" s="145" t="s">
        <v>27</v>
      </c>
      <c r="D27" s="145" t="s">
        <v>68</v>
      </c>
      <c r="E27" s="145" t="s">
        <v>69</v>
      </c>
      <c r="F27" s="145" t="s">
        <v>70</v>
      </c>
      <c r="G27" s="145" t="s">
        <v>20</v>
      </c>
      <c r="H27" s="154" t="s">
        <v>0</v>
      </c>
      <c r="I27" s="155"/>
      <c r="J27" s="155"/>
      <c r="K27" s="156"/>
      <c r="M27" s="150" t="s">
        <v>84</v>
      </c>
    </row>
    <row r="28" spans="1:13" x14ac:dyDescent="0.3">
      <c r="A28" s="285" t="s">
        <v>184</v>
      </c>
      <c r="B28" s="286">
        <v>1</v>
      </c>
      <c r="C28" s="287" t="s">
        <v>86</v>
      </c>
      <c r="D28" s="286" t="s">
        <v>86</v>
      </c>
      <c r="E28" s="294" t="s">
        <v>86</v>
      </c>
      <c r="F28" s="288" t="s">
        <v>86</v>
      </c>
      <c r="G28" s="289" t="s">
        <v>86</v>
      </c>
      <c r="H28" s="290"/>
      <c r="I28" s="291"/>
      <c r="J28" s="291"/>
      <c r="K28" s="292"/>
      <c r="M28" s="542" t="s">
        <v>86</v>
      </c>
    </row>
    <row r="29" spans="1:13" x14ac:dyDescent="0.3">
      <c r="A29" s="468" t="s">
        <v>203</v>
      </c>
      <c r="B29" s="469">
        <v>4</v>
      </c>
      <c r="C29" s="470">
        <v>5</v>
      </c>
      <c r="D29" s="469">
        <v>-1</v>
      </c>
      <c r="E29" s="471">
        <v>0.15</v>
      </c>
      <c r="F29" s="472" t="s">
        <v>83</v>
      </c>
      <c r="G29" s="473">
        <v>15</v>
      </c>
      <c r="H29" s="474" t="s">
        <v>204</v>
      </c>
      <c r="I29" s="475"/>
      <c r="J29" s="475"/>
      <c r="K29" s="476"/>
      <c r="M29" s="343">
        <f>50+4000+2700</f>
        <v>6750</v>
      </c>
    </row>
    <row r="30" spans="1:13" ht="16.2" thickBot="1" x14ac:dyDescent="0.35">
      <c r="A30" s="309"/>
      <c r="B30" s="310"/>
      <c r="C30" s="311"/>
      <c r="D30" s="310"/>
      <c r="E30" s="312"/>
      <c r="F30" s="311"/>
      <c r="G30" s="313"/>
      <c r="H30" s="314"/>
      <c r="I30" s="315"/>
      <c r="J30" s="315"/>
      <c r="K30" s="316"/>
      <c r="M30" s="308"/>
    </row>
    <row r="31" spans="1:13" ht="6.75" customHeight="1" thickTop="1" thickBot="1" x14ac:dyDescent="0.35"/>
    <row r="32" spans="1:13" ht="16.8" thickTop="1" thickBot="1" x14ac:dyDescent="0.35">
      <c r="A32" s="138"/>
      <c r="B32" s="138"/>
      <c r="D32" s="209" t="s">
        <v>62</v>
      </c>
      <c r="E32" s="210"/>
      <c r="F32" s="210" t="s">
        <v>3</v>
      </c>
      <c r="G32" s="211" t="s">
        <v>20</v>
      </c>
      <c r="H32" s="211" t="s">
        <v>73</v>
      </c>
      <c r="I32" s="212" t="s">
        <v>0</v>
      </c>
      <c r="J32" s="213"/>
      <c r="K32" s="214"/>
      <c r="M32" s="150" t="s">
        <v>84</v>
      </c>
    </row>
    <row r="33" spans="1:13" x14ac:dyDescent="0.3">
      <c r="A33" s="138"/>
      <c r="B33" s="138"/>
      <c r="D33" s="616" t="s">
        <v>205</v>
      </c>
      <c r="E33" s="494"/>
      <c r="F33" s="495">
        <v>1</v>
      </c>
      <c r="G33" s="469">
        <v>1</v>
      </c>
      <c r="H33" s="469" t="s">
        <v>93</v>
      </c>
      <c r="I33" s="496"/>
      <c r="J33" s="497"/>
      <c r="K33" s="498"/>
      <c r="L33" s="507"/>
      <c r="M33" s="499">
        <v>1800</v>
      </c>
    </row>
    <row r="34" spans="1:13" x14ac:dyDescent="0.3">
      <c r="A34" s="138"/>
      <c r="B34" s="138"/>
      <c r="D34" s="508" t="s">
        <v>433</v>
      </c>
      <c r="E34" s="509"/>
      <c r="F34" s="510">
        <v>15</v>
      </c>
      <c r="G34" s="6">
        <f>6*F34</f>
        <v>90</v>
      </c>
      <c r="H34" s="6" t="s">
        <v>93</v>
      </c>
      <c r="I34" s="511"/>
      <c r="J34" s="512"/>
      <c r="K34" s="513"/>
      <c r="L34" s="514"/>
      <c r="M34" s="515">
        <v>0</v>
      </c>
    </row>
    <row r="35" spans="1:13" ht="16.2" thickBot="1" x14ac:dyDescent="0.35">
      <c r="A35" s="138"/>
      <c r="B35" s="138"/>
      <c r="D35" s="487" t="s">
        <v>92</v>
      </c>
      <c r="E35" s="488"/>
      <c r="F35" s="489">
        <v>60</v>
      </c>
      <c r="G35" s="490">
        <f t="shared" ref="G35" si="11">(F35*3)/20</f>
        <v>9</v>
      </c>
      <c r="H35" s="354" t="s">
        <v>93</v>
      </c>
      <c r="I35" s="491"/>
      <c r="J35" s="492"/>
      <c r="K35" s="493"/>
      <c r="L35" s="516"/>
      <c r="M35" s="246">
        <v>0</v>
      </c>
    </row>
    <row r="36" spans="1:13" ht="16.8" thickTop="1" thickBot="1" x14ac:dyDescent="0.35">
      <c r="A36" s="138"/>
      <c r="B36" s="138"/>
      <c r="M36" s="191"/>
    </row>
    <row r="37" spans="1:13" ht="16.8" thickTop="1" thickBot="1" x14ac:dyDescent="0.35">
      <c r="A37" s="138"/>
      <c r="B37" s="138"/>
      <c r="D37" s="399" t="s">
        <v>152</v>
      </c>
      <c r="E37" s="155"/>
      <c r="F37" s="155"/>
      <c r="G37" s="155"/>
      <c r="H37" s="400" t="s">
        <v>3</v>
      </c>
      <c r="I37" s="400" t="s">
        <v>85</v>
      </c>
      <c r="J37" s="400" t="s">
        <v>153</v>
      </c>
      <c r="K37" s="156" t="s">
        <v>66</v>
      </c>
      <c r="L37" s="249"/>
      <c r="M37" s="401" t="s">
        <v>84</v>
      </c>
    </row>
    <row r="38" spans="1:13" x14ac:dyDescent="0.3">
      <c r="A38" s="138"/>
      <c r="B38" s="138"/>
      <c r="D38" s="402" t="s">
        <v>307</v>
      </c>
      <c r="E38" s="403"/>
      <c r="F38" s="403"/>
      <c r="G38" s="404"/>
      <c r="H38" s="405">
        <v>2</v>
      </c>
      <c r="I38" s="406">
        <v>4</v>
      </c>
      <c r="J38" s="406">
        <v>7</v>
      </c>
      <c r="K38" s="407"/>
      <c r="L38" s="249"/>
      <c r="M38" s="344">
        <f t="shared" ref="M38" si="12">25*H38*I38*J38</f>
        <v>1400</v>
      </c>
    </row>
    <row r="39" spans="1:13" ht="16.2" thickBot="1" x14ac:dyDescent="0.35">
      <c r="A39" s="138"/>
      <c r="B39" s="138"/>
      <c r="D39" s="408"/>
      <c r="E39" s="409"/>
      <c r="F39" s="409"/>
      <c r="G39" s="410"/>
      <c r="H39" s="411"/>
      <c r="I39" s="412"/>
      <c r="J39" s="412"/>
      <c r="K39" s="413"/>
      <c r="L39" s="249"/>
      <c r="M39" s="246"/>
    </row>
    <row r="40" spans="1:13" ht="16.2" thickTop="1" x14ac:dyDescent="0.3">
      <c r="A40" s="138"/>
      <c r="B40" s="138"/>
      <c r="M40" s="191"/>
    </row>
    <row r="41" spans="1:13" x14ac:dyDescent="0.3">
      <c r="M41" s="191"/>
    </row>
    <row r="42" spans="1:13" x14ac:dyDescent="0.3">
      <c r="M42" s="191"/>
    </row>
    <row r="43" spans="1:13" x14ac:dyDescent="0.3">
      <c r="M43" s="191"/>
    </row>
    <row r="44" spans="1:13" x14ac:dyDescent="0.3">
      <c r="M44" s="191"/>
    </row>
    <row r="45" spans="1:13" x14ac:dyDescent="0.3">
      <c r="M45" s="191"/>
    </row>
    <row r="46" spans="1:13" x14ac:dyDescent="0.3">
      <c r="M46" s="191"/>
    </row>
    <row r="47" spans="1:13" x14ac:dyDescent="0.3">
      <c r="M47" s="191"/>
    </row>
    <row r="48" spans="1:13" x14ac:dyDescent="0.3">
      <c r="M48" s="191"/>
    </row>
  </sheetData>
  <sortState xmlns:xlrd2="http://schemas.microsoft.com/office/spreadsheetml/2017/richdata2" ref="A10:H11">
    <sortCondition ref="A10:A11"/>
  </sortState>
  <phoneticPr fontId="0" type="noConversion"/>
  <conditionalFormatting sqref="B30">
    <cfRule type="cellIs" dxfId="9" priority="40" operator="greaterThan">
      <formula>0</formula>
    </cfRule>
  </conditionalFormatting>
  <conditionalFormatting sqref="I3:I6">
    <cfRule type="cellIs" dxfId="8" priority="14" operator="greaterThan">
      <formula>19</formula>
    </cfRule>
    <cfRule type="cellIs" dxfId="7" priority="15" operator="equal">
      <formula>1</formula>
    </cfRule>
  </conditionalFormatting>
  <conditionalFormatting sqref="I8:I11">
    <cfRule type="cellIs" dxfId="6" priority="5" operator="greaterThan">
      <formula>17</formula>
    </cfRule>
    <cfRule type="cellIs" dxfId="5" priority="6" operator="equal">
      <formula>1</formula>
    </cfRule>
  </conditionalFormatting>
  <conditionalFormatting sqref="I12:I16">
    <cfRule type="cellIs" dxfId="4" priority="30" operator="equal">
      <formula>20</formula>
    </cfRule>
    <cfRule type="cellIs" dxfId="3" priority="31" operator="equal">
      <formula>1</formula>
    </cfRule>
  </conditionalFormatting>
  <conditionalFormatting sqref="I19:I25">
    <cfRule type="cellIs" dxfId="2" priority="1" operator="equal">
      <formula>20</formula>
    </cfRule>
    <cfRule type="cellIs" dxfId="1"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98"/>
  <sheetViews>
    <sheetView showGridLines="0" workbookViewId="0"/>
  </sheetViews>
  <sheetFormatPr defaultColWidth="13" defaultRowHeight="15.6" x14ac:dyDescent="0.3"/>
  <cols>
    <col min="1" max="1" width="27.59765625" style="140" bestFit="1" customWidth="1"/>
    <col min="2" max="2" width="4.69921875" style="140" bestFit="1" customWidth="1"/>
    <col min="3" max="3" width="5.3984375" style="153" bestFit="1" customWidth="1"/>
    <col min="4" max="4" width="26.59765625" style="14" customWidth="1"/>
    <col min="5" max="5" width="21.796875" style="14" customWidth="1"/>
    <col min="6" max="6" width="2.8984375" style="140" bestFit="1" customWidth="1"/>
    <col min="7" max="7" width="9" style="14" bestFit="1" customWidth="1"/>
    <col min="8" max="16384" width="13" style="14"/>
  </cols>
  <sheetData>
    <row r="1" spans="1:7" ht="23.4" thickBot="1" x14ac:dyDescent="0.35">
      <c r="A1" s="143" t="s">
        <v>439</v>
      </c>
      <c r="B1" s="143"/>
      <c r="C1" s="157"/>
      <c r="D1" s="143"/>
      <c r="E1" s="143"/>
    </row>
    <row r="2" spans="1:7" s="140" customFormat="1" ht="16.8" thickTop="1" thickBot="1" x14ac:dyDescent="0.35">
      <c r="A2" s="158" t="s">
        <v>64</v>
      </c>
      <c r="B2" s="158" t="s">
        <v>3</v>
      </c>
      <c r="C2" s="159" t="s">
        <v>20</v>
      </c>
      <c r="D2" s="160" t="s">
        <v>65</v>
      </c>
      <c r="E2" s="161" t="s">
        <v>66</v>
      </c>
      <c r="G2" s="162" t="s">
        <v>84</v>
      </c>
    </row>
    <row r="3" spans="1:7" x14ac:dyDescent="0.3">
      <c r="A3" s="163" t="s">
        <v>266</v>
      </c>
      <c r="B3" s="168">
        <v>1</v>
      </c>
      <c r="C3" s="169">
        <v>0</v>
      </c>
      <c r="D3" s="283" t="s">
        <v>265</v>
      </c>
      <c r="E3" s="167"/>
      <c r="G3" s="275">
        <v>0</v>
      </c>
    </row>
    <row r="4" spans="1:7" x14ac:dyDescent="0.3">
      <c r="A4" s="163" t="s">
        <v>264</v>
      </c>
      <c r="B4" s="168">
        <v>1</v>
      </c>
      <c r="C4" s="169">
        <v>0</v>
      </c>
      <c r="D4" s="166"/>
      <c r="E4" s="167"/>
      <c r="G4" s="275">
        <v>25800</v>
      </c>
    </row>
    <row r="5" spans="1:7" x14ac:dyDescent="0.3">
      <c r="A5" s="163" t="s">
        <v>267</v>
      </c>
      <c r="B5" s="168">
        <v>1</v>
      </c>
      <c r="C5" s="169">
        <v>0</v>
      </c>
      <c r="D5" s="166" t="s">
        <v>434</v>
      </c>
      <c r="E5" s="167"/>
      <c r="G5" s="275">
        <v>1800</v>
      </c>
    </row>
    <row r="6" spans="1:7" x14ac:dyDescent="0.3">
      <c r="A6" s="163" t="s">
        <v>474</v>
      </c>
      <c r="B6" s="168">
        <v>1</v>
      </c>
      <c r="C6" s="169">
        <v>2.5</v>
      </c>
      <c r="D6" s="166"/>
      <c r="E6" s="167"/>
      <c r="G6" s="275">
        <v>8</v>
      </c>
    </row>
    <row r="7" spans="1:7" x14ac:dyDescent="0.3">
      <c r="A7" s="163" t="s">
        <v>297</v>
      </c>
      <c r="B7" s="168">
        <v>1</v>
      </c>
      <c r="C7" s="169" t="s">
        <v>475</v>
      </c>
      <c r="D7" s="166"/>
      <c r="E7" s="167"/>
      <c r="G7" s="275" t="s">
        <v>86</v>
      </c>
    </row>
    <row r="8" spans="1:7" x14ac:dyDescent="0.3">
      <c r="A8" s="163" t="s">
        <v>263</v>
      </c>
      <c r="B8" s="168">
        <v>1</v>
      </c>
      <c r="C8" s="169">
        <v>5</v>
      </c>
      <c r="D8" s="166"/>
      <c r="E8" s="167"/>
      <c r="G8" s="275">
        <v>0</v>
      </c>
    </row>
    <row r="9" spans="1:7" x14ac:dyDescent="0.3">
      <c r="A9" s="281" t="s">
        <v>247</v>
      </c>
      <c r="B9" s="282">
        <v>1</v>
      </c>
      <c r="C9" s="165">
        <v>1</v>
      </c>
      <c r="D9" s="283" t="s">
        <v>432</v>
      </c>
      <c r="E9" s="284"/>
      <c r="F9" s="138"/>
      <c r="G9" s="276">
        <v>7000</v>
      </c>
    </row>
    <row r="10" spans="1:7" x14ac:dyDescent="0.3">
      <c r="A10" s="163"/>
      <c r="B10" s="164"/>
      <c r="C10" s="165"/>
      <c r="D10" s="166"/>
      <c r="E10" s="167"/>
      <c r="G10" s="276"/>
    </row>
    <row r="11" spans="1:7" x14ac:dyDescent="0.3">
      <c r="A11" s="177"/>
      <c r="B11" s="178"/>
      <c r="C11" s="179"/>
      <c r="D11" s="180"/>
      <c r="E11" s="182"/>
      <c r="G11" s="277"/>
    </row>
    <row r="12" spans="1:7" ht="16.2" thickBot="1" x14ac:dyDescent="0.35">
      <c r="A12" s="170"/>
      <c r="B12" s="171"/>
      <c r="C12" s="172"/>
      <c r="D12" s="183"/>
      <c r="E12" s="174"/>
      <c r="G12" s="278"/>
    </row>
    <row r="13" spans="1:7" ht="16.2" thickTop="1" x14ac:dyDescent="0.3">
      <c r="A13" s="280"/>
      <c r="B13" s="549"/>
      <c r="C13" s="550"/>
      <c r="D13" s="62"/>
      <c r="E13" s="551"/>
      <c r="G13" s="552"/>
    </row>
    <row r="14" spans="1:7" ht="23.4" thickBot="1" x14ac:dyDescent="0.35">
      <c r="A14" s="143" t="s">
        <v>67</v>
      </c>
      <c r="B14" s="175"/>
      <c r="C14" s="175"/>
      <c r="D14" s="143"/>
      <c r="E14" s="176"/>
    </row>
    <row r="15" spans="1:7" ht="16.8" thickTop="1" thickBot="1" x14ac:dyDescent="0.35">
      <c r="A15" s="158" t="s">
        <v>64</v>
      </c>
      <c r="B15" s="158" t="s">
        <v>3</v>
      </c>
      <c r="C15" s="159" t="s">
        <v>20</v>
      </c>
      <c r="D15" s="160" t="s">
        <v>65</v>
      </c>
      <c r="E15" s="161" t="s">
        <v>66</v>
      </c>
      <c r="G15" s="162" t="s">
        <v>84</v>
      </c>
    </row>
    <row r="16" spans="1:7" x14ac:dyDescent="0.3">
      <c r="A16" s="177" t="s">
        <v>431</v>
      </c>
      <c r="B16" s="178">
        <v>1</v>
      </c>
      <c r="C16" s="179">
        <v>15</v>
      </c>
      <c r="D16" s="361" t="s">
        <v>432</v>
      </c>
      <c r="E16" s="362"/>
      <c r="F16" s="138"/>
      <c r="G16" s="275">
        <v>2500</v>
      </c>
    </row>
    <row r="17" spans="1:8" x14ac:dyDescent="0.3">
      <c r="A17" s="177"/>
      <c r="B17" s="178"/>
      <c r="C17" s="179"/>
      <c r="D17" s="181"/>
      <c r="E17" s="182"/>
      <c r="F17" s="138"/>
      <c r="G17" s="276"/>
    </row>
    <row r="18" spans="1:8" x14ac:dyDescent="0.3">
      <c r="A18" s="177"/>
      <c r="B18" s="178"/>
      <c r="C18" s="179"/>
      <c r="D18" s="181"/>
      <c r="E18" s="182"/>
      <c r="F18" s="138"/>
      <c r="G18" s="276"/>
    </row>
    <row r="19" spans="1:8" ht="16.2" thickBot="1" x14ac:dyDescent="0.35">
      <c r="A19" s="170"/>
      <c r="B19" s="171"/>
      <c r="C19" s="172"/>
      <c r="D19" s="183"/>
      <c r="E19" s="174"/>
      <c r="F19" s="138"/>
      <c r="G19" s="278"/>
    </row>
    <row r="20" spans="1:8" ht="16.2" thickTop="1" x14ac:dyDescent="0.3">
      <c r="A20" s="280"/>
      <c r="B20" s="549"/>
      <c r="C20" s="550"/>
      <c r="D20" s="139"/>
      <c r="E20" s="551"/>
      <c r="F20" s="138"/>
      <c r="G20" s="552"/>
    </row>
    <row r="21" spans="1:8" ht="23.4" thickBot="1" x14ac:dyDescent="0.35">
      <c r="A21" s="143" t="s">
        <v>268</v>
      </c>
      <c r="B21" s="143"/>
      <c r="C21" s="143"/>
      <c r="D21" s="143"/>
      <c r="E21" s="548" t="str">
        <f>CONCATENATE("Weight:  ",SUM(C23:C69),"/250")</f>
        <v>Weight:  163.1/250</v>
      </c>
      <c r="F21" s="138"/>
      <c r="G21" s="138"/>
    </row>
    <row r="22" spans="1:8" ht="16.8" thickTop="1" thickBot="1" x14ac:dyDescent="0.35">
      <c r="A22" s="158" t="s">
        <v>64</v>
      </c>
      <c r="B22" s="158" t="s">
        <v>3</v>
      </c>
      <c r="C22" s="159" t="s">
        <v>20</v>
      </c>
      <c r="D22" s="160" t="s">
        <v>65</v>
      </c>
      <c r="E22" s="161" t="s">
        <v>66</v>
      </c>
      <c r="F22" s="138"/>
      <c r="G22" s="162" t="s">
        <v>84</v>
      </c>
    </row>
    <row r="23" spans="1:8" x14ac:dyDescent="0.3">
      <c r="A23" s="643" t="s">
        <v>261</v>
      </c>
      <c r="B23" s="644">
        <v>0</v>
      </c>
      <c r="C23" s="645">
        <v>0</v>
      </c>
      <c r="D23" s="646"/>
      <c r="E23" s="647"/>
      <c r="F23" s="138"/>
      <c r="G23" s="649">
        <f>B23*3000</f>
        <v>0</v>
      </c>
      <c r="H23" s="249"/>
    </row>
    <row r="24" spans="1:8" x14ac:dyDescent="0.3">
      <c r="A24" s="307" t="s">
        <v>76</v>
      </c>
      <c r="B24" s="543">
        <v>5</v>
      </c>
      <c r="C24" s="545">
        <v>5</v>
      </c>
      <c r="D24" s="188"/>
      <c r="E24" s="189"/>
      <c r="F24" s="138"/>
      <c r="G24" s="275">
        <v>0</v>
      </c>
    </row>
    <row r="25" spans="1:8" x14ac:dyDescent="0.3">
      <c r="A25" s="307" t="s">
        <v>280</v>
      </c>
      <c r="B25" s="186">
        <v>3</v>
      </c>
      <c r="C25" s="187">
        <v>6</v>
      </c>
      <c r="D25" s="188"/>
      <c r="E25" s="189"/>
      <c r="G25" s="275">
        <v>1.5</v>
      </c>
    </row>
    <row r="26" spans="1:8" x14ac:dyDescent="0.3">
      <c r="A26" s="307" t="s">
        <v>300</v>
      </c>
      <c r="B26" s="186">
        <v>3</v>
      </c>
      <c r="C26" s="187">
        <v>9</v>
      </c>
      <c r="D26" s="188"/>
      <c r="E26" s="189"/>
      <c r="G26" s="275">
        <v>0.09</v>
      </c>
    </row>
    <row r="27" spans="1:8" x14ac:dyDescent="0.3">
      <c r="A27" s="307" t="s">
        <v>277</v>
      </c>
      <c r="B27" s="186">
        <v>3</v>
      </c>
      <c r="C27" s="187">
        <v>0</v>
      </c>
      <c r="D27" s="517" t="s">
        <v>447</v>
      </c>
      <c r="E27" s="553"/>
      <c r="G27" s="275">
        <v>15</v>
      </c>
    </row>
    <row r="28" spans="1:8" x14ac:dyDescent="0.3">
      <c r="A28" s="307" t="s">
        <v>297</v>
      </c>
      <c r="B28" s="186">
        <v>8</v>
      </c>
      <c r="C28" s="187">
        <v>6</v>
      </c>
      <c r="D28" s="188"/>
      <c r="E28" s="189"/>
      <c r="G28" s="275">
        <v>8</v>
      </c>
    </row>
    <row r="29" spans="1:8" x14ac:dyDescent="0.3">
      <c r="A29" s="307" t="s">
        <v>274</v>
      </c>
      <c r="B29" s="186">
        <v>1</v>
      </c>
      <c r="C29" s="187">
        <v>8</v>
      </c>
      <c r="D29" s="188"/>
      <c r="E29" s="189"/>
      <c r="G29" s="275">
        <v>50</v>
      </c>
    </row>
    <row r="30" spans="1:8" x14ac:dyDescent="0.3">
      <c r="A30" s="307" t="s">
        <v>262</v>
      </c>
      <c r="B30" s="186">
        <v>1</v>
      </c>
      <c r="C30" s="187">
        <v>0</v>
      </c>
      <c r="D30" s="517" t="s">
        <v>292</v>
      </c>
      <c r="E30" s="553" t="s">
        <v>446</v>
      </c>
      <c r="G30" s="275">
        <v>825</v>
      </c>
    </row>
    <row r="31" spans="1:8" x14ac:dyDescent="0.3">
      <c r="A31" s="307" t="s">
        <v>301</v>
      </c>
      <c r="B31" s="186">
        <v>10</v>
      </c>
      <c r="C31" s="187">
        <v>5</v>
      </c>
      <c r="D31" s="188"/>
      <c r="E31" s="189"/>
      <c r="G31" s="275">
        <v>1</v>
      </c>
    </row>
    <row r="32" spans="1:8" x14ac:dyDescent="0.3">
      <c r="A32" s="307" t="s">
        <v>304</v>
      </c>
      <c r="B32" s="186">
        <v>10</v>
      </c>
      <c r="C32" s="187">
        <v>1</v>
      </c>
      <c r="D32" s="188"/>
      <c r="E32" s="189"/>
      <c r="G32" s="275">
        <v>10</v>
      </c>
    </row>
    <row r="33" spans="1:7" x14ac:dyDescent="0.3">
      <c r="A33" s="307" t="s">
        <v>254</v>
      </c>
      <c r="B33" s="186">
        <v>1</v>
      </c>
      <c r="C33" s="187">
        <v>1.5</v>
      </c>
      <c r="D33" s="188"/>
      <c r="E33" s="189"/>
      <c r="G33" s="275">
        <v>0.03</v>
      </c>
    </row>
    <row r="34" spans="1:7" x14ac:dyDescent="0.3">
      <c r="A34" s="307" t="s">
        <v>305</v>
      </c>
      <c r="B34" s="186">
        <v>5</v>
      </c>
      <c r="C34" s="187">
        <v>5</v>
      </c>
      <c r="D34" s="188"/>
      <c r="E34" s="189"/>
      <c r="G34" s="275">
        <v>125</v>
      </c>
    </row>
    <row r="35" spans="1:7" x14ac:dyDescent="0.3">
      <c r="A35" s="307" t="s">
        <v>81</v>
      </c>
      <c r="B35" s="186">
        <v>1</v>
      </c>
      <c r="C35" s="187">
        <v>0</v>
      </c>
      <c r="D35" s="188"/>
      <c r="E35" s="189"/>
      <c r="G35" s="275">
        <v>1</v>
      </c>
    </row>
    <row r="36" spans="1:7" x14ac:dyDescent="0.3">
      <c r="A36" s="307" t="s">
        <v>428</v>
      </c>
      <c r="B36" s="186">
        <v>1</v>
      </c>
      <c r="C36" s="187">
        <v>4</v>
      </c>
      <c r="D36" s="188" t="s">
        <v>429</v>
      </c>
      <c r="E36" s="189"/>
      <c r="G36" s="275">
        <v>7200</v>
      </c>
    </row>
    <row r="37" spans="1:7" x14ac:dyDescent="0.3">
      <c r="A37" s="307" t="s">
        <v>253</v>
      </c>
      <c r="B37" s="186">
        <v>1</v>
      </c>
      <c r="C37" s="187">
        <v>0.1</v>
      </c>
      <c r="D37" s="188"/>
      <c r="E37" s="189"/>
      <c r="G37" s="275">
        <v>8</v>
      </c>
    </row>
    <row r="38" spans="1:7" x14ac:dyDescent="0.3">
      <c r="A38" s="307" t="s">
        <v>252</v>
      </c>
      <c r="B38" s="186">
        <v>1</v>
      </c>
      <c r="C38" s="187">
        <v>0</v>
      </c>
      <c r="D38" s="188"/>
      <c r="E38" s="189"/>
      <c r="G38" s="275">
        <v>0.1</v>
      </c>
    </row>
    <row r="39" spans="1:7" x14ac:dyDescent="0.3">
      <c r="A39" s="307" t="s">
        <v>269</v>
      </c>
      <c r="B39" s="186">
        <v>1</v>
      </c>
      <c r="C39" s="187">
        <v>10</v>
      </c>
      <c r="D39" s="188"/>
      <c r="E39" s="189"/>
      <c r="G39" s="275">
        <v>0.5</v>
      </c>
    </row>
    <row r="40" spans="1:7" x14ac:dyDescent="0.3">
      <c r="A40" s="307" t="s">
        <v>272</v>
      </c>
      <c r="B40" s="186">
        <v>1</v>
      </c>
      <c r="C40" s="187">
        <v>0.5</v>
      </c>
      <c r="D40" s="188"/>
      <c r="E40" s="189"/>
      <c r="G40" s="275">
        <v>4000</v>
      </c>
    </row>
    <row r="41" spans="1:7" x14ac:dyDescent="0.3">
      <c r="A41" s="307" t="s">
        <v>271</v>
      </c>
      <c r="B41" s="186">
        <v>1</v>
      </c>
      <c r="C41" s="187">
        <v>0.5</v>
      </c>
      <c r="D41" s="188"/>
      <c r="E41" s="189"/>
      <c r="G41" s="275">
        <v>1</v>
      </c>
    </row>
    <row r="42" spans="1:7" x14ac:dyDescent="0.3">
      <c r="A42" s="307" t="s">
        <v>276</v>
      </c>
      <c r="B42" s="186">
        <v>1</v>
      </c>
      <c r="C42" s="187">
        <v>10</v>
      </c>
      <c r="D42" s="517"/>
      <c r="E42" s="189"/>
      <c r="G42" s="275">
        <v>0</v>
      </c>
    </row>
    <row r="43" spans="1:7" x14ac:dyDescent="0.3">
      <c r="A43" s="307" t="s">
        <v>278</v>
      </c>
      <c r="B43" s="186">
        <v>60</v>
      </c>
      <c r="C43" s="187">
        <v>0</v>
      </c>
      <c r="D43" s="188"/>
      <c r="E43" s="189"/>
      <c r="G43" s="275">
        <v>24</v>
      </c>
    </row>
    <row r="44" spans="1:7" x14ac:dyDescent="0.3">
      <c r="A44" s="307" t="s">
        <v>279</v>
      </c>
      <c r="B44" s="186">
        <v>60</v>
      </c>
      <c r="C44" s="187">
        <v>0</v>
      </c>
      <c r="D44" s="188"/>
      <c r="E44" s="189"/>
      <c r="G44" s="275">
        <v>12</v>
      </c>
    </row>
    <row r="45" spans="1:7" x14ac:dyDescent="0.3">
      <c r="A45" s="307" t="s">
        <v>293</v>
      </c>
      <c r="B45" s="186">
        <v>10</v>
      </c>
      <c r="C45" s="187">
        <v>0</v>
      </c>
      <c r="D45" s="188"/>
      <c r="E45" s="189"/>
      <c r="G45" s="275">
        <f>50*B45</f>
        <v>500</v>
      </c>
    </row>
    <row r="46" spans="1:7" x14ac:dyDescent="0.3">
      <c r="A46" s="307" t="s">
        <v>294</v>
      </c>
      <c r="B46" s="186">
        <v>5</v>
      </c>
      <c r="C46" s="187">
        <v>0</v>
      </c>
      <c r="D46" s="188"/>
      <c r="E46" s="189"/>
      <c r="G46" s="275">
        <f>300*B46</f>
        <v>1500</v>
      </c>
    </row>
    <row r="47" spans="1:7" x14ac:dyDescent="0.3">
      <c r="A47" s="307" t="s">
        <v>295</v>
      </c>
      <c r="B47" s="186">
        <v>2</v>
      </c>
      <c r="C47" s="187">
        <v>0</v>
      </c>
      <c r="D47" s="188"/>
      <c r="E47" s="189"/>
      <c r="G47" s="275">
        <f>200*B47</f>
        <v>400</v>
      </c>
    </row>
    <row r="48" spans="1:7" x14ac:dyDescent="0.3">
      <c r="A48" s="307" t="s">
        <v>458</v>
      </c>
      <c r="B48" s="186">
        <v>1</v>
      </c>
      <c r="C48" s="187">
        <v>5</v>
      </c>
      <c r="D48" s="188"/>
      <c r="E48" s="189"/>
      <c r="G48" s="275">
        <v>10</v>
      </c>
    </row>
    <row r="49" spans="1:7" x14ac:dyDescent="0.3">
      <c r="A49" s="307" t="s">
        <v>258</v>
      </c>
      <c r="B49" s="186">
        <v>1</v>
      </c>
      <c r="C49" s="187">
        <v>0</v>
      </c>
      <c r="D49" s="188"/>
      <c r="E49" s="189"/>
      <c r="G49" s="275">
        <v>1000</v>
      </c>
    </row>
    <row r="50" spans="1:7" x14ac:dyDescent="0.3">
      <c r="A50" s="307" t="s">
        <v>275</v>
      </c>
      <c r="B50" s="186">
        <v>1</v>
      </c>
      <c r="C50" s="187">
        <v>0</v>
      </c>
      <c r="D50" s="188"/>
      <c r="E50" s="189"/>
      <c r="G50" s="275">
        <v>0</v>
      </c>
    </row>
    <row r="51" spans="1:7" x14ac:dyDescent="0.3">
      <c r="A51" s="307" t="s">
        <v>302</v>
      </c>
      <c r="B51" s="186">
        <v>1</v>
      </c>
      <c r="C51" s="187">
        <v>1</v>
      </c>
      <c r="D51" s="188"/>
      <c r="E51" s="189"/>
      <c r="G51" s="275">
        <v>1</v>
      </c>
    </row>
    <row r="52" spans="1:7" x14ac:dyDescent="0.3">
      <c r="A52" s="307" t="s">
        <v>251</v>
      </c>
      <c r="B52" s="186">
        <v>1</v>
      </c>
      <c r="C52" s="187">
        <v>8</v>
      </c>
      <c r="D52" s="188"/>
      <c r="E52" s="189"/>
      <c r="G52" s="275">
        <v>2</v>
      </c>
    </row>
    <row r="53" spans="1:7" x14ac:dyDescent="0.3">
      <c r="A53" s="307" t="s">
        <v>435</v>
      </c>
      <c r="B53" s="186">
        <v>1</v>
      </c>
      <c r="C53" s="187">
        <v>0</v>
      </c>
      <c r="D53" s="188"/>
      <c r="E53" s="189"/>
      <c r="G53" s="275">
        <v>5</v>
      </c>
    </row>
    <row r="54" spans="1:7" x14ac:dyDescent="0.3">
      <c r="A54" s="307" t="s">
        <v>296</v>
      </c>
      <c r="B54" s="186">
        <v>25</v>
      </c>
      <c r="C54" s="187">
        <v>5</v>
      </c>
      <c r="D54" s="188"/>
      <c r="E54" s="189"/>
      <c r="G54" s="275">
        <v>25</v>
      </c>
    </row>
    <row r="55" spans="1:7" x14ac:dyDescent="0.3">
      <c r="A55" s="307" t="s">
        <v>256</v>
      </c>
      <c r="B55" s="186">
        <v>4</v>
      </c>
      <c r="C55" s="187">
        <v>0</v>
      </c>
      <c r="D55" s="188"/>
      <c r="E55" s="189"/>
      <c r="G55" s="275">
        <f>250*B55</f>
        <v>1000</v>
      </c>
    </row>
    <row r="56" spans="1:7" x14ac:dyDescent="0.3">
      <c r="A56" s="307" t="s">
        <v>270</v>
      </c>
      <c r="B56" s="186">
        <v>1</v>
      </c>
      <c r="C56" s="187">
        <v>0.5</v>
      </c>
      <c r="D56" s="188"/>
      <c r="E56" s="189"/>
      <c r="G56" s="275">
        <v>10</v>
      </c>
    </row>
    <row r="57" spans="1:7" x14ac:dyDescent="0.3">
      <c r="A57" s="307" t="s">
        <v>303</v>
      </c>
      <c r="B57" s="186">
        <v>2</v>
      </c>
      <c r="C57" s="187">
        <f>B57</f>
        <v>2</v>
      </c>
      <c r="D57" s="188"/>
      <c r="E57" s="189"/>
      <c r="G57" s="275">
        <v>1</v>
      </c>
    </row>
    <row r="58" spans="1:7" x14ac:dyDescent="0.3">
      <c r="A58" s="307" t="s">
        <v>257</v>
      </c>
      <c r="B58" s="186">
        <v>1</v>
      </c>
      <c r="C58" s="187">
        <v>0</v>
      </c>
      <c r="D58" s="188"/>
      <c r="E58" s="189"/>
      <c r="G58" s="275">
        <v>2400</v>
      </c>
    </row>
    <row r="59" spans="1:7" x14ac:dyDescent="0.3">
      <c r="A59" s="307" t="s">
        <v>250</v>
      </c>
      <c r="B59" s="186">
        <v>1</v>
      </c>
      <c r="C59" s="187">
        <v>1</v>
      </c>
      <c r="D59" s="188"/>
      <c r="E59" s="189"/>
      <c r="G59" s="275">
        <v>1000</v>
      </c>
    </row>
    <row r="60" spans="1:7" x14ac:dyDescent="0.3">
      <c r="A60" s="307" t="s">
        <v>430</v>
      </c>
      <c r="B60" s="186">
        <v>1</v>
      </c>
      <c r="C60" s="187">
        <v>0</v>
      </c>
      <c r="D60" s="188" t="s">
        <v>255</v>
      </c>
      <c r="E60" s="189"/>
      <c r="G60" s="275">
        <v>4000</v>
      </c>
    </row>
    <row r="61" spans="1:7" x14ac:dyDescent="0.3">
      <c r="A61" s="307" t="s">
        <v>249</v>
      </c>
      <c r="B61" s="186">
        <v>1</v>
      </c>
      <c r="C61" s="187">
        <v>20</v>
      </c>
      <c r="D61" s="188"/>
      <c r="E61" s="189"/>
      <c r="G61" s="275">
        <v>10</v>
      </c>
    </row>
    <row r="62" spans="1:7" x14ac:dyDescent="0.3">
      <c r="A62" s="307" t="s">
        <v>77</v>
      </c>
      <c r="B62" s="543">
        <v>10</v>
      </c>
      <c r="C62" s="545">
        <f>B62</f>
        <v>10</v>
      </c>
      <c r="D62" s="517"/>
      <c r="E62" s="189"/>
      <c r="F62" s="138"/>
      <c r="G62" s="275">
        <v>0</v>
      </c>
    </row>
    <row r="63" spans="1:7" x14ac:dyDescent="0.3">
      <c r="A63" s="307" t="s">
        <v>299</v>
      </c>
      <c r="B63" s="186">
        <v>3</v>
      </c>
      <c r="C63" s="187">
        <v>15</v>
      </c>
      <c r="D63" s="188"/>
      <c r="E63" s="189"/>
      <c r="G63" s="275">
        <v>3</v>
      </c>
    </row>
    <row r="64" spans="1:7" x14ac:dyDescent="0.3">
      <c r="A64" s="307" t="s">
        <v>260</v>
      </c>
      <c r="B64" s="186">
        <v>2</v>
      </c>
      <c r="C64" s="187">
        <v>0</v>
      </c>
      <c r="D64" s="188"/>
      <c r="E64" s="189"/>
      <c r="G64" s="275">
        <f>150*B64</f>
        <v>300</v>
      </c>
    </row>
    <row r="65" spans="1:8" x14ac:dyDescent="0.3">
      <c r="A65" s="307" t="s">
        <v>259</v>
      </c>
      <c r="B65" s="186">
        <v>3</v>
      </c>
      <c r="C65" s="187">
        <v>0</v>
      </c>
      <c r="D65" s="188"/>
      <c r="E65" s="189"/>
      <c r="G65" s="275">
        <f>50*B65</f>
        <v>150</v>
      </c>
    </row>
    <row r="66" spans="1:8" x14ac:dyDescent="0.3">
      <c r="A66" s="396" t="s">
        <v>273</v>
      </c>
      <c r="B66" s="397">
        <v>1</v>
      </c>
      <c r="C66" s="398">
        <v>0</v>
      </c>
      <c r="D66" s="547"/>
      <c r="E66" s="189"/>
      <c r="G66" s="275">
        <v>50</v>
      </c>
    </row>
    <row r="67" spans="1:8" x14ac:dyDescent="0.3">
      <c r="A67" s="177" t="s">
        <v>80</v>
      </c>
      <c r="B67" s="544">
        <v>5</v>
      </c>
      <c r="C67" s="546">
        <f>B67*4</f>
        <v>20</v>
      </c>
      <c r="D67" s="181"/>
      <c r="E67" s="167"/>
      <c r="F67" s="138"/>
      <c r="G67" s="275">
        <v>0</v>
      </c>
      <c r="H67" s="249"/>
    </row>
    <row r="68" spans="1:8" x14ac:dyDescent="0.3">
      <c r="A68" s="177" t="s">
        <v>248</v>
      </c>
      <c r="B68" s="544">
        <v>1</v>
      </c>
      <c r="C68" s="546">
        <v>1</v>
      </c>
      <c r="D68" s="180"/>
      <c r="E68" s="182"/>
      <c r="G68" s="276">
        <v>0.02</v>
      </c>
      <c r="H68" s="249"/>
    </row>
    <row r="69" spans="1:8" ht="16.2" thickBot="1" x14ac:dyDescent="0.35">
      <c r="A69" s="170" t="s">
        <v>298</v>
      </c>
      <c r="B69" s="171">
        <v>1</v>
      </c>
      <c r="C69" s="172">
        <v>3</v>
      </c>
      <c r="D69" s="173"/>
      <c r="E69" s="174"/>
      <c r="G69" s="278">
        <v>0.5</v>
      </c>
      <c r="H69" s="249"/>
    </row>
    <row r="70" spans="1:8" ht="16.2" thickTop="1" x14ac:dyDescent="0.3">
      <c r="A70" s="280"/>
      <c r="B70" s="549"/>
      <c r="C70" s="550"/>
      <c r="D70" s="62"/>
      <c r="E70" s="551"/>
      <c r="G70" s="552"/>
      <c r="H70" s="249"/>
    </row>
    <row r="71" spans="1:8" ht="23.4" thickBot="1" x14ac:dyDescent="0.35">
      <c r="A71" s="143" t="s">
        <v>247</v>
      </c>
      <c r="B71" s="143"/>
      <c r="C71" s="143"/>
      <c r="D71" s="143"/>
      <c r="E71" s="143"/>
      <c r="F71" s="14"/>
    </row>
    <row r="72" spans="1:8" s="140" customFormat="1" ht="16.8" thickTop="1" thickBot="1" x14ac:dyDescent="0.35">
      <c r="A72" s="158" t="s">
        <v>64</v>
      </c>
      <c r="B72" s="185" t="s">
        <v>3</v>
      </c>
      <c r="C72" s="159" t="s">
        <v>20</v>
      </c>
      <c r="D72" s="160" t="s">
        <v>65</v>
      </c>
      <c r="E72" s="161" t="s">
        <v>66</v>
      </c>
      <c r="G72" s="162" t="s">
        <v>84</v>
      </c>
    </row>
    <row r="73" spans="1:8" x14ac:dyDescent="0.3">
      <c r="A73" s="554" t="s">
        <v>287</v>
      </c>
      <c r="B73" s="555">
        <v>100</v>
      </c>
      <c r="C73" s="556">
        <f>B73/100</f>
        <v>1</v>
      </c>
      <c r="D73" s="557"/>
      <c r="E73" s="558"/>
      <c r="G73" s="573" t="s">
        <v>86</v>
      </c>
    </row>
    <row r="74" spans="1:8" x14ac:dyDescent="0.3">
      <c r="A74" s="559" t="s">
        <v>436</v>
      </c>
      <c r="B74" s="560">
        <v>1</v>
      </c>
      <c r="C74" s="561">
        <v>2</v>
      </c>
      <c r="D74" s="562" t="s">
        <v>245</v>
      </c>
      <c r="E74" s="563"/>
      <c r="G74" s="574" t="s">
        <v>86</v>
      </c>
    </row>
    <row r="75" spans="1:8" x14ac:dyDescent="0.3">
      <c r="A75" s="564" t="s">
        <v>246</v>
      </c>
      <c r="B75" s="565">
        <v>1</v>
      </c>
      <c r="C75" s="566">
        <v>2</v>
      </c>
      <c r="D75" s="562"/>
      <c r="E75" s="563"/>
      <c r="G75" s="574" t="s">
        <v>86</v>
      </c>
    </row>
    <row r="76" spans="1:8" x14ac:dyDescent="0.3">
      <c r="A76" s="554" t="s">
        <v>286</v>
      </c>
      <c r="B76" s="560">
        <v>10</v>
      </c>
      <c r="C76" s="561">
        <v>2</v>
      </c>
      <c r="D76" s="562"/>
      <c r="E76" s="563"/>
      <c r="G76" s="575" t="s">
        <v>86</v>
      </c>
    </row>
    <row r="77" spans="1:8" x14ac:dyDescent="0.3">
      <c r="A77" s="554" t="s">
        <v>288</v>
      </c>
      <c r="B77" s="560">
        <v>1</v>
      </c>
      <c r="C77" s="561">
        <v>2</v>
      </c>
      <c r="D77" s="562" t="s">
        <v>284</v>
      </c>
      <c r="E77" s="563"/>
      <c r="G77" s="574" t="s">
        <v>86</v>
      </c>
    </row>
    <row r="78" spans="1:8" x14ac:dyDescent="0.3">
      <c r="A78" s="554" t="s">
        <v>244</v>
      </c>
      <c r="B78" s="560">
        <v>1</v>
      </c>
      <c r="C78" s="561">
        <v>2</v>
      </c>
      <c r="D78" s="567" t="s">
        <v>442</v>
      </c>
      <c r="E78" s="563"/>
      <c r="G78" s="574" t="s">
        <v>86</v>
      </c>
    </row>
    <row r="79" spans="1:8" x14ac:dyDescent="0.3">
      <c r="A79" s="554" t="s">
        <v>241</v>
      </c>
      <c r="B79" s="560">
        <v>1</v>
      </c>
      <c r="C79" s="561">
        <v>2</v>
      </c>
      <c r="D79" s="567" t="s">
        <v>440</v>
      </c>
      <c r="E79" s="563"/>
      <c r="G79" s="574" t="s">
        <v>86</v>
      </c>
    </row>
    <row r="80" spans="1:8" x14ac:dyDescent="0.3">
      <c r="A80" s="554" t="s">
        <v>290</v>
      </c>
      <c r="B80" s="560">
        <v>1</v>
      </c>
      <c r="C80" s="561">
        <v>1</v>
      </c>
      <c r="D80" s="562"/>
      <c r="E80" s="563"/>
      <c r="G80" s="574" t="s">
        <v>86</v>
      </c>
    </row>
    <row r="81" spans="1:7" x14ac:dyDescent="0.3">
      <c r="A81" s="650" t="s">
        <v>281</v>
      </c>
      <c r="B81" s="644">
        <v>0</v>
      </c>
      <c r="C81" s="645">
        <v>1</v>
      </c>
      <c r="D81" s="651" t="s">
        <v>441</v>
      </c>
      <c r="E81" s="647"/>
      <c r="F81" s="648"/>
      <c r="G81" s="649" t="s">
        <v>86</v>
      </c>
    </row>
    <row r="82" spans="1:7" x14ac:dyDescent="0.3">
      <c r="A82" s="554" t="s">
        <v>243</v>
      </c>
      <c r="B82" s="560">
        <v>1</v>
      </c>
      <c r="C82" s="561">
        <v>2</v>
      </c>
      <c r="D82" s="562" t="s">
        <v>283</v>
      </c>
      <c r="E82" s="563"/>
      <c r="G82" s="574" t="s">
        <v>86</v>
      </c>
    </row>
    <row r="83" spans="1:7" x14ac:dyDescent="0.3">
      <c r="A83" s="554" t="s">
        <v>282</v>
      </c>
      <c r="B83" s="560">
        <v>1</v>
      </c>
      <c r="C83" s="561">
        <v>1</v>
      </c>
      <c r="D83" s="562"/>
      <c r="E83" s="563"/>
      <c r="G83" s="574" t="s">
        <v>86</v>
      </c>
    </row>
    <row r="84" spans="1:7" x14ac:dyDescent="0.3">
      <c r="A84" s="554" t="s">
        <v>291</v>
      </c>
      <c r="B84" s="560">
        <v>1</v>
      </c>
      <c r="C84" s="561">
        <v>1</v>
      </c>
      <c r="D84" s="567" t="s">
        <v>306</v>
      </c>
      <c r="E84" s="563"/>
      <c r="G84" s="574" t="s">
        <v>86</v>
      </c>
    </row>
    <row r="85" spans="1:7" x14ac:dyDescent="0.3">
      <c r="A85" s="559" t="s">
        <v>437</v>
      </c>
      <c r="B85" s="560">
        <v>1</v>
      </c>
      <c r="C85" s="561">
        <v>1</v>
      </c>
      <c r="D85" s="567" t="s">
        <v>460</v>
      </c>
      <c r="E85" s="563"/>
      <c r="G85" s="574" t="s">
        <v>86</v>
      </c>
    </row>
    <row r="86" spans="1:7" x14ac:dyDescent="0.3">
      <c r="A86" s="559" t="s">
        <v>437</v>
      </c>
      <c r="B86" s="560">
        <v>1</v>
      </c>
      <c r="C86" s="561">
        <v>1</v>
      </c>
      <c r="D86" s="567" t="s">
        <v>438</v>
      </c>
      <c r="E86" s="563"/>
      <c r="G86" s="574" t="s">
        <v>86</v>
      </c>
    </row>
    <row r="87" spans="1:7" x14ac:dyDescent="0.3">
      <c r="A87" s="554" t="s">
        <v>240</v>
      </c>
      <c r="B87" s="560">
        <v>1</v>
      </c>
      <c r="C87" s="561">
        <v>1</v>
      </c>
      <c r="D87" s="562"/>
      <c r="E87" s="563"/>
      <c r="G87" s="574" t="s">
        <v>86</v>
      </c>
    </row>
    <row r="88" spans="1:7" x14ac:dyDescent="0.3">
      <c r="A88" s="554" t="s">
        <v>242</v>
      </c>
      <c r="B88" s="560">
        <v>1</v>
      </c>
      <c r="C88" s="561">
        <v>2</v>
      </c>
      <c r="D88" s="562"/>
      <c r="E88" s="563"/>
      <c r="G88" s="575" t="s">
        <v>86</v>
      </c>
    </row>
    <row r="89" spans="1:7" ht="16.2" thickBot="1" x14ac:dyDescent="0.35">
      <c r="A89" s="568" t="s">
        <v>289</v>
      </c>
      <c r="B89" s="569">
        <v>1</v>
      </c>
      <c r="C89" s="570">
        <v>1</v>
      </c>
      <c r="D89" s="571" t="s">
        <v>285</v>
      </c>
      <c r="E89" s="572"/>
      <c r="G89" s="576" t="s">
        <v>86</v>
      </c>
    </row>
    <row r="90" spans="1:7" ht="16.2" thickTop="1" x14ac:dyDescent="0.3">
      <c r="B90" s="190"/>
    </row>
    <row r="91" spans="1:7" x14ac:dyDescent="0.3">
      <c r="B91" s="190"/>
      <c r="E91" s="61" t="s">
        <v>111</v>
      </c>
      <c r="F91" s="138"/>
      <c r="G91" s="248">
        <f>SUM(Martial!M3:M39,G3:G89)</f>
        <v>88967.74</v>
      </c>
    </row>
    <row r="92" spans="1:7" x14ac:dyDescent="0.3">
      <c r="B92" s="190"/>
    </row>
    <row r="93" spans="1:7" x14ac:dyDescent="0.3">
      <c r="B93" s="190"/>
    </row>
    <row r="94" spans="1:7" x14ac:dyDescent="0.3">
      <c r="B94" s="190"/>
    </row>
    <row r="95" spans="1:7" x14ac:dyDescent="0.3">
      <c r="B95" s="190"/>
    </row>
    <row r="96" spans="1:7" x14ac:dyDescent="0.3">
      <c r="B96" s="190"/>
    </row>
    <row r="97" spans="2:2" x14ac:dyDescent="0.3">
      <c r="B97" s="190"/>
    </row>
    <row r="98" spans="2:2" x14ac:dyDescent="0.3">
      <c r="B98" s="190"/>
    </row>
  </sheetData>
  <sortState xmlns:xlrd2="http://schemas.microsoft.com/office/spreadsheetml/2017/richdata2" ref="A22:G68">
    <sortCondition ref="A22:A68"/>
  </sortState>
  <phoneticPr fontId="0" type="noConversion"/>
  <conditionalFormatting sqref="G91">
    <cfRule type="cellIs" dxfId="0" priority="2" operator="lessThan">
      <formula>0</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showGridLines="0" workbookViewId="0"/>
  </sheetViews>
  <sheetFormatPr defaultColWidth="9" defaultRowHeight="15.6" x14ac:dyDescent="0.3"/>
  <cols>
    <col min="1" max="16384" width="9" style="19"/>
  </cols>
  <sheetData/>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Personal File</vt:lpstr>
      <vt:lpstr>Skills</vt:lpstr>
      <vt:lpstr>Favored Soul</vt:lpstr>
      <vt:lpstr>Harrier</vt:lpstr>
      <vt:lpstr>Spells</vt:lpstr>
      <vt:lpstr>Feats</vt:lpstr>
      <vt:lpstr>Martial</vt:lpstr>
      <vt:lpstr>Equipment</vt:lpstr>
      <vt:lpstr>Deity</vt:lpstr>
      <vt:lpstr>XP Awards</vt:lpstr>
      <vt:lpstr>'Favored Soul'!Print_Area</vt:lpstr>
      <vt:lpstr>Harrier!Print_Area</vt:lpstr>
      <vt:lpstr>'Personal File'!Print_Area</vt:lpstr>
      <vt:lpstr>Skills!Print_Area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2012-10-12T16:15:15Z</cp:lastPrinted>
  <dcterms:created xsi:type="dcterms:W3CDTF">2000-10-24T15:39:59Z</dcterms:created>
  <dcterms:modified xsi:type="dcterms:W3CDTF">2023-11-04T13:31:13Z</dcterms:modified>
</cp:coreProperties>
</file>