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FoL\NPCs\"/>
    </mc:Choice>
  </mc:AlternateContent>
  <xr:revisionPtr revIDLastSave="0" documentId="13_ncr:1_{678BADFF-9CDD-48F7-8DBF-A202FED41854}" xr6:coauthVersionLast="47" xr6:coauthVersionMax="47" xr10:uidLastSave="{00000000-0000-0000-0000-000000000000}"/>
  <bookViews>
    <workbookView xWindow="-108" yWindow="-108" windowWidth="23256" windowHeight="13176" tabRatio="638" activeTab="3" xr2:uid="{00000000-000D-0000-FFFF-FFFF00000000}"/>
  </bookViews>
  <sheets>
    <sheet name="Personal File" sheetId="4" r:id="rId1"/>
    <sheet name="Skills" sheetId="15" r:id="rId2"/>
    <sheet name="Spells" sheetId="25"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File'!$A$1:$H$27</definedName>
    <definedName name="_xlnm.Print_Area" localSheetId="1">Skills!$A$1:$K$30</definedName>
    <definedName name="_xlnm.Print_Area" localSheetId="2">Spells!$A$1:$I$8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1" i="6" l="1"/>
  <c r="N42" i="6"/>
  <c r="B11" i="4"/>
  <c r="G5" i="20"/>
  <c r="B5" i="15"/>
  <c r="B4" i="15"/>
  <c r="B3" i="15"/>
  <c r="H43" i="15" l="1"/>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B7" i="4"/>
  <c r="B10" i="4"/>
  <c r="J6" i="6" l="1"/>
  <c r="F21" i="15" l="1"/>
  <c r="F16" i="15"/>
  <c r="F9" i="15"/>
  <c r="F7" i="15"/>
  <c r="F23" i="15"/>
  <c r="F29" i="15"/>
  <c r="F36" i="15"/>
  <c r="F42" i="15"/>
  <c r="C25" i="19" l="1"/>
  <c r="I22" i="6" l="1"/>
  <c r="J22" i="6"/>
  <c r="K22" i="6" l="1"/>
  <c r="J4" i="6" l="1"/>
  <c r="J5" i="6"/>
  <c r="J7" i="6"/>
  <c r="J8" i="6"/>
  <c r="J9" i="6"/>
  <c r="J10" i="6"/>
  <c r="J11" i="6"/>
  <c r="J12" i="6"/>
  <c r="J13" i="6"/>
  <c r="J14" i="6"/>
  <c r="J15" i="6"/>
  <c r="J16" i="6"/>
  <c r="B12" i="4" l="1"/>
  <c r="N40" i="6" l="1"/>
  <c r="C26" i="19" l="1"/>
  <c r="C17" i="19" l="1"/>
  <c r="J5" i="20" l="1"/>
  <c r="K5" i="20"/>
  <c r="J3" i="6" l="1"/>
  <c r="C29" i="19" l="1"/>
  <c r="B29" i="19" s="1"/>
  <c r="B32" i="6" l="1"/>
  <c r="C16" i="19" l="1"/>
  <c r="C19" i="19" s="1"/>
  <c r="B19" i="19" s="1"/>
  <c r="B45" i="15" l="1"/>
  <c r="B14" i="4" l="1"/>
  <c r="B15" i="4" l="1"/>
  <c r="B13" i="4"/>
  <c r="H3" i="15" l="1"/>
  <c r="H4" i="15"/>
  <c r="H5" i="15"/>
  <c r="G30" i="19" l="1"/>
  <c r="D21" i="6" l="1"/>
  <c r="I21" i="6" s="1"/>
  <c r="J21" i="6"/>
  <c r="K21" i="6" l="1"/>
  <c r="H10" i="20"/>
  <c r="F10" i="20"/>
  <c r="I5" i="20"/>
  <c r="H5" i="20"/>
  <c r="F5" i="20"/>
  <c r="J20" i="6" l="1"/>
  <c r="I20" i="6"/>
  <c r="K20" i="6" l="1"/>
  <c r="J26" i="6" l="1"/>
  <c r="J25" i="6"/>
  <c r="J24" i="6"/>
  <c r="J19" i="6" l="1"/>
  <c r="J23" i="6"/>
  <c r="H37" i="6" l="1"/>
  <c r="H44" i="15" l="1"/>
  <c r="H8" i="15"/>
  <c r="H6" i="15" l="1"/>
  <c r="E11" i="4" l="1"/>
  <c r="C10" i="4" l="1"/>
  <c r="C6" i="6" l="1"/>
  <c r="I6" i="6"/>
  <c r="K6" i="6" s="1"/>
  <c r="C7" i="6"/>
  <c r="C4" i="6"/>
  <c r="C3" i="6"/>
  <c r="C5" i="6"/>
  <c r="I3" i="6"/>
  <c r="K3" i="6" s="1"/>
  <c r="I4" i="6"/>
  <c r="K4" i="6" s="1"/>
  <c r="I7" i="6"/>
  <c r="K7" i="6" s="1"/>
  <c r="I5" i="6"/>
  <c r="K5" i="6" s="1"/>
  <c r="D9" i="15"/>
  <c r="E9" i="15" s="1"/>
  <c r="D23" i="15"/>
  <c r="E23" i="15" s="1"/>
  <c r="D41" i="15"/>
  <c r="E41" i="15" s="1"/>
  <c r="C9" i="6"/>
  <c r="I10" i="6"/>
  <c r="K10" i="6" s="1"/>
  <c r="C10" i="6"/>
  <c r="I9" i="6"/>
  <c r="K9" i="6" s="1"/>
  <c r="C11" i="6"/>
  <c r="I8" i="6"/>
  <c r="K8" i="6" s="1"/>
  <c r="C8" i="6"/>
  <c r="I11" i="6"/>
  <c r="K11" i="6" s="1"/>
  <c r="I15" i="6"/>
  <c r="K15" i="6" s="1"/>
  <c r="C15" i="6"/>
  <c r="I14" i="6"/>
  <c r="K14" i="6" s="1"/>
  <c r="I13" i="6"/>
  <c r="K13" i="6" s="1"/>
  <c r="C14" i="6"/>
  <c r="I12" i="6"/>
  <c r="K12" i="6" s="1"/>
  <c r="C12" i="6"/>
  <c r="I16" i="6"/>
  <c r="C16" i="6"/>
  <c r="K16" i="6" l="1"/>
  <c r="G23" i="15"/>
  <c r="I23" i="15" s="1"/>
  <c r="G9" i="15"/>
  <c r="I9" i="15" s="1"/>
  <c r="C15" i="4"/>
  <c r="C14" i="4"/>
  <c r="C13" i="4"/>
  <c r="C12" i="4"/>
  <c r="C11" i="4"/>
  <c r="E13" i="4" s="1"/>
  <c r="D8" i="15" l="1"/>
  <c r="E8" i="15" s="1"/>
  <c r="D19" i="15"/>
  <c r="E19" i="15" s="1"/>
  <c r="D43" i="15"/>
  <c r="E43" i="15" s="1"/>
  <c r="D13" i="15"/>
  <c r="E13" i="15" s="1"/>
  <c r="D22" i="15"/>
  <c r="E22" i="15" s="1"/>
  <c r="D15" i="15"/>
  <c r="E15" i="15" s="1"/>
  <c r="D31" i="15"/>
  <c r="E31" i="15" s="1"/>
  <c r="D18" i="15"/>
  <c r="E18" i="15" s="1"/>
  <c r="E9" i="4"/>
  <c r="D5" i="15"/>
  <c r="D40" i="15"/>
  <c r="E40" i="15" s="1"/>
  <c r="D28" i="15"/>
  <c r="E28" i="15" s="1"/>
  <c r="D20" i="15"/>
  <c r="E20" i="15" s="1"/>
  <c r="D32" i="15"/>
  <c r="E32" i="15" s="1"/>
  <c r="D35" i="15"/>
  <c r="E35" i="15" s="1"/>
  <c r="D39" i="15"/>
  <c r="E39" i="15" s="1"/>
  <c r="D12" i="15"/>
  <c r="E12" i="15" s="1"/>
  <c r="D17" i="15"/>
  <c r="E17" i="15" s="1"/>
  <c r="D26" i="15"/>
  <c r="E26" i="15" s="1"/>
  <c r="D37" i="15"/>
  <c r="E37" i="15" s="1"/>
  <c r="D6" i="15"/>
  <c r="E6" i="15" s="1"/>
  <c r="D24" i="15"/>
  <c r="E24" i="15" s="1"/>
  <c r="D38" i="15"/>
  <c r="E38" i="15" s="1"/>
  <c r="D11" i="15"/>
  <c r="E11" i="15" s="1"/>
  <c r="D25" i="15"/>
  <c r="E25" i="15" s="1"/>
  <c r="D14" i="15"/>
  <c r="E14" i="15" s="1"/>
  <c r="D27" i="15"/>
  <c r="E27" i="15" s="1"/>
  <c r="D34" i="15"/>
  <c r="E34" i="15" s="1"/>
  <c r="I6" i="20"/>
  <c r="F6" i="20"/>
  <c r="J6" i="20"/>
  <c r="G6" i="20"/>
  <c r="K6" i="20"/>
  <c r="H6" i="20"/>
  <c r="E57" i="15"/>
  <c r="E56" i="15"/>
  <c r="E55" i="15"/>
  <c r="E54" i="15"/>
  <c r="F14" i="20"/>
  <c r="F15" i="20" s="1"/>
  <c r="F16" i="20" s="1"/>
  <c r="F18" i="20" s="1"/>
  <c r="E53" i="15"/>
  <c r="E52" i="15"/>
  <c r="E51" i="15"/>
  <c r="E50" i="15"/>
  <c r="E46" i="15"/>
  <c r="E49" i="15"/>
  <c r="E48" i="15"/>
  <c r="E47" i="15"/>
  <c r="D3" i="15"/>
  <c r="D10" i="15"/>
  <c r="E10" i="15" s="1"/>
  <c r="E15" i="4"/>
  <c r="E14" i="4" s="1"/>
  <c r="D7" i="15"/>
  <c r="E7" i="15" s="1"/>
  <c r="D16" i="15"/>
  <c r="E16" i="15" s="1"/>
  <c r="D44" i="15"/>
  <c r="E44" i="15" s="1"/>
  <c r="D30" i="15"/>
  <c r="E30" i="15" s="1"/>
  <c r="D4" i="15"/>
  <c r="D21" i="15"/>
  <c r="E21" i="15" s="1"/>
  <c r="D36" i="15"/>
  <c r="E36" i="15" s="1"/>
  <c r="D29" i="15"/>
  <c r="E29" i="15" s="1"/>
  <c r="D33" i="15"/>
  <c r="E33" i="15" s="1"/>
  <c r="D42" i="15"/>
  <c r="E42" i="15" s="1"/>
  <c r="I19" i="6"/>
  <c r="K19" i="6" s="1"/>
  <c r="I25" i="6"/>
  <c r="K25" i="6" s="1"/>
  <c r="I26" i="6"/>
  <c r="K26" i="6" s="1"/>
  <c r="I24" i="6"/>
  <c r="K24" i="6" s="1"/>
  <c r="I23" i="6"/>
  <c r="K23" i="6" s="1"/>
  <c r="B8" i="4"/>
  <c r="E12" i="4"/>
  <c r="G24" i="15" l="1"/>
  <c r="I24" i="15" s="1"/>
  <c r="E45" i="15"/>
  <c r="F19" i="20"/>
  <c r="G18" i="20"/>
  <c r="E5" i="15"/>
  <c r="G5" i="15"/>
  <c r="I5" i="15" s="1"/>
  <c r="E3" i="15"/>
  <c r="G3" i="15"/>
  <c r="I3" i="15" s="1"/>
  <c r="E4" i="15"/>
  <c r="G4" i="15"/>
  <c r="I4" i="15" s="1"/>
  <c r="G25" i="15"/>
  <c r="I25" i="15" s="1"/>
  <c r="G26" i="15"/>
  <c r="I26" i="15" s="1"/>
  <c r="G18" i="15"/>
  <c r="I18" i="15" s="1"/>
  <c r="G21" i="15"/>
  <c r="I21" i="15" s="1"/>
  <c r="G22" i="15"/>
  <c r="I22" i="15" s="1"/>
  <c r="G15" i="15"/>
  <c r="I15" i="15" s="1"/>
  <c r="G20" i="15"/>
  <c r="I20" i="15" s="1"/>
  <c r="G37" i="15"/>
  <c r="I37" i="15" s="1"/>
  <c r="G14" i="15"/>
  <c r="I14" i="15" s="1"/>
  <c r="G10" i="15"/>
  <c r="I10" i="15" s="1"/>
  <c r="G13" i="15"/>
  <c r="I13" i="15" s="1"/>
  <c r="G8" i="15"/>
  <c r="I8" i="15" s="1"/>
  <c r="G7" i="15"/>
  <c r="I7" i="15" s="1"/>
  <c r="G17" i="15"/>
  <c r="I17" i="15" s="1"/>
  <c r="G19" i="15"/>
  <c r="I19" i="15" s="1"/>
  <c r="G16" i="15"/>
  <c r="I16" i="15" s="1"/>
  <c r="G12" i="15"/>
  <c r="I12" i="15" s="1"/>
  <c r="G11" i="15"/>
  <c r="I11" i="15" s="1"/>
  <c r="G6" i="15"/>
  <c r="I6" i="15" s="1"/>
  <c r="F20" i="20" l="1"/>
  <c r="G19" i="20"/>
  <c r="G32" i="15"/>
  <c r="G38" i="15"/>
  <c r="I38" i="15" s="1"/>
  <c r="G43" i="15"/>
  <c r="I43" i="15" s="1"/>
  <c r="G27" i="15"/>
  <c r="I27" i="15" s="1"/>
  <c r="F21" i="20" l="1"/>
  <c r="G20" i="20"/>
  <c r="I32" i="15"/>
  <c r="G28" i="15"/>
  <c r="G31" i="15"/>
  <c r="G35" i="15"/>
  <c r="G30" i="15"/>
  <c r="G34" i="15"/>
  <c r="G39" i="15"/>
  <c r="G40" i="15"/>
  <c r="G29" i="15"/>
  <c r="G33" i="15"/>
  <c r="G44" i="15"/>
  <c r="G36" i="15"/>
  <c r="G41" i="15"/>
  <c r="G42" i="15"/>
  <c r="F22" i="20" l="1"/>
  <c r="G21" i="20"/>
  <c r="H21" i="20" s="1"/>
  <c r="I42" i="15"/>
  <c r="I41" i="15"/>
  <c r="I36" i="15"/>
  <c r="I44" i="15"/>
  <c r="I33" i="15"/>
  <c r="I29" i="15"/>
  <c r="I40" i="15"/>
  <c r="I39" i="15"/>
  <c r="I34" i="15"/>
  <c r="I30" i="15"/>
  <c r="I35" i="15"/>
  <c r="I31" i="15"/>
  <c r="I28" i="15"/>
  <c r="F23" i="20" l="1"/>
  <c r="G22" i="20"/>
  <c r="H22" i="20" s="1"/>
  <c r="F24" i="20" l="1"/>
  <c r="G23" i="20"/>
  <c r="H23" i="20" s="1"/>
  <c r="F25" i="20" l="1"/>
  <c r="G24" i="20"/>
  <c r="H24" i="20" s="1"/>
  <c r="F26" i="20" l="1"/>
  <c r="G25" i="20"/>
  <c r="H25" i="20" s="1"/>
  <c r="I25" i="20" s="1"/>
  <c r="F27" i="20" l="1"/>
  <c r="G26" i="20"/>
  <c r="H26" i="20" s="1"/>
  <c r="I26" i="20" s="1"/>
  <c r="G27" i="20" l="1"/>
  <c r="H27" i="20" s="1"/>
  <c r="I27" i="20" s="1"/>
  <c r="F28" i="20"/>
  <c r="F29" i="20" s="1"/>
  <c r="F33" i="20"/>
  <c r="G33" i="20" s="1"/>
  <c r="H33" i="20" s="1"/>
  <c r="I33" i="20" s="1"/>
  <c r="J33" i="20" s="1"/>
  <c r="K33" i="20" s="1"/>
  <c r="F30" i="20" l="1"/>
  <c r="G30" i="20" s="1"/>
  <c r="H30" i="20" s="1"/>
  <c r="I30" i="20" s="1"/>
  <c r="J30" i="20" s="1"/>
  <c r="G29" i="20"/>
  <c r="H29" i="20" s="1"/>
  <c r="I29" i="20" s="1"/>
  <c r="J29" i="20" s="1"/>
  <c r="G28" i="20"/>
  <c r="H28" i="20" s="1"/>
  <c r="I28" i="20" s="1"/>
  <c r="F31" i="20" l="1"/>
  <c r="F32" i="20" l="1"/>
  <c r="G32" i="20" s="1"/>
  <c r="H32" i="20" s="1"/>
  <c r="I32" i="20" s="1"/>
  <c r="J32" i="20" s="1"/>
  <c r="G31" i="20"/>
  <c r="H31" i="20" s="1"/>
  <c r="I31" i="20" s="1"/>
  <c r="J3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aid +1
bless +1     haste +1
inspire courage +2
greater heroism +4
negative levels -2
Shaken -2</t>
        </r>
      </text>
    </comment>
    <comment ref="C8" authorId="0" shapeId="0" xr:uid="{00000000-0006-0000-0000-000002000000}">
      <text>
        <r>
          <rPr>
            <i/>
            <sz val="12"/>
            <color indexed="81"/>
            <rFont val="Times New Roman"/>
            <family val="1"/>
          </rPr>
          <t>Improved Initiative +4</t>
        </r>
      </text>
    </comment>
    <comment ref="C9" authorId="0" shapeId="0" xr:uid="{338EC762-912B-445D-93CC-52E580E206AF}">
      <text>
        <r>
          <rPr>
            <sz val="12"/>
            <color indexed="81"/>
            <rFont val="Times New Roman"/>
            <family val="1"/>
          </rPr>
          <t>Next level at 153,000 XPs</t>
        </r>
      </text>
    </comment>
    <comment ref="E9" authorId="0" shapeId="0" xr:uid="{00000000-0006-0000-0000-000004000000}">
      <text>
        <r>
          <rPr>
            <sz val="12"/>
            <color indexed="81"/>
            <rFont val="Times New Roman"/>
            <family val="1"/>
          </rPr>
          <t>ECL + 2 (Cha) + 2 (Great Renown)
+1 (Fairness &amp; Generosity)</t>
        </r>
      </text>
    </comment>
    <comment ref="B10" authorId="0" shapeId="0" xr:uid="{00000000-0006-0000-0000-000005000000}">
      <text>
        <r>
          <rPr>
            <i/>
            <sz val="12"/>
            <color indexed="81"/>
            <rFont val="Times New Roman"/>
            <family val="1"/>
          </rPr>
          <t>bull’s strength +4
chasing perfection +4
bear’s heart +4
baleful bolt -3
ray of enfeeblement -5
Fatigued -2</t>
        </r>
      </text>
    </comment>
    <comment ref="E10" authorId="0" shapeId="0" xr:uid="{00000000-0006-0000-0000-000006000000}">
      <text>
        <r>
          <rPr>
            <sz val="12"/>
            <color indexed="81"/>
            <rFont val="Times New Roman"/>
            <family val="1"/>
          </rPr>
          <t>See PHB 162</t>
        </r>
      </text>
    </comment>
    <comment ref="B11" authorId="0" shapeId="0" xr:uid="{00000000-0006-0000-0000-000007000000}">
      <text>
        <r>
          <rPr>
            <i/>
            <sz val="12"/>
            <color indexed="81"/>
            <rFont val="Times New Roman"/>
            <family val="1"/>
          </rPr>
          <t>Chasing Perfection +4
Fatigued -2</t>
        </r>
      </text>
    </comment>
    <comment ref="B12" authorId="0" shapeId="0" xr:uid="{00000000-0006-0000-0000-000008000000}">
      <text>
        <r>
          <rPr>
            <i/>
            <sz val="12"/>
            <color indexed="81"/>
            <rFont val="Times New Roman"/>
            <family val="1"/>
          </rPr>
          <t>chasing perfection +4</t>
        </r>
      </text>
    </comment>
    <comment ref="E12" authorId="0" shapeId="0" xr:uid="{00000000-0006-0000-0000-000009000000}">
      <text>
        <r>
          <rPr>
            <sz val="12"/>
            <color indexed="81"/>
            <rFont val="Times New Roman"/>
            <family val="1"/>
          </rPr>
          <t>[(12 * 10 Duskblade) * 75%] + (12 * 2 Con)</t>
        </r>
      </text>
    </comment>
    <comment ref="B13" authorId="0" shapeId="0" xr:uid="{00000000-0006-0000-0000-00000A000000}">
      <text>
        <r>
          <rPr>
            <i/>
            <sz val="12"/>
            <color indexed="81"/>
            <rFont val="Times New Roman"/>
            <family val="1"/>
          </rPr>
          <t>chasing perfection +4</t>
        </r>
      </text>
    </comment>
    <comment ref="E13" authorId="0" shapeId="0" xr:uid="{00000000-0006-0000-0000-00000B000000}">
      <text>
        <r>
          <rPr>
            <i/>
            <sz val="12"/>
            <color indexed="81"/>
            <rFont val="Times New Roman"/>
            <family val="1"/>
          </rPr>
          <t xml:space="preserve">Shield of Faith </t>
        </r>
        <r>
          <rPr>
            <sz val="12"/>
            <color indexed="81"/>
            <rFont val="Times New Roman"/>
            <family val="1"/>
          </rPr>
          <t xml:space="preserve">[Deflection] +3
</t>
        </r>
        <r>
          <rPr>
            <i/>
            <sz val="12"/>
            <color indexed="81"/>
            <rFont val="Times New Roman"/>
            <family val="1"/>
          </rPr>
          <t>haste +1</t>
        </r>
      </text>
    </comment>
    <comment ref="B14" authorId="0" shapeId="0" xr:uid="{00000000-0006-0000-0000-00000C000000}">
      <text>
        <r>
          <rPr>
            <i/>
            <sz val="12"/>
            <color indexed="81"/>
            <rFont val="Times New Roman"/>
            <family val="1"/>
          </rPr>
          <t>gloves of dexterity +2
chasing perfection +4</t>
        </r>
      </text>
    </comment>
    <comment ref="B15" authorId="0" shapeId="0" xr:uid="{00000000-0006-0000-0000-00000D000000}">
      <text>
        <r>
          <rPr>
            <i/>
            <sz val="12"/>
            <color indexed="81"/>
            <rFont val="Times New Roman"/>
            <family val="1"/>
          </rPr>
          <t>chasing perfection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5AC6A58E-65A2-4E3F-8592-F6228FD3F415}">
      <text>
        <r>
          <rPr>
            <sz val="12"/>
            <color indexed="81"/>
            <rFont val="Times New Roman"/>
            <family val="1"/>
          </rPr>
          <t xml:space="preserve">Cloak of Resistance +3
</t>
        </r>
        <r>
          <rPr>
            <i/>
            <sz val="12"/>
            <color indexed="81"/>
            <rFont val="Times New Roman"/>
            <family val="1"/>
          </rPr>
          <t>mass conviction +3</t>
        </r>
      </text>
    </comment>
    <comment ref="F4" authorId="0" shapeId="0" xr:uid="{E5B70C20-7626-4CD3-AEE4-C6C13D0C6181}">
      <text>
        <r>
          <rPr>
            <sz val="12"/>
            <color indexed="81"/>
            <rFont val="Times New Roman"/>
            <family val="1"/>
          </rPr>
          <t xml:space="preserve">Cloak of Resistance +3
</t>
        </r>
        <r>
          <rPr>
            <i/>
            <sz val="12"/>
            <color indexed="81"/>
            <rFont val="Times New Roman"/>
            <family val="1"/>
          </rPr>
          <t>mass conviction +3</t>
        </r>
      </text>
    </comment>
    <comment ref="F5" authorId="0" shapeId="0" xr:uid="{00000000-0006-0000-0100-000003000000}">
      <text>
        <r>
          <rPr>
            <sz val="12"/>
            <color indexed="81"/>
            <rFont val="Times New Roman"/>
            <family val="1"/>
          </rPr>
          <t xml:space="preserve">Cloak of Resistance +3
</t>
        </r>
        <r>
          <rPr>
            <i/>
            <sz val="12"/>
            <color indexed="81"/>
            <rFont val="Times New Roman"/>
            <family val="1"/>
          </rPr>
          <t>mass conviction +3</t>
        </r>
      </text>
    </comment>
    <comment ref="F7" authorId="0" shapeId="0" xr:uid="{0C497FE0-E53E-49D1-A3FB-367E1066BEC6}">
      <text>
        <r>
          <rPr>
            <sz val="12"/>
            <color indexed="81"/>
            <rFont val="Times New Roman"/>
            <family val="1"/>
          </rPr>
          <t>-1 Chain Shirt +1</t>
        </r>
      </text>
    </comment>
    <comment ref="F9" authorId="0" shapeId="0" xr:uid="{8C27F3C7-2323-4222-960C-A8405B5C5642}">
      <text>
        <r>
          <rPr>
            <sz val="12"/>
            <color indexed="81"/>
            <rFont val="Times New Roman"/>
            <family val="1"/>
          </rPr>
          <t>-1 Chain Shirt +1</t>
        </r>
      </text>
    </comment>
    <comment ref="F13" authorId="0" shapeId="0" xr:uid="{00000000-0006-0000-0100-000006000000}">
      <text>
        <r>
          <rPr>
            <sz val="12"/>
            <color indexed="81"/>
            <rFont val="Times New Roman"/>
            <family val="1"/>
          </rPr>
          <t>+2 ½-drow</t>
        </r>
      </text>
    </comment>
    <comment ref="F16" authorId="0" shapeId="0" xr:uid="{C7FD670C-610B-41F1-9BA0-3AE0989379E4}">
      <text>
        <r>
          <rPr>
            <sz val="12"/>
            <color indexed="81"/>
            <rFont val="Times New Roman"/>
            <family val="1"/>
          </rPr>
          <t>-1 Chain Shirt +1</t>
        </r>
      </text>
    </comment>
    <comment ref="F18" authorId="0" shapeId="0" xr:uid="{00000000-0006-0000-0100-000008000000}">
      <text>
        <r>
          <rPr>
            <sz val="12"/>
            <color indexed="81"/>
            <rFont val="Times New Roman"/>
            <family val="1"/>
          </rPr>
          <t>+2 ½-drow</t>
        </r>
      </text>
    </comment>
    <comment ref="F21" authorId="0" shapeId="0" xr:uid="{72B02710-3D19-404D-8FD3-860D5B3B0111}">
      <text>
        <r>
          <rPr>
            <sz val="12"/>
            <color indexed="81"/>
            <rFont val="Times New Roman"/>
            <family val="1"/>
          </rPr>
          <t>-1 Chain Shirt +1</t>
        </r>
      </text>
    </comment>
    <comment ref="F23" authorId="0" shapeId="0" xr:uid="{51AFAD63-15BD-4D42-888B-7D8377439617}">
      <text>
        <r>
          <rPr>
            <sz val="12"/>
            <color indexed="81"/>
            <rFont val="Times New Roman"/>
            <family val="1"/>
          </rPr>
          <t>-1 Chain Shirt +1</t>
        </r>
      </text>
    </comment>
    <comment ref="F28" authorId="0" shapeId="0" xr:uid="{00000000-0006-0000-0100-00000B000000}">
      <text>
        <r>
          <rPr>
            <sz val="12"/>
            <color indexed="81"/>
            <rFont val="Times New Roman"/>
            <family val="1"/>
          </rPr>
          <t>+1 ½-drow</t>
        </r>
      </text>
    </comment>
    <comment ref="F29" authorId="0" shapeId="0" xr:uid="{C81C6ABB-4E81-45F8-BD66-A5A02FC9F6BA}">
      <text>
        <r>
          <rPr>
            <sz val="12"/>
            <color indexed="81"/>
            <rFont val="Times New Roman"/>
            <family val="1"/>
          </rPr>
          <t>-1 Chain Shirt +1</t>
        </r>
      </text>
    </comment>
    <comment ref="F34" authorId="0" shapeId="0" xr:uid="{00000000-0006-0000-0100-00000D000000}">
      <text>
        <r>
          <rPr>
            <sz val="12"/>
            <color indexed="81"/>
            <rFont val="Times New Roman"/>
            <family val="1"/>
          </rPr>
          <t>+1 ½-drow</t>
        </r>
      </text>
    </comment>
    <comment ref="F36" authorId="0" shapeId="0" xr:uid="{55C811BC-1646-4E39-BE6B-63F8DCBE1BE8}">
      <text>
        <r>
          <rPr>
            <sz val="12"/>
            <color indexed="81"/>
            <rFont val="Times New Roman"/>
            <family val="1"/>
          </rPr>
          <t>-1 Chain Shirt +1</t>
        </r>
      </text>
    </comment>
    <comment ref="F39" authorId="0" shapeId="0" xr:uid="{00000000-0006-0000-0100-00000F000000}">
      <text>
        <r>
          <rPr>
            <sz val="12"/>
            <color indexed="81"/>
            <rFont val="Times New Roman"/>
            <family val="1"/>
          </rPr>
          <t>+1 ½-drow</t>
        </r>
      </text>
    </comment>
    <comment ref="F42" authorId="0" shapeId="0" xr:uid="{00000000-0006-0000-0100-000010000000}">
      <text>
        <r>
          <rPr>
            <sz val="12"/>
            <color indexed="81"/>
            <rFont val="Times New Roman"/>
            <family val="1"/>
          </rPr>
          <t>-1 Chain Shirt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Wool or fur</t>
        </r>
      </text>
    </comment>
    <comment ref="D7" authorId="0" shapeId="0" xr:uid="{00000000-0006-0000-0200-000002000000}">
      <text>
        <r>
          <rPr>
            <sz val="12"/>
            <color indexed="81"/>
            <rFont val="Times New Roman"/>
            <family val="1"/>
          </rPr>
          <t>Drop of sweat</t>
        </r>
      </text>
    </comment>
    <comment ref="D13" authorId="0" shapeId="0" xr:uid="{00000000-0006-0000-0200-000003000000}">
      <text>
        <r>
          <rPr>
            <sz val="12"/>
            <color indexed="81"/>
            <rFont val="Times New Roman"/>
            <family val="1"/>
          </rPr>
          <t>Sand, rose petals, or live cricket</t>
        </r>
      </text>
    </comment>
    <comment ref="D18" authorId="0" shapeId="0" xr:uid="{00000000-0006-0000-0200-000004000000}">
      <text>
        <r>
          <rPr>
            <sz val="12"/>
            <color indexed="81"/>
            <rFont val="Times New Roman"/>
            <family val="1"/>
          </rPr>
          <t>Bull-shit or bull-hair</t>
        </r>
      </text>
    </comment>
    <comment ref="D25" authorId="0" shapeId="0" xr:uid="{00000000-0006-0000-0200-000005000000}">
      <text>
        <r>
          <rPr>
            <sz val="12"/>
            <color indexed="81"/>
            <rFont val="Times New Roman"/>
            <family val="1"/>
          </rPr>
          <t>Roots</t>
        </r>
      </text>
    </comment>
    <comment ref="D30" authorId="0" shapeId="0" xr:uid="{00000000-0006-0000-0200-000006000000}">
      <text>
        <r>
          <rPr>
            <sz val="12"/>
            <color indexed="81"/>
            <rFont val="Times New Roman"/>
            <family val="1"/>
          </rPr>
          <t>dragon scale</t>
        </r>
      </text>
    </comment>
    <comment ref="D36" authorId="0" shapeId="0" xr:uid="{00000000-0006-0000-0200-000007000000}">
      <text>
        <r>
          <rPr>
            <sz val="12"/>
            <color indexed="81"/>
            <rFont val="Times New Roman"/>
            <family val="1"/>
          </rPr>
          <t>phosphorous (warm) or glowworm (chill)</t>
        </r>
      </text>
    </comment>
    <comment ref="D38" authorId="0" shapeId="0" xr:uid="{3D4E755B-3C7C-46F3-8A85-AA06CC824D84}">
      <text>
        <r>
          <rPr>
            <sz val="12"/>
            <color indexed="81"/>
            <rFont val="Times New Roman"/>
            <family val="1"/>
          </rPr>
          <t>Leather glove</t>
        </r>
      </text>
    </comment>
    <comment ref="D39" authorId="0" shapeId="0" xr:uid="{50A6A241-BBE0-4DD2-9614-093BFB9D55FF}">
      <text>
        <r>
          <rPr>
            <sz val="12"/>
            <color indexed="81"/>
            <rFont val="Times New Roman"/>
            <family val="1"/>
          </rPr>
          <t>metal bar or rod, which can be as small as a three-penny nail</t>
        </r>
      </text>
    </comment>
    <comment ref="D43" authorId="0" shapeId="0" xr:uid="{00000000-0006-0000-0200-000008000000}">
      <text>
        <r>
          <rPr>
            <sz val="12"/>
            <rFont val="Times New Roman"/>
            <family val="1"/>
          </rPr>
          <t>lodestone and dust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Die Roll        Bonus</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t>
        </r>
        <r>
          <rPr>
            <b/>
            <sz val="12"/>
            <color indexed="81"/>
            <rFont val="Times New Roman"/>
            <family val="1"/>
          </rPr>
          <t xml:space="preserve">Example:  </t>
        </r>
        <r>
          <rPr>
            <sz val="12"/>
            <color indexed="81"/>
            <rFont val="Times New Roman"/>
            <family val="1"/>
          </rPr>
          <t>Alhandra faces a black dragon, a vampire, and a beholder.  She has the Knowledge Devotion feat and ranks in both Knowledge (arcana) and Knowledge (religion).  At the beginning of the battle, she makes checks to gain bonuses against the dragon and the vampire, but since she possess no ranks in Knowledge (dungeoneering), she has no chance to gain a bonus against the beholder (an aberration).
Alhandra’s Knowledge (arcana) check grants her a +3 insight bonus on attack rolls and damage rolls against the black dragon.  Later, a half-dragon enters the fray.  Alhandra cannot make another check since she has already checked for the dragon type this combat, but she can apply the +3 insight bonus to her attack rolls and damage rolls against the half-dragon as well.  This benefit is an extraordinary ability.
Complete Champion 60</t>
        </r>
      </text>
    </comment>
    <comment ref="A3" authorId="0" shapeId="0" xr:uid="{00000000-0006-0000-0300-000002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A4" authorId="0" shapeId="0" xr:uid="{00000000-0006-0000-0300-000003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5" authorId="0" shapeId="0" xr:uid="{00000000-0006-0000-0300-000004000000}">
      <text>
        <r>
          <rPr>
            <sz val="12"/>
            <rFont val="Times New Roman"/>
            <family val="1"/>
          </rPr>
          <t xml:space="preserve">You can cast spells to maximum effect.
</t>
        </r>
        <r>
          <rPr>
            <b/>
            <sz val="12"/>
            <color indexed="81"/>
            <rFont val="Times New Roman"/>
            <family val="1"/>
          </rPr>
          <t xml:space="preserve">Benefit:  </t>
        </r>
        <r>
          <rPr>
            <sz val="12"/>
            <rFont val="Times New Roman"/>
            <family val="1"/>
          </rPr>
          <t xml:space="preserve">All variable, numeric effects of a spell modified by this feat are maximized.  A maximized spell deals maximum damage, cures the maximum number of hit points, affects the maximum number of targets, etc., as appropriate.  For example, a maximized fireball deals 6 points of damage per caster level (up to a maximum of 60 points of damage at 10th caster level).  Saving throws and opposed rolls (such as the one you make when you cast </t>
        </r>
        <r>
          <rPr>
            <i/>
            <sz val="12"/>
            <color indexed="81"/>
            <rFont val="Times New Roman"/>
            <family val="1"/>
          </rPr>
          <t>dispel magic</t>
        </r>
        <r>
          <rPr>
            <sz val="12"/>
            <rFont val="Times New Roman"/>
            <family val="1"/>
          </rPr>
          <t>) are not affected, nor are spells without random variables.  A maximized spell uses up a spell slot three levels higher than the spell’s actual level.
An empowered, maximized spell gains the separate benefits of each feat: the maximum result plus one-half the normally rolled result.  An empowered, maximized fireball cast by a 15th-level wizard deals points of damage equal to 60 plus one half of 10d6.
PHB 97</t>
        </r>
      </text>
    </comment>
    <comment ref="A6" authorId="0" shapeId="0" xr:uid="{00000000-0006-0000-0300-000005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A7" authorId="0" shapeId="0" xr:uid="{B69F3F80-8BE1-44C8-937B-59A9FD6A1612}">
      <text>
        <r>
          <rPr>
            <sz val="12"/>
            <rFont val="Times New Roman"/>
            <family val="1"/>
          </rPr>
          <t xml:space="preserve">You can chennel arcane energy into your melee attacks.
</t>
        </r>
        <r>
          <rPr>
            <b/>
            <sz val="12"/>
            <color indexed="81"/>
            <rFont val="Times New Roman"/>
            <family val="1"/>
          </rPr>
          <t xml:space="preserve">Prerequisitites:  </t>
        </r>
        <r>
          <rPr>
            <sz val="12"/>
            <rFont val="Times New Roman"/>
            <family val="1"/>
          </rPr>
          <t xml:space="preserve">Ability to cast 3rd-level arcane spells, base attack bonus +4.
</t>
        </r>
        <r>
          <rPr>
            <b/>
            <sz val="12"/>
            <color indexed="81"/>
            <rFont val="Times New Roman"/>
            <family val="1"/>
          </rPr>
          <t xml:space="preserve">Benefit:  </t>
        </r>
        <r>
          <rPr>
            <sz val="12"/>
            <rFont val="Times New Roman"/>
            <family val="1"/>
          </rPr>
          <t>When you activate this feat (a free action that does not provoke an attack of opportunity), you can channel arcane energy into a melee weapon, your unarmed strike, or natural weapons.  You must sacrifice one of your spells for the day (of 1st level or higher) to do this, but you gain a bonus on all your attack rolls for 1 round equal to the level of the spell sacrificed, as well as extra damage equal to 1d4 points x the level of the spell sacrificed.  The bonus you add to your attack rolls from this feat cannot be greater than your base attack bonus.
For example, Yarren the badesinger has a BAB of +11 and the ability to cast 4th-level spells for the day, marking it off as if he had cast it.  until his next turn, yarren gaines an extra +4 bonus on his attack rolls and an extra 4d4 points of damage with a single melee weapon of his choice (his rapier).
??? 96</t>
        </r>
      </text>
    </comment>
    <comment ref="A8" authorId="0" shapeId="0" xr:uid="{00000000-0006-0000-0300-000006000000}">
      <text>
        <r>
          <rPr>
            <sz val="12"/>
            <color indexed="81"/>
            <rFont val="Times New Roman"/>
            <family val="1"/>
          </rPr>
          <t>As Leadership (DMG 106), but no followers.</t>
        </r>
      </text>
    </comment>
    <comment ref="A9" authorId="0" shapeId="0" xr:uid="{00000000-0006-0000-0300-000007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A12" authorId="0" shapeId="0" xr:uid="{00000000-0006-0000-0300-00000800000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4" authorId="0" shapeId="0" xr:uid="{00000000-0006-0000-0300-000009000000}">
      <text>
        <r>
          <rPr>
            <sz val="12"/>
            <color indexed="81"/>
            <rFont val="Times New Roman"/>
            <family val="1"/>
          </rPr>
          <t>Avoid arcane spell failure so long as you stick to medium armor and light shields.</t>
        </r>
      </text>
    </comment>
    <comment ref="A15" authorId="0" shapeId="0" xr:uid="{00000000-0006-0000-0300-00000A000000}">
      <text>
        <r>
          <rPr>
            <sz val="12"/>
            <color indexed="81"/>
            <rFont val="Times New Roman"/>
            <family val="1"/>
          </rPr>
          <t>Avoid arcane spell failure so long as you stick to medium armor and light shields.</t>
        </r>
      </text>
    </comment>
    <comment ref="A16" authorId="0" shapeId="0" xr:uid="{00000000-0006-0000-0300-00000B00000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7" authorId="0" shapeId="0" xr:uid="{00000000-0006-0000-0300-00000C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18" authorId="0" shapeId="0" xr:uid="{00000000-0006-0000-0300-00000D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A19" authorId="0" shapeId="0" xr:uid="{00000000-0006-0000-0300-00000E000000}">
      <text>
        <r>
          <rPr>
            <sz val="12"/>
            <color indexed="81"/>
            <rFont val="Times New Roman"/>
            <family val="1"/>
          </rPr>
          <t>You can cast one spell as a swift action, so long as the casting time of the spell is 1 standard action or less.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7A4FC547-3FCD-4560-A2E1-5BB1FF8E549C}">
      <text>
        <r>
          <rPr>
            <b/>
            <sz val="12"/>
            <color indexed="81"/>
            <rFont val="Times New Roman"/>
            <family val="1"/>
          </rPr>
          <t xml:space="preserve">Price:  </t>
        </r>
        <r>
          <rPr>
            <sz val="12"/>
            <color indexed="81"/>
            <rFont val="Times New Roman"/>
            <family val="1"/>
          </rPr>
          <t xml:space="preserve">+1 bonus.
A shattermantle weapon damages an opponent’s spell resistance.  Each time the weapon strikes a foe with spell resistance, the value of that spell resistance is reduced by 2 for 1 round.  The penalties for multiple hits during the same round stack. For example, if the wielder succeeds on three attacks in the same round against the same foe with spell resistance, that foe’s spell resistance is reduced by 6 until the beginning of the wielder’s next turn.  This weapon property does not grant the bearer the ability to determine how much spell resistance (if any) a target might have.
Waterdeep 146
</t>
        </r>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necromancy
</t>
        </r>
        <r>
          <rPr>
            <b/>
            <sz val="12"/>
            <color indexed="81"/>
            <rFont val="Times New Roman"/>
            <family val="1"/>
          </rPr>
          <t xml:space="preserve">Activation: </t>
        </r>
        <r>
          <rPr>
            <sz val="12"/>
            <color indexed="81"/>
            <rFont val="Times New Roman"/>
            <family val="1"/>
          </rPr>
          <t>Free (command)
The blade of this weapon bears red crystals carefully inlaid in intricate designs.
A bloodstone weapon can store and cast a vampiric touch spell against a creature it strikes, just as if it were a spell storing weapon (DMG 225).  Any such spell cast from a bloodstone weapon is automatically empowered (as if by the Empower Spell feat).  A bloodstone weapon can store no more than one such spell at any time, and it cannot store a spell other than vampiric touch.
MIC 29.</t>
        </r>
      </text>
    </comment>
    <comment ref="D20" authorId="0" shapeId="0" xr:uid="{00000000-0006-0000-0400-000002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D21" authorId="0" shapeId="0" xr:uid="{00000000-0006-0000-0400-000003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28" authorId="0" shapeId="0" xr:uid="{00000000-0006-0000-0400-000004000000}">
      <text>
        <r>
          <rPr>
            <sz val="12"/>
            <color indexed="81"/>
            <rFont val="Times New Roman"/>
            <family val="1"/>
          </rPr>
          <t>Balance, Climb, Escape Artist, Hide, Jump, Move Silently, Sleight of Hand, Tumble.</t>
        </r>
      </text>
    </comment>
    <comment ref="L29" authorId="0" shapeId="0" xr:uid="{00000000-0006-0000-0400-000005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A30" authorId="0" shapeId="0" xr:uid="{00000000-0006-0000-0400-000006000000}">
      <text>
        <r>
          <rPr>
            <sz val="12"/>
            <color indexed="81"/>
            <rFont val="Times New Roman"/>
            <family val="1"/>
          </rPr>
          <t>A restful crystal is a great boon to any warrior who must stay always at the ready.
Sleeping in armor that has this augment crystal attached does not make you fatigued.
MIC 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500-000002000000}">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 ref="A11" authorId="0" shapeId="0" xr:uid="{A57EDB2D-FBB6-481D-8898-1C2F6640B204}">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13" authorId="0" shapeId="0" xr:uid="{00000000-0006-0000-0500-000007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<sst xmlns="http://schemas.openxmlformats.org/spreadsheetml/2006/main" count="852" uniqueCount="351">
  <si>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</si>
  <si>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</si>
  <si>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</si>
  <si>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</si>
  <si>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</si>
  <si>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</si>
  <si>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</si>
  <si>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</si>
  <si>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</si>
  <si>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</si>
  <si>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</si>
  <si>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</si>
  <si>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</si>
  <si>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</si>
  <si>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</si>
  <si>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</si>
  <si>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</si>
  <si>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</si>
  <si>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</si>
  <si>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</si>
  <si>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</si>
  <si>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</si>
  <si>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</si>
  <si>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</si>
  <si>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</si>
  <si>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</si>
  <si>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</si>
  <si>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</si>
  <si>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</si>
  <si>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</si>
  <si>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</si>
  <si>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</si>
  <si>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</si>
  <si>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</si>
  <si>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</si>
  <si>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</si>
  <si>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</si>
  <si>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</si>
  <si>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</si>
  <si>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</si>
  <si>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</si>
  <si>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</si>
  <si>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</si>
  <si>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</si>
  <si>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</si>
  <si>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</si>
  <si>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</si>
  <si>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</si>
  <si>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</si>
  <si>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</si>
  <si>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</si>
  <si>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</si>
  <si>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</si>
  <si>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</si>
  <si>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</si>
  <si>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</si>
  <si>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</si>
  <si>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</si>
  <si>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</si>
  <si>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</si>
  <si>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</si>
  <si>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</si>
  <si>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</si>
  <si>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</si>
  <si>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</si>
  <si>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</si>
  <si>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</si>
  <si>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</si>
  <si>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Atk</t>
  </si>
  <si>
    <t>Feats</t>
  </si>
  <si>
    <t>Simple &amp; Martial Weapons</t>
  </si>
  <si>
    <t>2</t>
  </si>
  <si>
    <t>1</t>
  </si>
  <si>
    <t>Slashing</t>
  </si>
  <si>
    <t>Backpack</t>
  </si>
  <si>
    <t>Bedroll</t>
  </si>
  <si>
    <t>Trail Rations</t>
  </si>
  <si>
    <t>Roll</t>
  </si>
  <si>
    <t>Perform:  [type]</t>
  </si>
  <si>
    <t>Knowledge:  Arcana</t>
  </si>
  <si>
    <t>Explorer’s Outfit</t>
  </si>
  <si>
    <t>Waterskin</t>
  </si>
  <si>
    <t>Belt Pouch</t>
  </si>
  <si>
    <t>Flint and Steel</t>
  </si>
  <si>
    <t>eight</t>
  </si>
  <si>
    <t>1d6</t>
  </si>
  <si>
    <t>30’</t>
  </si>
  <si>
    <t>Value</t>
  </si>
  <si>
    <t>Class Features</t>
  </si>
  <si>
    <t>Level</t>
  </si>
  <si>
    <t>-</t>
  </si>
  <si>
    <t>Duskblade</t>
  </si>
  <si>
    <t>Female</t>
  </si>
  <si>
    <t>5’ 3”</t>
  </si>
  <si>
    <t>120 lbs.</t>
  </si>
  <si>
    <t>Knowledge:  History</t>
  </si>
  <si>
    <t>Knowledge:  Local</t>
  </si>
  <si>
    <t>Knowledge:  The Planes</t>
  </si>
  <si>
    <t>Speak Language</t>
  </si>
  <si>
    <t>Craft:  [type]</t>
  </si>
  <si>
    <t>Duskblade 1</t>
  </si>
  <si>
    <t>Duskblade 2</t>
  </si>
  <si>
    <t>Duskblade 3</t>
  </si>
  <si>
    <t>Duskblade 4</t>
  </si>
  <si>
    <t>Common, Elven, Undercommon</t>
  </si>
  <si>
    <t>Racial Abilities</t>
  </si>
  <si>
    <t>60’</t>
  </si>
  <si>
    <t>Arrows</t>
  </si>
  <si>
    <t>+0</t>
  </si>
  <si>
    <t>Arcane Attunement, 6/day</t>
  </si>
  <si>
    <t>Armored Mage (Medium)</t>
  </si>
  <si>
    <t>Proficiencies</t>
  </si>
  <si>
    <t>Shields (not tower)</t>
  </si>
  <si>
    <t>Armor (all)</t>
  </si>
  <si>
    <t>DC</t>
  </si>
  <si>
    <t>Cast?</t>
  </si>
  <si>
    <t>Instant</t>
  </si>
  <si>
    <t>100’ + 10’/lvl</t>
  </si>
  <si>
    <t>1 SA</t>
  </si>
  <si>
    <t>V S</t>
  </si>
  <si>
    <t>Evocation</t>
  </si>
  <si>
    <t>1 round</t>
  </si>
  <si>
    <t>Swift</t>
  </si>
  <si>
    <t>V S M</t>
  </si>
  <si>
    <t>1 rnd/lvl</t>
  </si>
  <si>
    <t>Touch</t>
  </si>
  <si>
    <t>Shocking Grasp</t>
  </si>
  <si>
    <t>25’ + 2½’/lvl</t>
  </si>
  <si>
    <t>Disrupt Undead</t>
  </si>
  <si>
    <t>Conjuration</t>
  </si>
  <si>
    <t>Duration</t>
  </si>
  <si>
    <t>Range</t>
  </si>
  <si>
    <t>Casting</t>
  </si>
  <si>
    <t>Components</t>
  </si>
  <si>
    <t>School</t>
  </si>
  <si>
    <t>Spell</t>
  </si>
  <si>
    <t>Spells</t>
  </si>
  <si>
    <t>Waterdeep</t>
  </si>
  <si>
    <t>PHB</t>
  </si>
  <si>
    <t>PHB II</t>
  </si>
  <si>
    <t>Reference</t>
  </si>
  <si>
    <t>Page</t>
  </si>
  <si>
    <t>Daze</t>
  </si>
  <si>
    <t>Enchantment</t>
  </si>
  <si>
    <t>Transmutation</t>
  </si>
  <si>
    <t>Dimension Hop</t>
  </si>
  <si>
    <t>V</t>
  </si>
  <si>
    <t>+2 vs. Enchantments</t>
  </si>
  <si>
    <t>Ranged Touch Attack</t>
  </si>
  <si>
    <t>varies</t>
  </si>
  <si>
    <t>+2 vs. Enchantments; +2 vs. all spells</t>
  </si>
  <si>
    <t>Necromancy</t>
  </si>
  <si>
    <t>Grapple</t>
  </si>
  <si>
    <t>Armored Mage (Hvy. Shld.)</t>
  </si>
  <si>
    <t>Duskblade 5</t>
  </si>
  <si>
    <t>Duskblade 6</t>
  </si>
  <si>
    <t>Duskblade 7</t>
  </si>
  <si>
    <t>Duskblade 8</t>
  </si>
  <si>
    <t>Total Equity:</t>
  </si>
  <si>
    <t>1st</t>
  </si>
  <si>
    <t>2nd</t>
  </si>
  <si>
    <t>3rd</t>
  </si>
  <si>
    <t>4th</t>
  </si>
  <si>
    <t>5th</t>
  </si>
  <si>
    <t>True Strike</t>
  </si>
  <si>
    <t>Swift Expeditious Retreat</t>
  </si>
  <si>
    <t>Acid Splash</t>
  </si>
  <si>
    <t>Touch of Fatigue</t>
  </si>
  <si>
    <t>Bull’s Strength</t>
  </si>
  <si>
    <t>1 min/lvl</t>
  </si>
  <si>
    <t>Personal</t>
  </si>
  <si>
    <t>Complete Adventurer</t>
  </si>
  <si>
    <t>Divination</t>
  </si>
  <si>
    <t>V F</t>
  </si>
  <si>
    <t>special</t>
  </si>
  <si>
    <t>V S M/DF</t>
  </si>
  <si>
    <t>10 min/lvl</t>
  </si>
  <si>
    <t>3rd:  Power Attack</t>
  </si>
  <si>
    <t>6th:  Improved Initiative</t>
  </si>
  <si>
    <t>2d4</t>
  </si>
  <si>
    <t>Healing Belt</t>
  </si>
  <si>
    <t>Treated as light armor</t>
  </si>
  <si>
    <t>Vampiric Touch</t>
  </si>
  <si>
    <t>9th:  Maximize Spell</t>
  </si>
  <si>
    <t>2nd:  Combat Casting</t>
  </si>
  <si>
    <t>1st:  Knowledge Devotion</t>
  </si>
  <si>
    <t>Duskblade 9</t>
  </si>
  <si>
    <t>Know Direction</t>
  </si>
  <si>
    <t>Chill Touch</t>
  </si>
  <si>
    <t>Feather Fall</t>
  </si>
  <si>
    <t>Sleep</t>
  </si>
  <si>
    <t>Free</t>
  </si>
  <si>
    <t>Barkskin</t>
  </si>
  <si>
    <t>Resist Energy</t>
  </si>
  <si>
    <t>Touch of Idiocy</t>
  </si>
  <si>
    <t>Wracking Touch</t>
  </si>
  <si>
    <t>Inflict Serious Wounds</t>
  </si>
  <si>
    <t>instant</t>
  </si>
  <si>
    <t>Abjuration</t>
  </si>
  <si>
    <t>V S DF</t>
  </si>
  <si>
    <t>Personal Grooming Kit</t>
  </si>
  <si>
    <t>Duskblade 10</t>
  </si>
  <si>
    <t>Wraithstrike</t>
  </si>
  <si>
    <t>Keen Edge</t>
  </si>
  <si>
    <t>Unarmed Punch/Kick</t>
  </si>
  <si>
    <t>1d4</t>
  </si>
  <si>
    <t>Bludgeon</t>
  </si>
  <si>
    <t>Warcry</t>
  </si>
  <si>
    <t>400’ + 40’/lvl</t>
  </si>
  <si>
    <t>Spell Compendium</t>
  </si>
  <si>
    <t>Book of Exalted Deeds</t>
  </si>
  <si>
    <t>+5</t>
  </si>
  <si>
    <t>Unarmed, 2nd Attack</t>
  </si>
  <si>
    <t>Unarmed, 3rd Attack</t>
  </si>
  <si>
    <r>
      <t xml:space="preserve">Unarmed, </t>
    </r>
    <r>
      <rPr>
        <i/>
        <sz val="12"/>
        <rFont val="Times New Roman"/>
        <family val="1"/>
      </rPr>
      <t>haste</t>
    </r>
  </si>
  <si>
    <t>12th:  Spell Penetration</t>
  </si>
  <si>
    <t>Haste</t>
  </si>
  <si>
    <t>Duskblade 11</t>
  </si>
  <si>
    <t>Duskblade 12</t>
  </si>
  <si>
    <t>Critical Strike</t>
  </si>
  <si>
    <t>Soul of Anarchy*</t>
  </si>
  <si>
    <t>1 hour</t>
  </si>
  <si>
    <t>Dragon Magic</t>
  </si>
  <si>
    <t>Bladeweave*</t>
  </si>
  <si>
    <t>Illusion</t>
  </si>
  <si>
    <t>Fly, Swift</t>
  </si>
  <si>
    <t>Dragonskin</t>
  </si>
  <si>
    <t>S M</t>
  </si>
  <si>
    <t>Regroup</t>
  </si>
  <si>
    <t>Protection from Energy</t>
  </si>
  <si>
    <t>Channeled Pyroburst</t>
  </si>
  <si>
    <t>Dimension Door</t>
  </si>
  <si>
    <t>Dispel Magic</t>
  </si>
  <si>
    <t>Fire Shield</t>
  </si>
  <si>
    <t>Chain Lightning</t>
  </si>
  <si>
    <t>V S F</t>
  </si>
  <si>
    <t>Disintegrate</t>
  </si>
  <si>
    <t>Waves of Fatigue</t>
  </si>
  <si>
    <t>Special</t>
  </si>
  <si>
    <t>0th</t>
  </si>
  <si>
    <t>Total Daily Spells</t>
  </si>
  <si>
    <t>Caster Class</t>
  </si>
  <si>
    <t>CL</t>
  </si>
  <si>
    <t>Spell Effects</t>
  </si>
  <si>
    <t>Intelligence Bonus</t>
  </si>
  <si>
    <t>Daily Duskblade Spells</t>
  </si>
  <si>
    <t>Spell Penetration</t>
  </si>
  <si>
    <t>Campaign:  Cohort</t>
  </si>
  <si>
    <t>Scrolls and Potions</t>
  </si>
  <si>
    <t>CLev</t>
  </si>
  <si>
    <t>3</t>
  </si>
  <si>
    <t>Duskblade Spells</t>
  </si>
  <si>
    <t>Skill/Save</t>
  </si>
  <si>
    <t>1d4+2</t>
  </si>
  <si>
    <t>Detect Magic &amp; Read Magic</t>
  </si>
  <si>
    <r>
      <t xml:space="preserve">+2 vs. Enchantments; +1 </t>
    </r>
    <r>
      <rPr>
        <i/>
        <sz val="13"/>
        <rFont val="Times New Roman"/>
        <family val="1"/>
      </rPr>
      <t>haste</t>
    </r>
  </si>
  <si>
    <t>Arcane Channeling (full attack)</t>
  </si>
  <si>
    <t>Race</t>
  </si>
  <si>
    <t>Class</t>
  </si>
  <si>
    <t>Region</t>
  </si>
  <si>
    <t>Deity</t>
  </si>
  <si>
    <t>Alignment</t>
  </si>
  <si>
    <t>Attack Bonus</t>
  </si>
  <si>
    <t>Initiative</t>
  </si>
  <si>
    <t>XP</t>
  </si>
  <si>
    <t>Strength</t>
  </si>
  <si>
    <t>Dexterity</t>
  </si>
  <si>
    <t>Constitution</t>
  </si>
  <si>
    <t>Intelligence</t>
  </si>
  <si>
    <t>Wisdom</t>
  </si>
  <si>
    <t>Charisma</t>
  </si>
  <si>
    <t>Sex</t>
  </si>
  <si>
    <t>Age</t>
  </si>
  <si>
    <t>Height</t>
  </si>
  <si>
    <t>Weight</t>
  </si>
  <si>
    <t>Base Speed</t>
  </si>
  <si>
    <t>Actual Speed</t>
  </si>
  <si>
    <t>Leadership</t>
  </si>
  <si>
    <t>Lb. Capacity</t>
  </si>
  <si>
    <t>Lb. Carried</t>
  </si>
  <si>
    <t>Hit Points</t>
  </si>
  <si>
    <t>Touch AC</t>
  </si>
  <si>
    <t>FF AC</t>
  </si>
  <si>
    <t>Kukri, 2nd Attack</t>
  </si>
  <si>
    <t>Kukri, 3rd Attack</t>
  </si>
  <si>
    <t>AC</t>
  </si>
  <si>
    <t>Campaign:  Improved Cohort</t>
  </si>
  <si>
    <r>
      <t>86</t>
    </r>
    <r>
      <rPr>
        <sz val="13"/>
        <rFont val="Times New Roman"/>
        <family val="1"/>
      </rPr>
      <t>/</t>
    </r>
    <r>
      <rPr>
        <sz val="13"/>
        <color indexed="52"/>
        <rFont val="Times New Roman"/>
        <family val="1"/>
      </rPr>
      <t>173</t>
    </r>
    <r>
      <rPr>
        <sz val="13"/>
        <rFont val="Times New Roman"/>
        <family val="1"/>
      </rPr>
      <t>/</t>
    </r>
    <r>
      <rPr>
        <sz val="13"/>
        <color indexed="10"/>
        <rFont val="Times New Roman"/>
        <family val="1"/>
      </rPr>
      <t>260</t>
    </r>
  </si>
  <si>
    <t>Bypass Spell Resistance</t>
  </si>
  <si>
    <t>Bypass SR (Spell Power)</t>
  </si>
  <si>
    <t>ü</t>
  </si>
  <si>
    <t>Restful Crystal</t>
  </si>
  <si>
    <t>% Full:</t>
  </si>
  <si>
    <r>
      <t xml:space="preserve">Kukri, </t>
    </r>
    <r>
      <rPr>
        <i/>
        <sz val="12"/>
        <rFont val="Times New Roman"/>
        <family val="1"/>
      </rPr>
      <t>haste</t>
    </r>
  </si>
  <si>
    <t>Quick Cast 3/day</t>
  </si>
  <si>
    <t>Ring of Protection +3</t>
  </si>
  <si>
    <t>Light Steel Shield +3</t>
  </si>
  <si>
    <t>50’ Rope</t>
  </si>
  <si>
    <t>Night Clothes</t>
  </si>
  <si>
    <t>Traveler’s Outfit</t>
  </si>
  <si>
    <t>Iron Pitons</t>
  </si>
  <si>
    <t>Climber’s Kit</t>
  </si>
  <si>
    <r>
      <rPr>
        <b/>
        <i/>
        <sz val="18"/>
        <color rgb="FF9966FF"/>
        <rFont val="Times New Roman"/>
        <family val="1"/>
      </rPr>
      <t xml:space="preserve">Minimum </t>
    </r>
    <r>
      <rPr>
        <i/>
        <sz val="18"/>
        <color rgb="FF9966FF"/>
        <rFont val="Times New Roman"/>
        <family val="1"/>
      </rPr>
      <t>Known Spells</t>
    </r>
  </si>
  <si>
    <t>five</t>
  </si>
  <si>
    <t>Spell Power +4</t>
  </si>
  <si>
    <t>Firewood</t>
  </si>
  <si>
    <t>?</t>
  </si>
  <si>
    <t>Bigby’s Clenched Fist</t>
  </si>
  <si>
    <t>Hold Monster</t>
  </si>
  <si>
    <t>Polar Ray</t>
  </si>
  <si>
    <t>Slashing Dispel</t>
  </si>
  <si>
    <t>Sonic Shield</t>
  </si>
  <si>
    <t>V S F/DF</t>
  </si>
  <si>
    <t>16th:  Arcane Strike</t>
  </si>
  <si>
    <t>Vest of Resistance +3</t>
  </si>
  <si>
    <t>Larlum’s Greater Haverpack</t>
  </si>
  <si>
    <r>
      <t xml:space="preserve">Oil of </t>
    </r>
    <r>
      <rPr>
        <i/>
        <sz val="12"/>
        <rFont val="Times New Roman"/>
        <family val="1"/>
      </rPr>
      <t>Greater Magic Weapon</t>
    </r>
  </si>
  <si>
    <t>5</t>
  </si>
  <si>
    <t>8</t>
  </si>
  <si>
    <r>
      <t xml:space="preserve">Potion of </t>
    </r>
    <r>
      <rPr>
        <i/>
        <sz val="12"/>
        <rFont val="Times New Roman"/>
        <family val="1"/>
      </rPr>
      <t>Cure Moderate Wounds</t>
    </r>
  </si>
  <si>
    <r>
      <t xml:space="preserve">Scroll of </t>
    </r>
    <r>
      <rPr>
        <i/>
        <sz val="12"/>
        <rFont val="Times New Roman"/>
        <family val="1"/>
      </rPr>
      <t>True Seeing</t>
    </r>
  </si>
  <si>
    <t>Everfull Mug</t>
  </si>
  <si>
    <t>x</t>
  </si>
  <si>
    <t>18</t>
  </si>
  <si>
    <t>20</t>
  </si>
  <si>
    <t>Crit</t>
  </si>
  <si>
    <t>Heward’s Handy Haversack</t>
  </si>
  <si>
    <t>+2 to Climb</t>
  </si>
  <si>
    <t>Silk Rope</t>
  </si>
  <si>
    <t>100’</t>
  </si>
  <si>
    <t>Oil Flask</t>
  </si>
  <si>
    <t>NPC</t>
  </si>
  <si>
    <t>Septimania</t>
  </si>
  <si>
    <t>Elf</t>
  </si>
  <si>
    <t>+2 versus Enchantments</t>
  </si>
  <si>
    <t>Immunity to Sleep</t>
  </si>
  <si>
    <t>Low-light Vision</t>
  </si>
  <si>
    <t>Chaotic Evil</t>
  </si>
  <si>
    <t>Profession:  [type]</t>
  </si>
  <si>
    <t>Equity Ceiling:</t>
  </si>
  <si>
    <t>Kukri +1</t>
  </si>
  <si>
    <t>Shortbow +1</t>
  </si>
  <si>
    <t>Shortbow, 3rd Attack</t>
  </si>
  <si>
    <t>Shortbow, 2nd Attack</t>
  </si>
  <si>
    <r>
      <t xml:space="preserve">Shortbow, </t>
    </r>
    <r>
      <rPr>
        <i/>
        <sz val="12"/>
        <rFont val="Times New Roman"/>
        <family val="1"/>
      </rPr>
      <t>haste</t>
    </r>
  </si>
  <si>
    <t>Shattermantle Bloodstone Falchion +1</t>
  </si>
  <si>
    <t>SB Falchion +1, 2nd Attack</t>
  </si>
  <si>
    <t>SB Falchion +1, 3rd Attack</t>
  </si>
  <si>
    <t>SB Falchion +1, 4th Attack</t>
  </si>
  <si>
    <t>SB Falchion +1, haste</t>
  </si>
  <si>
    <t>Mithral Chain Shirt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</si>
</sst>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 [$₲-474]"/>
  </numFmts>
  <fonts count="68"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1"/>
      <color indexed="12"/>
      <name val="Times New Roman"/>
      <family val="1"/>
    </font>
    <font>
      <i/>
      <sz val="12"/>
      <color indexed="81"/>
      <name val="Times New Roman"/>
      <family val="1"/>
    </font>
    <font>
      <i/>
      <sz val="18"/>
      <color rgb="FF0000FF"/>
      <name val="Times New Roman"/>
      <family val="1"/>
    </font>
    <font>
      <b/>
      <sz val="12"/>
      <color theme="1"/>
      <name val="Times New Roman"/>
      <family val="1"/>
    </font>
    <font>
      <i/>
      <sz val="16"/>
      <color indexed="53"/>
      <name val="Times New Roman"/>
      <family val="1"/>
    </font>
    <font>
      <i/>
      <sz val="16"/>
      <color indexed="10"/>
      <name val="Times New Roman"/>
      <family val="1"/>
    </font>
    <font>
      <i/>
      <sz val="16"/>
      <color indexed="57"/>
      <name val="Times New Roman"/>
      <family val="1"/>
    </font>
    <font>
      <sz val="12"/>
      <name val="Times New Roman"/>
      <family val="1"/>
    </font>
    <font>
      <i/>
      <sz val="17"/>
      <name val="Times New Roman"/>
      <family val="1"/>
    </font>
    <font>
      <sz val="13"/>
      <color rgb="FF0000FF"/>
      <name val="Times New Roman"/>
      <family val="1"/>
    </font>
    <font>
      <b/>
      <sz val="12"/>
      <color rgb="FFFF0000"/>
      <name val="Times New Roman"/>
      <family val="1"/>
    </font>
    <font>
      <i/>
      <sz val="12"/>
      <name val="Times New Roman"/>
      <family val="1"/>
    </font>
    <font>
      <b/>
      <sz val="12"/>
      <color theme="0"/>
      <name val="Times New Roman"/>
      <family val="1"/>
    </font>
    <font>
      <i/>
      <sz val="18"/>
      <color rgb="FF7030A0"/>
      <name val="Times New Roman"/>
      <family val="1"/>
    </font>
    <font>
      <sz val="13"/>
      <color rgb="FF7030A0"/>
      <name val="Times New Roman"/>
      <family val="1"/>
    </font>
    <font>
      <i/>
      <sz val="22"/>
      <color rgb="FF9966FF"/>
      <name val="Times New Roman"/>
      <family val="1"/>
    </font>
    <font>
      <i/>
      <sz val="12"/>
      <color rgb="FF00FFFF"/>
      <name val="Times New Roman"/>
      <family val="1"/>
    </font>
    <font>
      <i/>
      <sz val="13"/>
      <name val="Times New Roman"/>
      <family val="1"/>
    </font>
    <font>
      <sz val="12"/>
      <name val="Wingdings"/>
      <charset val="2"/>
    </font>
    <font>
      <i/>
      <sz val="18"/>
      <color rgb="FF9966FF"/>
      <name val="Times New Roman"/>
      <family val="1"/>
    </font>
    <font>
      <b/>
      <i/>
      <sz val="18"/>
      <color rgb="FF9966FF"/>
      <name val="Times New Roman"/>
      <family val="1"/>
    </font>
    <font>
      <b/>
      <sz val="12"/>
      <color rgb="FF9966FF"/>
      <name val="Times New Roman"/>
      <family val="1"/>
    </font>
    <font>
      <sz val="12"/>
      <color rgb="FF9966FF"/>
      <name val="Times New Roman"/>
      <family val="1"/>
    </font>
  </fonts>
  <fills count="1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rgb="FF9966FF"/>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thin">
        <color auto="1"/>
      </right>
      <top/>
      <bottom style="thin">
        <color auto="1"/>
      </bottom>
      <diagonal/>
    </border>
    <border>
      <left/>
      <right style="medium">
        <color auto="1"/>
      </right>
      <top style="thin">
        <color auto="1"/>
      </top>
      <bottom style="thin">
        <color auto="1"/>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10">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xf numFmtId="43" fontId="52" fillId="0" borderId="0" applyFont="0" applyFill="0" applyBorder="0" applyAlignment="0" applyProtection="0"/>
  </cellStyleXfs>
  <cellXfs count="523">
    <xf numFmtId="0" fontId="0" fillId="0" borderId="0" xfId="0"/>
    <xf numFmtId="0" fontId="11" fillId="3" borderId="56" xfId="0" applyFont="1" applyFill="1" applyBorder="1" applyAlignment="1">
      <alignment horizontal="centerContinuous" vertical="center"/>
    </xf>
    <xf numFmtId="0" fontId="11" fillId="3" borderId="33"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57" xfId="0" applyFont="1" applyFill="1" applyBorder="1" applyAlignment="1">
      <alignment horizontal="center" vertical="center"/>
    </xf>
    <xf numFmtId="1" fontId="1" fillId="0" borderId="66" xfId="0" applyNumberFormat="1" applyFont="1" applyBorder="1" applyAlignment="1">
      <alignment horizontal="center" vertical="center"/>
    </xf>
    <xf numFmtId="0" fontId="1" fillId="0" borderId="66" xfId="0" applyFont="1" applyBorder="1" applyAlignment="1">
      <alignment horizontal="center" vertical="center"/>
    </xf>
    <xf numFmtId="0" fontId="1" fillId="0" borderId="66" xfId="0" quotePrefix="1" applyFont="1" applyBorder="1" applyAlignment="1">
      <alignment horizontal="center" vertical="center" wrapText="1"/>
    </xf>
    <xf numFmtId="49" fontId="1" fillId="0" borderId="66" xfId="2" applyNumberFormat="1" applyFont="1" applyFill="1" applyBorder="1" applyAlignment="1">
      <alignment horizontal="center" vertical="center"/>
    </xf>
    <xf numFmtId="0" fontId="1" fillId="0" borderId="66" xfId="0" applyFont="1" applyBorder="1" applyAlignment="1">
      <alignment horizontal="center" vertical="center" shrinkToFit="1"/>
    </xf>
    <xf numFmtId="164" fontId="1" fillId="0" borderId="66" xfId="0" applyNumberFormat="1" applyFont="1" applyBorder="1" applyAlignment="1">
      <alignment horizontal="center" vertical="center"/>
    </xf>
    <xf numFmtId="1" fontId="44" fillId="9" borderId="68" xfId="0" applyNumberFormat="1" applyFont="1" applyFill="1" applyBorder="1" applyAlignment="1">
      <alignment horizontal="center" vertical="center"/>
    </xf>
    <xf numFmtId="164" fontId="4" fillId="0" borderId="68" xfId="0" applyNumberFormat="1" applyFont="1" applyBorder="1" applyAlignment="1">
      <alignment horizontal="center"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1" xfId="0" applyFont="1" applyFill="1" applyBorder="1" applyAlignment="1">
      <alignment horizontal="right" vertical="center"/>
    </xf>
    <xf numFmtId="0" fontId="5" fillId="4" borderId="75" xfId="0" applyFont="1" applyFill="1" applyBorder="1" applyAlignment="1">
      <alignment horizontal="right" vertical="center"/>
    </xf>
    <xf numFmtId="49" fontId="6" fillId="0" borderId="64" xfId="0" applyNumberFormat="1" applyFont="1" applyBorder="1" applyAlignment="1">
      <alignment horizontal="center" vertical="center"/>
    </xf>
    <xf numFmtId="0" fontId="6" fillId="0" borderId="0" xfId="0" applyFont="1" applyAlignment="1">
      <alignment horizontal="left" vertical="center"/>
    </xf>
    <xf numFmtId="0" fontId="5" fillId="4" borderId="14" xfId="0" applyFont="1" applyFill="1" applyBorder="1" applyAlignment="1">
      <alignment horizontal="right" vertical="center"/>
    </xf>
    <xf numFmtId="0" fontId="5" fillId="4" borderId="76" xfId="0" applyFont="1" applyFill="1" applyBorder="1" applyAlignment="1">
      <alignment horizontal="right" vertical="center"/>
    </xf>
    <xf numFmtId="49" fontId="6" fillId="0" borderId="29" xfId="0" applyNumberFormat="1" applyFont="1" applyBorder="1" applyAlignment="1">
      <alignment horizontal="center" vertical="center"/>
    </xf>
    <xf numFmtId="0" fontId="3" fillId="4" borderId="11" xfId="0" applyFont="1" applyFill="1" applyBorder="1" applyAlignment="1">
      <alignment horizontal="right" vertical="center"/>
    </xf>
    <xf numFmtId="0" fontId="7" fillId="2" borderId="14" xfId="0" applyFont="1" applyFill="1" applyBorder="1" applyAlignment="1">
      <alignment horizontal="right" vertical="center"/>
    </xf>
    <xf numFmtId="0" fontId="7" fillId="4" borderId="53" xfId="0" applyFont="1" applyFill="1" applyBorder="1" applyAlignment="1">
      <alignment horizontal="right" vertical="center"/>
    </xf>
    <xf numFmtId="0" fontId="12" fillId="2" borderId="4" xfId="0" applyFont="1" applyFill="1" applyBorder="1" applyAlignment="1">
      <alignment horizontal="right" vertical="center"/>
    </xf>
    <xf numFmtId="0" fontId="7" fillId="4" borderId="51" xfId="0" applyFont="1" applyFill="1" applyBorder="1" applyAlignment="1">
      <alignment horizontal="right" vertical="center"/>
    </xf>
    <xf numFmtId="164" fontId="5" fillId="5"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5" fillId="0" borderId="26" xfId="0" applyFont="1" applyBorder="1" applyAlignment="1">
      <alignment horizontal="center" vertical="center"/>
    </xf>
    <xf numFmtId="0" fontId="36" fillId="2" borderId="4" xfId="0" applyFont="1" applyFill="1" applyBorder="1" applyAlignment="1">
      <alignment horizontal="right" vertical="center"/>
    </xf>
    <xf numFmtId="0" fontId="10" fillId="4" borderId="51"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6" xfId="0" applyFont="1" applyFill="1" applyBorder="1" applyAlignment="1">
      <alignment horizontal="right" vertical="center"/>
    </xf>
    <xf numFmtId="0" fontId="10" fillId="4" borderId="52" xfId="0" applyFont="1" applyFill="1" applyBorder="1" applyAlignment="1">
      <alignment horizontal="right" vertical="center"/>
    </xf>
    <xf numFmtId="0" fontId="2" fillId="0" borderId="1"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24" fillId="0" borderId="21" xfId="0" applyFont="1" applyBorder="1" applyAlignment="1">
      <alignment horizontal="centerContinuous" vertical="center"/>
    </xf>
    <xf numFmtId="0" fontId="15" fillId="0" borderId="0" xfId="0" applyFont="1" applyAlignment="1">
      <alignment horizontal="centerContinuous" vertical="center"/>
    </xf>
    <xf numFmtId="0" fontId="39" fillId="0" borderId="1" xfId="0" applyFont="1" applyBorder="1" applyAlignment="1">
      <alignment vertical="center"/>
    </xf>
    <xf numFmtId="0" fontId="6" fillId="0" borderId="23" xfId="0" applyFont="1" applyBorder="1" applyAlignment="1">
      <alignment horizontal="center" vertical="center"/>
    </xf>
    <xf numFmtId="0" fontId="41" fillId="0" borderId="1" xfId="0" applyFont="1" applyBorder="1" applyAlignment="1">
      <alignment vertical="center"/>
    </xf>
    <xf numFmtId="0" fontId="12" fillId="0" borderId="24" xfId="0" applyFont="1" applyBorder="1" applyAlignment="1">
      <alignment horizontal="center" vertical="center"/>
    </xf>
    <xf numFmtId="0" fontId="6" fillId="0" borderId="2" xfId="0" quotePrefix="1" applyFont="1" applyBorder="1" applyAlignment="1">
      <alignment horizontal="center" vertical="center"/>
    </xf>
    <xf numFmtId="0" fontId="40" fillId="0" borderId="58" xfId="0" applyFont="1" applyBorder="1" applyAlignment="1">
      <alignment vertical="center"/>
    </xf>
    <xf numFmtId="0" fontId="6" fillId="0" borderId="59" xfId="0" applyFont="1" applyBorder="1" applyAlignment="1">
      <alignment horizontal="center" vertical="center"/>
    </xf>
    <xf numFmtId="0" fontId="10" fillId="0" borderId="1" xfId="0" applyFont="1" applyBorder="1" applyAlignment="1">
      <alignment vertical="center"/>
    </xf>
    <xf numFmtId="49" fontId="16" fillId="0" borderId="23" xfId="0" applyNumberFormat="1" applyFont="1" applyBorder="1" applyAlignment="1">
      <alignment horizontal="center" vertical="center"/>
    </xf>
    <xf numFmtId="0" fontId="16" fillId="0" borderId="24" xfId="0" applyFont="1" applyBorder="1" applyAlignment="1">
      <alignment horizontal="center" vertical="center"/>
    </xf>
    <xf numFmtId="0" fontId="10" fillId="0" borderId="24" xfId="0" applyFont="1" applyBorder="1" applyAlignment="1">
      <alignment horizontal="center" vertical="center"/>
    </xf>
    <xf numFmtId="49" fontId="6" fillId="0" borderId="24" xfId="0" applyNumberFormat="1" applyFont="1" applyBorder="1" applyAlignment="1">
      <alignment horizontal="center" vertical="center"/>
    </xf>
    <xf numFmtId="0" fontId="6" fillId="0" borderId="25" xfId="0"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3" xfId="0" applyNumberFormat="1" applyFont="1" applyBorder="1" applyAlignment="1">
      <alignment horizontal="center" vertical="center"/>
    </xf>
    <xf numFmtId="0" fontId="23" fillId="0" borderId="24" xfId="0" applyFont="1" applyBorder="1" applyAlignment="1">
      <alignment horizontal="center" vertical="center"/>
    </xf>
    <xf numFmtId="0" fontId="31" fillId="0" borderId="0" xfId="0" applyFont="1" applyAlignment="1">
      <alignment vertical="center"/>
    </xf>
    <xf numFmtId="0" fontId="13" fillId="0" borderId="1" xfId="0" applyFont="1" applyBorder="1" applyAlignment="1">
      <alignment vertical="center"/>
    </xf>
    <xf numFmtId="49" fontId="22" fillId="0" borderId="23" xfId="0" applyNumberFormat="1" applyFont="1" applyBorder="1" applyAlignment="1">
      <alignment horizontal="center" vertical="center"/>
    </xf>
    <xf numFmtId="0" fontId="22" fillId="0" borderId="24" xfId="0" applyFont="1" applyBorder="1" applyAlignment="1">
      <alignment horizontal="center" vertical="center"/>
    </xf>
    <xf numFmtId="0" fontId="13" fillId="0" borderId="24" xfId="0" applyFont="1" applyBorder="1" applyAlignment="1">
      <alignment horizontal="center" vertical="center"/>
    </xf>
    <xf numFmtId="0" fontId="29" fillId="0" borderId="0" xfId="0" applyFont="1" applyAlignment="1">
      <alignment vertical="center"/>
    </xf>
    <xf numFmtId="0" fontId="6" fillId="6" borderId="23" xfId="0" applyFont="1" applyFill="1" applyBorder="1" applyAlignment="1">
      <alignment horizontal="center" vertical="center"/>
    </xf>
    <xf numFmtId="49" fontId="6" fillId="6" borderId="24" xfId="0" applyNumberFormat="1" applyFont="1" applyFill="1" applyBorder="1" applyAlignment="1">
      <alignment horizontal="center" vertical="center"/>
    </xf>
    <xf numFmtId="0" fontId="6" fillId="6" borderId="25" xfId="0" applyFont="1" applyFill="1" applyBorder="1" applyAlignment="1">
      <alignment horizontal="center" vertical="center"/>
    </xf>
    <xf numFmtId="0" fontId="28" fillId="0" borderId="0" xfId="0" applyFont="1" applyAlignment="1">
      <alignment vertical="center"/>
    </xf>
    <xf numFmtId="0" fontId="10" fillId="6" borderId="1" xfId="0" applyFont="1" applyFill="1" applyBorder="1" applyAlignment="1">
      <alignment vertical="center"/>
    </xf>
    <xf numFmtId="49" fontId="16" fillId="6" borderId="23" xfId="0" applyNumberFormat="1" applyFont="1" applyFill="1" applyBorder="1" applyAlignment="1">
      <alignment horizontal="center" vertical="center"/>
    </xf>
    <xf numFmtId="0" fontId="16" fillId="6" borderId="24" xfId="0" applyFont="1" applyFill="1" applyBorder="1" applyAlignment="1">
      <alignment horizontal="center" vertical="center"/>
    </xf>
    <xf numFmtId="0" fontId="10" fillId="6" borderId="24" xfId="0" applyFont="1" applyFill="1" applyBorder="1" applyAlignment="1">
      <alignment horizontal="center" vertical="center"/>
    </xf>
    <xf numFmtId="0" fontId="10" fillId="8" borderId="1" xfId="0" applyFont="1" applyFill="1" applyBorder="1" applyAlignment="1">
      <alignment vertical="center"/>
    </xf>
    <xf numFmtId="0" fontId="6" fillId="8" borderId="23" xfId="0" applyFont="1" applyFill="1" applyBorder="1" applyAlignment="1">
      <alignment horizontal="center" vertical="center"/>
    </xf>
    <xf numFmtId="49" fontId="16" fillId="8" borderId="23" xfId="0" applyNumberFormat="1" applyFont="1" applyFill="1" applyBorder="1" applyAlignment="1">
      <alignment horizontal="center" vertical="center"/>
    </xf>
    <xf numFmtId="0" fontId="16" fillId="8" borderId="24" xfId="0" applyFont="1" applyFill="1" applyBorder="1" applyAlignment="1">
      <alignment horizontal="center" vertical="center"/>
    </xf>
    <xf numFmtId="0" fontId="10" fillId="8" borderId="24" xfId="0" applyFont="1" applyFill="1" applyBorder="1" applyAlignment="1">
      <alignment horizontal="center" vertical="center"/>
    </xf>
    <xf numFmtId="49" fontId="6" fillId="8" borderId="24" xfId="0" applyNumberFormat="1" applyFont="1" applyFill="1" applyBorder="1" applyAlignment="1">
      <alignment horizontal="center" vertical="center"/>
    </xf>
    <xf numFmtId="0" fontId="6" fillId="8" borderId="25" xfId="0" applyFont="1" applyFill="1" applyBorder="1" applyAlignment="1">
      <alignment horizontal="center" vertical="center"/>
    </xf>
    <xf numFmtId="0" fontId="30" fillId="0" borderId="0" xfId="0" applyFont="1" applyAlignment="1">
      <alignment vertical="center"/>
    </xf>
    <xf numFmtId="0" fontId="7" fillId="0" borderId="1" xfId="0" applyFont="1" applyBorder="1" applyAlignment="1">
      <alignment vertical="center"/>
    </xf>
    <xf numFmtId="49" fontId="17" fillId="0" borderId="23" xfId="0" applyNumberFormat="1" applyFont="1" applyBorder="1" applyAlignment="1">
      <alignment horizontal="center" vertical="center"/>
    </xf>
    <xf numFmtId="0" fontId="17" fillId="0" borderId="24" xfId="0" applyFont="1" applyBorder="1" applyAlignment="1">
      <alignment horizontal="center" vertical="center"/>
    </xf>
    <xf numFmtId="0" fontId="7" fillId="0" borderId="24" xfId="0" applyFont="1" applyBorder="1" applyAlignment="1">
      <alignment horizontal="center" vertical="center"/>
    </xf>
    <xf numFmtId="0" fontId="12" fillId="8" borderId="1" xfId="0" applyFont="1" applyFill="1" applyBorder="1" applyAlignment="1">
      <alignment vertical="center"/>
    </xf>
    <xf numFmtId="49" fontId="23" fillId="8" borderId="23" xfId="0" applyNumberFormat="1" applyFont="1" applyFill="1" applyBorder="1" applyAlignment="1">
      <alignment horizontal="center" vertical="center"/>
    </xf>
    <xf numFmtId="0" fontId="23" fillId="8" borderId="24" xfId="0" applyFont="1" applyFill="1" applyBorder="1" applyAlignment="1">
      <alignment horizontal="center" vertical="center"/>
    </xf>
    <xf numFmtId="0" fontId="12" fillId="8" borderId="24" xfId="0" applyFont="1" applyFill="1" applyBorder="1" applyAlignment="1">
      <alignment horizontal="center" vertical="center"/>
    </xf>
    <xf numFmtId="0" fontId="21" fillId="0" borderId="1" xfId="0" applyFont="1" applyBorder="1" applyAlignment="1">
      <alignment vertical="center"/>
    </xf>
    <xf numFmtId="49" fontId="27" fillId="0" borderId="23" xfId="0" applyNumberFormat="1" applyFont="1" applyBorder="1" applyAlignment="1">
      <alignment horizontal="center" vertical="center"/>
    </xf>
    <xf numFmtId="0" fontId="27" fillId="0" borderId="24" xfId="0" applyFont="1" applyBorder="1" applyAlignment="1">
      <alignment horizontal="center" vertical="center"/>
    </xf>
    <xf numFmtId="0" fontId="21" fillId="0" borderId="24" xfId="0" applyFont="1" applyBorder="1" applyAlignment="1">
      <alignment horizontal="center" vertical="center"/>
    </xf>
    <xf numFmtId="0" fontId="6" fillId="6" borderId="25" xfId="0" quotePrefix="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vertical="center" wrapText="1"/>
    </xf>
    <xf numFmtId="0" fontId="37" fillId="0" borderId="31" xfId="0" applyFont="1" applyBorder="1" applyAlignment="1">
      <alignment horizontal="centerContinuous" vertical="center"/>
    </xf>
    <xf numFmtId="0" fontId="6" fillId="0" borderId="0" xfId="0" applyFont="1" applyAlignment="1">
      <alignment horizontal="left" vertical="center" wrapText="1"/>
    </xf>
    <xf numFmtId="0" fontId="6" fillId="0" borderId="54" xfId="0" applyFont="1" applyBorder="1" applyAlignment="1">
      <alignment horizontal="centerContinuous" vertical="center"/>
    </xf>
    <xf numFmtId="0" fontId="2" fillId="0" borderId="0" xfId="0" applyFont="1" applyAlignment="1">
      <alignment horizontal="centerContinuous"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49" fontId="20" fillId="7" borderId="18" xfId="0" applyNumberFormat="1" applyFont="1" applyFill="1" applyBorder="1" applyAlignment="1">
      <alignment horizontal="center" vertical="center"/>
    </xf>
    <xf numFmtId="0" fontId="20" fillId="7" borderId="20" xfId="0" applyFont="1" applyFill="1" applyBorder="1" applyAlignment="1">
      <alignment horizontal="center" vertical="center"/>
    </xf>
    <xf numFmtId="0" fontId="43" fillId="9" borderId="20"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8" xfId="0" applyFont="1" applyFill="1" applyBorder="1" applyAlignment="1">
      <alignment horizontal="center" vertical="center"/>
    </xf>
    <xf numFmtId="1" fontId="1" fillId="0" borderId="48" xfId="0" applyNumberFormat="1" applyFont="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7" borderId="20" xfId="0" applyFont="1" applyFill="1" applyBorder="1" applyAlignment="1">
      <alignment horizontal="centerContinuous" vertical="center"/>
    </xf>
    <xf numFmtId="0" fontId="20" fillId="7" borderId="65" xfId="0" applyFont="1" applyFill="1" applyBorder="1" applyAlignment="1">
      <alignment horizontal="centerContinuous" vertical="center"/>
    </xf>
    <xf numFmtId="0" fontId="20" fillId="7" borderId="50" xfId="0" applyFont="1" applyFill="1" applyBorder="1" applyAlignment="1">
      <alignment horizontal="centerContinuous" vertical="center"/>
    </xf>
    <xf numFmtId="164" fontId="4" fillId="0" borderId="12" xfId="0" applyNumberFormat="1" applyFont="1" applyBorder="1" applyAlignment="1">
      <alignment horizontal="center" vertical="center"/>
    </xf>
    <xf numFmtId="164" fontId="2" fillId="0" borderId="0" xfId="0" applyNumberFormat="1" applyFont="1" applyAlignment="1">
      <alignment horizontal="centerContinuous" vertical="center"/>
    </xf>
    <xf numFmtId="0" fontId="20" fillId="3" borderId="32" xfId="0" applyFont="1" applyFill="1" applyBorder="1" applyAlignment="1">
      <alignment horizontal="center" vertical="center"/>
    </xf>
    <xf numFmtId="164" fontId="20" fillId="3" borderId="33" xfId="0" applyNumberFormat="1" applyFont="1" applyFill="1" applyBorder="1" applyAlignment="1">
      <alignment horizontal="center" vertical="center"/>
    </xf>
    <xf numFmtId="0" fontId="20" fillId="3" borderId="32" xfId="0" applyFont="1" applyFill="1" applyBorder="1" applyAlignment="1">
      <alignment horizontal="right" vertical="center"/>
    </xf>
    <xf numFmtId="0" fontId="20" fillId="3" borderId="34" xfId="0" applyFont="1" applyFill="1" applyBorder="1" applyAlignment="1">
      <alignment vertical="center"/>
    </xf>
    <xf numFmtId="164" fontId="20" fillId="3" borderId="28" xfId="0" applyNumberFormat="1" applyFont="1" applyFill="1" applyBorder="1" applyAlignment="1">
      <alignment horizontal="center" vertical="center"/>
    </xf>
    <xf numFmtId="0" fontId="1" fillId="0" borderId="35" xfId="0" applyFont="1" applyBorder="1" applyAlignment="1">
      <alignment horizontal="center" vertical="center" shrinkToFit="1"/>
    </xf>
    <xf numFmtId="1" fontId="1" fillId="0" borderId="36" xfId="0" applyNumberFormat="1" applyFont="1" applyBorder="1" applyAlignment="1">
      <alignment horizontal="center" vertical="center" shrinkToFit="1"/>
    </xf>
    <xf numFmtId="164" fontId="1" fillId="0" borderId="36" xfId="0" applyNumberFormat="1" applyFont="1" applyBorder="1" applyAlignment="1">
      <alignment horizontal="center" vertical="center" shrinkToFit="1"/>
    </xf>
    <xf numFmtId="0" fontId="4" fillId="0" borderId="37" xfId="0" applyFont="1" applyBorder="1" applyAlignment="1">
      <alignment horizontal="left" vertical="center"/>
    </xf>
    <xf numFmtId="0" fontId="4" fillId="0" borderId="38" xfId="0" applyFont="1" applyBorder="1" applyAlignment="1">
      <alignment horizontal="left" vertical="center" shrinkToFit="1"/>
    </xf>
    <xf numFmtId="0" fontId="1" fillId="0" borderId="41" xfId="0" applyFont="1" applyBorder="1" applyAlignment="1">
      <alignment horizontal="center" vertical="center" shrinkToFit="1"/>
    </xf>
    <xf numFmtId="1" fontId="4" fillId="0" borderId="42" xfId="0" applyNumberFormat="1"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164" fontId="1" fillId="0" borderId="39" xfId="0" applyNumberFormat="1" applyFont="1" applyBorder="1" applyAlignment="1">
      <alignment horizontal="center" vertical="center" shrinkToFit="1"/>
    </xf>
    <xf numFmtId="0" fontId="1" fillId="0" borderId="43" xfId="0" applyFont="1" applyBorder="1" applyAlignment="1">
      <alignment horizontal="left" vertical="center"/>
    </xf>
    <xf numFmtId="1" fontId="1" fillId="0" borderId="0" xfId="0" applyNumberFormat="1" applyFont="1" applyAlignment="1">
      <alignment horizontal="center" vertical="center"/>
    </xf>
    <xf numFmtId="0" fontId="2" fillId="0" borderId="0" xfId="0" applyFont="1" applyAlignment="1">
      <alignment vertical="center"/>
    </xf>
    <xf numFmtId="1" fontId="4" fillId="0" borderId="0" xfId="0" applyNumberFormat="1" applyFont="1" applyAlignment="1">
      <alignment horizontal="center" vertical="center"/>
    </xf>
    <xf numFmtId="1" fontId="4" fillId="0" borderId="0" xfId="0" applyNumberFormat="1" applyFont="1" applyAlignment="1">
      <alignment vertical="center"/>
    </xf>
    <xf numFmtId="0" fontId="19" fillId="2" borderId="81" xfId="0" applyFont="1" applyFill="1" applyBorder="1" applyAlignment="1">
      <alignment horizontal="left" vertical="center"/>
    </xf>
    <xf numFmtId="0" fontId="3" fillId="2" borderId="81" xfId="0" applyFont="1" applyFill="1" applyBorder="1" applyAlignment="1">
      <alignment horizontal="centerContinuous" vertical="center"/>
    </xf>
    <xf numFmtId="0" fontId="6" fillId="8" borderId="25" xfId="0" quotePrefix="1" applyFont="1" applyFill="1" applyBorder="1" applyAlignment="1">
      <alignment horizontal="center" vertical="center"/>
    </xf>
    <xf numFmtId="0" fontId="12" fillId="0" borderId="8" xfId="0" applyFont="1" applyBorder="1" applyAlignment="1">
      <alignment vertical="center"/>
    </xf>
    <xf numFmtId="0" fontId="6" fillId="0" borderId="47" xfId="0" applyFont="1" applyBorder="1" applyAlignment="1">
      <alignment horizontal="center" vertical="center"/>
    </xf>
    <xf numFmtId="49" fontId="23" fillId="0" borderId="47" xfId="0" applyNumberFormat="1" applyFont="1" applyBorder="1" applyAlignment="1">
      <alignment horizontal="center" vertical="center"/>
    </xf>
    <xf numFmtId="0" fontId="23" fillId="0" borderId="48" xfId="0" applyFont="1" applyBorder="1" applyAlignment="1">
      <alignment horizontal="center" vertical="center"/>
    </xf>
    <xf numFmtId="0" fontId="12" fillId="0" borderId="48" xfId="0" applyFont="1" applyBorder="1" applyAlignment="1">
      <alignment horizontal="center" vertical="center"/>
    </xf>
    <xf numFmtId="49" fontId="6" fillId="0" borderId="48" xfId="0" applyNumberFormat="1" applyFont="1" applyBorder="1" applyAlignment="1">
      <alignment horizontal="center" vertical="center"/>
    </xf>
    <xf numFmtId="0" fontId="6" fillId="0" borderId="30" xfId="0" applyFont="1" applyBorder="1" applyAlignment="1">
      <alignment horizontal="center" vertical="center"/>
    </xf>
    <xf numFmtId="0" fontId="9" fillId="6" borderId="1" xfId="0" applyFont="1" applyFill="1" applyBorder="1" applyAlignment="1">
      <alignment vertical="center"/>
    </xf>
    <xf numFmtId="49" fontId="26" fillId="6" borderId="23" xfId="0" applyNumberFormat="1" applyFont="1" applyFill="1" applyBorder="1" applyAlignment="1">
      <alignment horizontal="center" vertical="center"/>
    </xf>
    <xf numFmtId="0" fontId="26" fillId="6" borderId="24" xfId="0" applyFont="1" applyFill="1" applyBorder="1" applyAlignment="1">
      <alignment horizontal="center" vertical="center"/>
    </xf>
    <xf numFmtId="0" fontId="9" fillId="6" borderId="24" xfId="0" applyFont="1" applyFill="1" applyBorder="1" applyAlignment="1">
      <alignment horizontal="center" vertical="center"/>
    </xf>
    <xf numFmtId="0" fontId="6" fillId="0" borderId="60" xfId="0" quotePrefix="1" applyFont="1" applyBorder="1" applyAlignment="1">
      <alignment horizontal="center" vertical="center"/>
    </xf>
    <xf numFmtId="0" fontId="4" fillId="0" borderId="83" xfId="0" applyFont="1" applyBorder="1" applyAlignment="1">
      <alignment horizontal="center" vertical="center"/>
    </xf>
    <xf numFmtId="0" fontId="20" fillId="7" borderId="61" xfId="0" applyFont="1" applyFill="1" applyBorder="1" applyAlignment="1">
      <alignment horizontal="centerContinuous" vertical="center"/>
    </xf>
    <xf numFmtId="0" fontId="20" fillId="7" borderId="62" xfId="0" applyFont="1" applyFill="1" applyBorder="1" applyAlignment="1">
      <alignment horizontal="centerContinuous" vertical="center"/>
    </xf>
    <xf numFmtId="0" fontId="20" fillId="7" borderId="62" xfId="0" applyFont="1" applyFill="1" applyBorder="1" applyAlignment="1">
      <alignment horizontal="center" vertical="center"/>
    </xf>
    <xf numFmtId="0" fontId="1" fillId="0" borderId="11" xfId="0" applyFont="1" applyBorder="1" applyAlignment="1">
      <alignment horizontal="centerContinuous" vertical="center"/>
    </xf>
    <xf numFmtId="0" fontId="4" fillId="0" borderId="12" xfId="0" applyFont="1" applyBorder="1" applyAlignment="1">
      <alignment horizontal="centerContinuous" vertical="center"/>
    </xf>
    <xf numFmtId="49" fontId="1" fillId="0" borderId="12" xfId="0" applyNumberFormat="1" applyFont="1" applyBorder="1" applyAlignment="1">
      <alignment horizontal="center" vertical="center"/>
    </xf>
    <xf numFmtId="0" fontId="20" fillId="7" borderId="84" xfId="0" applyFont="1" applyFill="1" applyBorder="1" applyAlignment="1">
      <alignment horizontal="centerContinuous" vertical="center"/>
    </xf>
    <xf numFmtId="0" fontId="20" fillId="7" borderId="85" xfId="0" applyFont="1" applyFill="1" applyBorder="1" applyAlignment="1">
      <alignment horizontal="centerContinuous" vertical="center"/>
    </xf>
    <xf numFmtId="0" fontId="20" fillId="7" borderId="86" xfId="0" applyFont="1" applyFill="1" applyBorder="1" applyAlignment="1">
      <alignment horizontal="center" vertical="center"/>
    </xf>
    <xf numFmtId="164" fontId="1" fillId="0" borderId="22" xfId="0" applyNumberFormat="1" applyFont="1" applyBorder="1" applyAlignment="1">
      <alignment horizontal="centerContinuous" vertical="center"/>
    </xf>
    <xf numFmtId="164" fontId="4" fillId="0" borderId="87" xfId="0" applyNumberFormat="1" applyFont="1" applyBorder="1" applyAlignment="1">
      <alignment horizontal="centerContinuous" vertical="center"/>
    </xf>
    <xf numFmtId="0" fontId="1" fillId="0" borderId="0" xfId="5" applyAlignment="1">
      <alignment wrapText="1"/>
    </xf>
    <xf numFmtId="0" fontId="3" fillId="0" borderId="0" xfId="5" applyFont="1" applyAlignment="1">
      <alignment horizontal="right" wrapText="1"/>
    </xf>
    <xf numFmtId="0" fontId="1" fillId="0" borderId="0" xfId="5" applyAlignment="1">
      <alignment horizontal="left" wrapText="1"/>
    </xf>
    <xf numFmtId="0" fontId="6" fillId="0" borderId="59" xfId="5" applyFont="1" applyBorder="1" applyAlignment="1">
      <alignment horizontal="center" wrapText="1"/>
    </xf>
    <xf numFmtId="0" fontId="6" fillId="0" borderId="24" xfId="2" applyNumberFormat="1" applyFont="1" applyFill="1" applyBorder="1" applyAlignment="1">
      <alignment horizontal="center" shrinkToFit="1"/>
    </xf>
    <xf numFmtId="9" fontId="6" fillId="0" borderId="24" xfId="2" applyFont="1" applyFill="1" applyBorder="1" applyAlignment="1">
      <alignment horizontal="center" vertical="center" shrinkToFit="1"/>
    </xf>
    <xf numFmtId="9" fontId="6" fillId="0" borderId="23" xfId="2" applyFont="1" applyFill="1" applyBorder="1" applyAlignment="1">
      <alignment horizontal="center" shrinkToFit="1"/>
    </xf>
    <xf numFmtId="0" fontId="6" fillId="0" borderId="23" xfId="5" applyFont="1" applyBorder="1" applyAlignment="1">
      <alignment horizontal="center" wrapText="1"/>
    </xf>
    <xf numFmtId="0" fontId="6" fillId="0" borderId="24" xfId="2" applyNumberFormat="1" applyFont="1" applyBorder="1" applyAlignment="1">
      <alignment horizontal="center" shrinkToFit="1"/>
    </xf>
    <xf numFmtId="9" fontId="6" fillId="0" borderId="24" xfId="2" applyFont="1" applyBorder="1" applyAlignment="1">
      <alignment horizontal="center" shrinkToFit="1"/>
    </xf>
    <xf numFmtId="9" fontId="6" fillId="0" borderId="23" xfId="2" applyFont="1" applyBorder="1" applyAlignment="1">
      <alignment horizontal="center" shrinkToFit="1"/>
    </xf>
    <xf numFmtId="0" fontId="3" fillId="0" borderId="0" xfId="5" applyFont="1" applyAlignment="1">
      <alignment wrapText="1"/>
    </xf>
    <xf numFmtId="0" fontId="15" fillId="0" borderId="0" xfId="5" applyFont="1" applyAlignment="1">
      <alignment horizontal="centerContinuous" wrapText="1"/>
    </xf>
    <xf numFmtId="0" fontId="6" fillId="0" borderId="24" xfId="2" applyNumberFormat="1" applyFont="1" applyFill="1" applyBorder="1" applyAlignment="1">
      <alignment horizontal="center" vertical="center" shrinkToFit="1"/>
    </xf>
    <xf numFmtId="0" fontId="6" fillId="0" borderId="25" xfId="0" applyFont="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29" xfId="0" applyFont="1" applyBorder="1" applyAlignment="1">
      <alignment horizontal="center" vertical="center" wrapText="1"/>
    </xf>
    <xf numFmtId="0" fontId="1" fillId="0" borderId="0" xfId="0" applyFont="1" applyAlignment="1">
      <alignment horizontal="centerContinuous" vertical="center"/>
    </xf>
    <xf numFmtId="0" fontId="6" fillId="0" borderId="0" xfId="0" applyFont="1" applyAlignment="1">
      <alignment horizontal="centerContinuous" vertical="center"/>
    </xf>
    <xf numFmtId="0" fontId="13" fillId="6" borderId="1" xfId="0" applyFont="1" applyFill="1" applyBorder="1" applyAlignment="1">
      <alignment vertical="center"/>
    </xf>
    <xf numFmtId="0" fontId="1" fillId="0" borderId="67" xfId="0" applyFont="1" applyBorder="1" applyAlignment="1">
      <alignment horizontal="center" vertical="center"/>
    </xf>
    <xf numFmtId="0" fontId="1" fillId="0" borderId="16" xfId="0" applyFont="1" applyBorder="1" applyAlignment="1">
      <alignment horizontal="center" vertical="center"/>
    </xf>
    <xf numFmtId="0" fontId="1" fillId="0" borderId="47" xfId="0" applyFont="1" applyBorder="1" applyAlignment="1">
      <alignment horizontal="center" vertical="center"/>
    </xf>
    <xf numFmtId="164" fontId="1" fillId="0" borderId="47" xfId="0" applyNumberFormat="1" applyFont="1" applyBorder="1" applyAlignment="1">
      <alignment horizontal="center" vertical="center"/>
    </xf>
    <xf numFmtId="1" fontId="44" fillId="9" borderId="48" xfId="0" applyNumberFormat="1" applyFont="1" applyFill="1" applyBorder="1" applyAlignment="1">
      <alignment horizontal="center" vertical="center"/>
    </xf>
    <xf numFmtId="1" fontId="44" fillId="9" borderId="24" xfId="0" applyNumberFormat="1" applyFont="1" applyFill="1" applyBorder="1" applyAlignment="1">
      <alignment horizontal="center" vertical="center"/>
    </xf>
    <xf numFmtId="0" fontId="6" fillId="0" borderId="24" xfId="5" applyFont="1" applyBorder="1" applyAlignment="1">
      <alignment horizontal="center" wrapText="1"/>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4" xfId="0" quotePrefix="1" applyFont="1" applyBorder="1" applyAlignment="1">
      <alignment horizontal="center" vertical="center" wrapText="1"/>
    </xf>
    <xf numFmtId="49" fontId="1" fillId="0" borderId="94" xfId="2" applyNumberFormat="1" applyFont="1" applyFill="1" applyBorder="1" applyAlignment="1">
      <alignment horizontal="center" vertical="center"/>
    </xf>
    <xf numFmtId="164" fontId="1" fillId="8" borderId="94" xfId="0" applyNumberFormat="1" applyFont="1" applyFill="1" applyBorder="1" applyAlignment="1">
      <alignment horizontal="center" vertical="center"/>
    </xf>
    <xf numFmtId="1" fontId="3" fillId="0" borderId="0" xfId="0" applyNumberFormat="1" applyFont="1" applyAlignment="1">
      <alignment horizontal="center" vertical="center"/>
    </xf>
    <xf numFmtId="1" fontId="1" fillId="0" borderId="54" xfId="0" applyNumberFormat="1" applyFont="1" applyBorder="1" applyAlignment="1">
      <alignment horizontal="center" vertical="center"/>
    </xf>
    <xf numFmtId="1" fontId="1" fillId="0" borderId="79" xfId="0" applyNumberFormat="1" applyFont="1" applyBorder="1" applyAlignment="1">
      <alignment horizontal="center" vertical="center"/>
    </xf>
    <xf numFmtId="1" fontId="1" fillId="0" borderId="49" xfId="0" applyNumberFormat="1" applyFont="1" applyBorder="1" applyAlignment="1">
      <alignment horizontal="center" vertical="center"/>
    </xf>
    <xf numFmtId="1" fontId="1" fillId="0" borderId="31" xfId="0" applyNumberFormat="1" applyFont="1" applyBorder="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vertical="center"/>
    </xf>
    <xf numFmtId="0" fontId="47" fillId="0" borderId="0" xfId="0" applyFont="1" applyAlignment="1">
      <alignment horizontal="centerContinuous" vertical="center" wrapText="1"/>
    </xf>
    <xf numFmtId="0" fontId="3" fillId="0" borderId="0" xfId="5" applyFont="1" applyAlignment="1">
      <alignment vertical="center" wrapTex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4" xfId="2" applyNumberFormat="1" applyFont="1" applyBorder="1" applyAlignment="1">
      <alignment horizontal="center" vertical="center" shrinkToFit="1"/>
    </xf>
    <xf numFmtId="9" fontId="6" fillId="0" borderId="23" xfId="2" applyFont="1" applyFill="1" applyBorder="1" applyAlignment="1">
      <alignment horizontal="center" vertical="center" shrinkToFit="1"/>
    </xf>
    <xf numFmtId="0" fontId="49" fillId="0" borderId="28" xfId="0" applyFont="1" applyBorder="1" applyAlignment="1">
      <alignment horizontal="centerContinuous" vertical="center"/>
    </xf>
    <xf numFmtId="0" fontId="50" fillId="0" borderId="28" xfId="0" applyFont="1" applyBorder="1" applyAlignment="1">
      <alignment horizontal="centerContinuous" vertical="center" wrapText="1"/>
    </xf>
    <xf numFmtId="0" fontId="51" fillId="0" borderId="28" xfId="0" applyFont="1" applyBorder="1" applyAlignment="1">
      <alignment horizontal="centerContinuous" vertical="center" wrapText="1"/>
    </xf>
    <xf numFmtId="1" fontId="1" fillId="0" borderId="79" xfId="0" applyNumberFormat="1" applyFont="1" applyBorder="1" applyAlignment="1">
      <alignment horizontal="center" vertical="center" shrinkToFit="1"/>
    </xf>
    <xf numFmtId="1" fontId="1" fillId="0" borderId="31" xfId="0" applyNumberFormat="1" applyFont="1" applyBorder="1" applyAlignment="1">
      <alignment horizontal="center" vertical="center" shrinkToFit="1"/>
    </xf>
    <xf numFmtId="1" fontId="1" fillId="0" borderId="49" xfId="0" applyNumberFormat="1" applyFont="1" applyBorder="1" applyAlignment="1">
      <alignment horizontal="center" vertical="center" shrinkToFit="1"/>
    </xf>
    <xf numFmtId="0" fontId="1" fillId="0" borderId="0" xfId="0" applyFont="1" applyAlignment="1">
      <alignment horizontal="center" vertical="center" shrinkToFit="1"/>
    </xf>
    <xf numFmtId="0" fontId="53" fillId="0" borderId="0" xfId="0" applyFont="1" applyAlignment="1">
      <alignment vertical="center"/>
    </xf>
    <xf numFmtId="0" fontId="1" fillId="0" borderId="0" xfId="0" applyFont="1" applyAlignment="1">
      <alignment horizontal="left" vertical="center" shrinkToFit="1"/>
    </xf>
    <xf numFmtId="0" fontId="1" fillId="0" borderId="38" xfId="0" applyFont="1" applyBorder="1" applyAlignment="1">
      <alignment horizontal="left" vertical="center" shrinkToFit="1"/>
    </xf>
    <xf numFmtId="0" fontId="1" fillId="0" borderId="106" xfId="0" applyFont="1" applyBorder="1" applyAlignment="1">
      <alignment horizontal="center" vertical="center" shrinkToFit="1"/>
    </xf>
    <xf numFmtId="0" fontId="1" fillId="0" borderId="107" xfId="0" applyFont="1" applyBorder="1" applyAlignment="1">
      <alignment horizontal="center" vertical="center"/>
    </xf>
    <xf numFmtId="0" fontId="1" fillId="0" borderId="107" xfId="0" quotePrefix="1" applyFont="1" applyBorder="1" applyAlignment="1">
      <alignment horizontal="center" vertical="center"/>
    </xf>
    <xf numFmtId="49" fontId="1" fillId="0" borderId="107" xfId="0" quotePrefix="1" applyNumberFormat="1" applyFont="1" applyBorder="1" applyAlignment="1">
      <alignment horizontal="center" vertical="center"/>
    </xf>
    <xf numFmtId="164" fontId="1" fillId="0" borderId="107" xfId="0" applyNumberFormat="1" applyFont="1" applyBorder="1" applyAlignment="1">
      <alignment horizontal="center" vertical="center"/>
    </xf>
    <xf numFmtId="164" fontId="1" fillId="0" borderId="108" xfId="0" applyNumberFormat="1" applyFont="1" applyBorder="1" applyAlignment="1">
      <alignment horizontal="centerContinuous" vertical="center"/>
    </xf>
    <xf numFmtId="164" fontId="1" fillId="0" borderId="109" xfId="0" applyNumberFormat="1" applyFont="1" applyBorder="1" applyAlignment="1">
      <alignment horizontal="centerContinuous" vertical="center"/>
    </xf>
    <xf numFmtId="0" fontId="1" fillId="0" borderId="110" xfId="0" quotePrefix="1" applyFont="1" applyBorder="1" applyAlignment="1">
      <alignment horizontal="centerContinuous" vertical="center"/>
    </xf>
    <xf numFmtId="0" fontId="1" fillId="0" borderId="66" xfId="0" quotePrefix="1" applyFont="1" applyBorder="1" applyAlignment="1">
      <alignment horizontal="center" vertical="center"/>
    </xf>
    <xf numFmtId="0" fontId="4" fillId="0" borderId="66" xfId="0" applyFont="1" applyBorder="1" applyAlignment="1">
      <alignment horizontal="center" vertical="center"/>
    </xf>
    <xf numFmtId="9" fontId="4" fillId="0" borderId="66" xfId="0" applyNumberFormat="1" applyFont="1" applyBorder="1" applyAlignment="1">
      <alignment horizontal="center" vertical="center"/>
    </xf>
    <xf numFmtId="164" fontId="4" fillId="0" borderId="66" xfId="0" applyNumberFormat="1" applyFont="1" applyBorder="1" applyAlignment="1">
      <alignment horizontal="center" vertical="center"/>
    </xf>
    <xf numFmtId="164" fontId="4" fillId="0" borderId="68" xfId="0" applyNumberFormat="1" applyFont="1" applyBorder="1" applyAlignment="1">
      <alignment horizontal="centerContinuous" vertical="center"/>
    </xf>
    <xf numFmtId="164" fontId="1" fillId="0" borderId="111" xfId="0" applyNumberFormat="1" applyFont="1" applyBorder="1" applyAlignment="1">
      <alignment horizontal="centerContinuous" vertical="center"/>
    </xf>
    <xf numFmtId="0" fontId="4" fillId="0" borderId="112" xfId="0" quotePrefix="1" applyFont="1" applyBorder="1" applyAlignment="1">
      <alignment horizontal="centerContinuous" vertical="center"/>
    </xf>
    <xf numFmtId="9" fontId="1" fillId="0" borderId="107" xfId="0" applyNumberFormat="1" applyFont="1" applyBorder="1" applyAlignment="1">
      <alignment horizontal="center" vertical="center"/>
    </xf>
    <xf numFmtId="0" fontId="6" fillId="0" borderId="25" xfId="0" applyFont="1" applyBorder="1" applyAlignment="1">
      <alignment horizontal="center" vertical="center" shrinkToFit="1"/>
    </xf>
    <xf numFmtId="9" fontId="6" fillId="0" borderId="59" xfId="2" applyFont="1" applyFill="1" applyBorder="1" applyAlignment="1">
      <alignment horizontal="center" vertical="center" shrinkToFit="1"/>
    </xf>
    <xf numFmtId="0" fontId="6" fillId="0" borderId="15" xfId="0" applyFont="1" applyBorder="1" applyAlignment="1">
      <alignment horizontal="center" vertical="center" shrinkToFit="1"/>
    </xf>
    <xf numFmtId="1" fontId="1" fillId="10" borderId="49" xfId="0" applyNumberFormat="1" applyFont="1" applyFill="1" applyBorder="1" applyAlignment="1">
      <alignment horizontal="center" vertical="center"/>
    </xf>
    <xf numFmtId="0" fontId="1" fillId="10" borderId="70" xfId="0" applyFont="1" applyFill="1" applyBorder="1" applyAlignment="1">
      <alignment horizontal="center" vertical="center" shrinkToFit="1"/>
    </xf>
    <xf numFmtId="0" fontId="1" fillId="10" borderId="71" xfId="0" applyFont="1" applyFill="1" applyBorder="1" applyAlignment="1">
      <alignment horizontal="center" vertical="center"/>
    </xf>
    <xf numFmtId="0" fontId="1" fillId="10" borderId="71" xfId="0" quotePrefix="1" applyFont="1" applyFill="1" applyBorder="1" applyAlignment="1">
      <alignment horizontal="center" vertical="center"/>
    </xf>
    <xf numFmtId="9" fontId="1" fillId="10" borderId="71" xfId="0" applyNumberFormat="1" applyFont="1" applyFill="1" applyBorder="1" applyAlignment="1">
      <alignment horizontal="center" vertical="center"/>
    </xf>
    <xf numFmtId="164" fontId="1" fillId="10" borderId="71" xfId="0" applyNumberFormat="1" applyFont="1" applyFill="1" applyBorder="1" applyAlignment="1">
      <alignment horizontal="center" vertical="center"/>
    </xf>
    <xf numFmtId="164" fontId="1" fillId="10" borderId="72" xfId="0" applyNumberFormat="1" applyFont="1" applyFill="1" applyBorder="1" applyAlignment="1">
      <alignment horizontal="centerContinuous" vertical="center"/>
    </xf>
    <xf numFmtId="164" fontId="4" fillId="10" borderId="73" xfId="0" applyNumberFormat="1" applyFont="1" applyFill="1" applyBorder="1" applyAlignment="1">
      <alignment horizontal="centerContinuous" vertical="center"/>
    </xf>
    <xf numFmtId="0" fontId="4" fillId="10" borderId="74" xfId="0" applyFont="1" applyFill="1" applyBorder="1" applyAlignment="1">
      <alignment horizontal="centerContinuous" vertical="center"/>
    </xf>
    <xf numFmtId="0" fontId="54" fillId="0" borderId="31" xfId="0" quotePrefix="1" applyFont="1" applyBorder="1" applyAlignment="1">
      <alignment horizontal="center" vertical="center" shrinkToFit="1"/>
    </xf>
    <xf numFmtId="0" fontId="1" fillId="0" borderId="113" xfId="0" applyFont="1" applyBorder="1" applyAlignment="1">
      <alignment horizontal="center" vertical="center"/>
    </xf>
    <xf numFmtId="0" fontId="1" fillId="0" borderId="114" xfId="0" applyFont="1" applyBorder="1" applyAlignment="1">
      <alignment horizontal="center" vertical="center"/>
    </xf>
    <xf numFmtId="0" fontId="1" fillId="0" borderId="114" xfId="0" quotePrefix="1" applyFont="1" applyBorder="1" applyAlignment="1">
      <alignment horizontal="center" vertical="center" wrapText="1"/>
    </xf>
    <xf numFmtId="49" fontId="1" fillId="0" borderId="114" xfId="2" applyNumberFormat="1" applyFont="1" applyFill="1" applyBorder="1" applyAlignment="1">
      <alignment horizontal="center" vertical="center"/>
    </xf>
    <xf numFmtId="164" fontId="1" fillId="8" borderId="114" xfId="0" applyNumberFormat="1" applyFont="1" applyFill="1" applyBorder="1" applyAlignment="1">
      <alignment horizontal="center" vertical="center"/>
    </xf>
    <xf numFmtId="0" fontId="4" fillId="0" borderId="47" xfId="0" quotePrefix="1" applyFont="1" applyBorder="1" applyAlignment="1">
      <alignment horizontal="center" vertical="center" wrapText="1"/>
    </xf>
    <xf numFmtId="49" fontId="1" fillId="0" borderId="47" xfId="2" applyNumberFormat="1" applyFont="1" applyBorder="1" applyAlignment="1">
      <alignment horizontal="center" vertical="center"/>
    </xf>
    <xf numFmtId="0" fontId="1" fillId="0" borderId="47" xfId="0" applyFont="1" applyBorder="1" applyAlignment="1">
      <alignment horizontal="center" vertical="center" shrinkToFit="1"/>
    </xf>
    <xf numFmtId="164" fontId="4" fillId="0" borderId="48" xfId="0" applyNumberFormat="1" applyFont="1" applyBorder="1" applyAlignment="1">
      <alignment horizontal="center" vertical="center"/>
    </xf>
    <xf numFmtId="0" fontId="3" fillId="0" borderId="30" xfId="0" applyFont="1" applyBorder="1" applyAlignment="1">
      <alignment horizontal="center" vertical="center"/>
    </xf>
    <xf numFmtId="0" fontId="1" fillId="0" borderId="114" xfId="0" quotePrefix="1" applyFont="1" applyBorder="1" applyAlignment="1">
      <alignment horizontal="center" vertical="center"/>
    </xf>
    <xf numFmtId="164" fontId="4" fillId="0" borderId="114" xfId="0" applyNumberFormat="1" applyFont="1" applyBorder="1" applyAlignment="1">
      <alignment horizontal="center" vertical="center"/>
    </xf>
    <xf numFmtId="0" fontId="55" fillId="2" borderId="81" xfId="0" applyFont="1" applyFill="1" applyBorder="1" applyAlignment="1">
      <alignment horizontal="center" vertical="center"/>
    </xf>
    <xf numFmtId="9" fontId="6" fillId="0" borderId="59" xfId="2" applyFont="1" applyBorder="1" applyAlignment="1">
      <alignment horizontal="center" shrinkToFit="1"/>
    </xf>
    <xf numFmtId="9" fontId="6" fillId="0" borderId="15" xfId="2" applyFont="1" applyBorder="1" applyAlignment="1">
      <alignment horizontal="center" shrinkToFit="1"/>
    </xf>
    <xf numFmtId="9" fontId="6" fillId="0" borderId="15" xfId="7" applyFont="1" applyFill="1" applyBorder="1" applyAlignment="1">
      <alignment horizontal="center" vertical="center" shrinkToFit="1"/>
    </xf>
    <xf numFmtId="0" fontId="6" fillId="0" borderId="15" xfId="2" applyNumberFormat="1" applyFont="1" applyBorder="1" applyAlignment="1">
      <alignment horizontal="center" shrinkToFit="1"/>
    </xf>
    <xf numFmtId="0" fontId="6" fillId="0" borderId="15" xfId="7" applyNumberFormat="1" applyFont="1" applyFill="1" applyBorder="1" applyAlignment="1">
      <alignment horizontal="center" vertical="center" shrinkToFit="1"/>
    </xf>
    <xf numFmtId="0" fontId="6" fillId="0" borderId="29" xfId="0" applyFont="1" applyBorder="1" applyAlignment="1">
      <alignment horizontal="center" vertical="center"/>
    </xf>
    <xf numFmtId="164" fontId="4" fillId="0" borderId="108" xfId="0" applyNumberFormat="1" applyFont="1" applyBorder="1" applyAlignment="1">
      <alignment horizontal="center" vertical="center"/>
    </xf>
    <xf numFmtId="1" fontId="44" fillId="9" borderId="108" xfId="0" applyNumberFormat="1" applyFont="1" applyFill="1" applyBorder="1" applyAlignment="1">
      <alignment horizontal="center" vertical="center"/>
    </xf>
    <xf numFmtId="1" fontId="1" fillId="0" borderId="107" xfId="0" applyNumberFormat="1" applyFont="1" applyBorder="1" applyAlignment="1">
      <alignment horizontal="center" vertical="center"/>
    </xf>
    <xf numFmtId="0" fontId="1" fillId="0" borderId="106" xfId="0" applyFont="1" applyBorder="1" applyAlignment="1">
      <alignment horizontal="center" vertical="center"/>
    </xf>
    <xf numFmtId="0" fontId="1" fillId="0" borderId="107" xfId="0" quotePrefix="1" applyFont="1" applyBorder="1" applyAlignment="1">
      <alignment horizontal="center" vertical="center" wrapText="1"/>
    </xf>
    <xf numFmtId="49" fontId="1" fillId="0" borderId="107" xfId="2" applyNumberFormat="1" applyFont="1" applyFill="1" applyBorder="1" applyAlignment="1">
      <alignment horizontal="center" vertical="center"/>
    </xf>
    <xf numFmtId="164" fontId="1" fillId="8" borderId="66" xfId="0" applyNumberFormat="1" applyFont="1" applyFill="1" applyBorder="1" applyAlignment="1">
      <alignment horizontal="center" vertical="center"/>
    </xf>
    <xf numFmtId="1" fontId="1" fillId="0" borderId="117" xfId="0" applyNumberFormat="1" applyFont="1" applyBorder="1" applyAlignment="1">
      <alignment horizontal="center" vertical="center"/>
    </xf>
    <xf numFmtId="1" fontId="1" fillId="0" borderId="55" xfId="0" applyNumberFormat="1" applyFont="1" applyBorder="1" applyAlignment="1">
      <alignment horizontal="center" vertical="center"/>
    </xf>
    <xf numFmtId="1" fontId="1" fillId="0" borderId="92" xfId="0" applyNumberFormat="1" applyFont="1" applyBorder="1" applyAlignment="1">
      <alignment horizontal="center" vertical="center"/>
    </xf>
    <xf numFmtId="0" fontId="1" fillId="0" borderId="69" xfId="0" quotePrefix="1" applyFont="1" applyBorder="1" applyAlignment="1">
      <alignment horizontal="center" vertical="center"/>
    </xf>
    <xf numFmtId="0" fontId="1" fillId="0" borderId="95" xfId="0" quotePrefix="1" applyFont="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1" fillId="0" borderId="69" xfId="0" applyFont="1" applyBorder="1" applyAlignment="1">
      <alignment horizontal="center" vertical="center"/>
    </xf>
    <xf numFmtId="0" fontId="4" fillId="0" borderId="30"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49" fontId="1" fillId="0" borderId="71" xfId="0" applyNumberFormat="1" applyFont="1" applyBorder="1" applyAlignment="1">
      <alignment horizontal="center" vertical="center"/>
    </xf>
    <xf numFmtId="164" fontId="1" fillId="8" borderId="71" xfId="0" applyNumberFormat="1" applyFont="1" applyFill="1" applyBorder="1" applyAlignment="1">
      <alignment horizontal="center" vertical="center"/>
    </xf>
    <xf numFmtId="164" fontId="1" fillId="0" borderId="72" xfId="0" applyNumberFormat="1" applyFont="1" applyBorder="1" applyAlignment="1">
      <alignment horizontal="center" vertical="center"/>
    </xf>
    <xf numFmtId="1" fontId="44" fillId="9" borderId="72" xfId="0" applyNumberFormat="1" applyFont="1" applyFill="1" applyBorder="1" applyAlignment="1">
      <alignment horizontal="center" vertical="center"/>
    </xf>
    <xf numFmtId="1" fontId="1" fillId="0" borderId="71" xfId="0" applyNumberFormat="1" applyFont="1" applyBorder="1" applyAlignment="1">
      <alignment horizontal="center" vertical="center"/>
    </xf>
    <xf numFmtId="0" fontId="41" fillId="4" borderId="118" xfId="0" applyFont="1" applyFill="1" applyBorder="1" applyAlignment="1">
      <alignment horizontal="right" vertical="center"/>
    </xf>
    <xf numFmtId="49" fontId="6" fillId="0" borderId="13" xfId="0" applyNumberFormat="1" applyFont="1" applyBorder="1" applyAlignment="1">
      <alignment horizontal="center" vertical="center"/>
    </xf>
    <xf numFmtId="0" fontId="1" fillId="0" borderId="0" xfId="0" applyFont="1" applyAlignment="1">
      <alignment vertical="center" wrapText="1"/>
    </xf>
    <xf numFmtId="0" fontId="55" fillId="0" borderId="5" xfId="0" applyFont="1" applyBorder="1" applyAlignment="1">
      <alignment horizontal="centerContinuous" vertical="center"/>
    </xf>
    <xf numFmtId="0" fontId="3" fillId="0" borderId="6"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0" xfId="0" applyFont="1" applyBorder="1" applyAlignment="1">
      <alignment horizontal="center" vertical="center"/>
    </xf>
    <xf numFmtId="0" fontId="3" fillId="0" borderId="119" xfId="0" applyFont="1" applyBorder="1" applyAlignment="1">
      <alignment horizontal="right" vertical="center"/>
    </xf>
    <xf numFmtId="0" fontId="1" fillId="0" borderId="120" xfId="0" applyFont="1" applyBorder="1" applyAlignment="1">
      <alignment horizontal="center" vertical="center" wrapText="1"/>
    </xf>
    <xf numFmtId="0" fontId="1" fillId="0" borderId="121" xfId="0" applyFont="1" applyBorder="1" applyAlignment="1">
      <alignment horizontal="center" vertical="center" wrapText="1"/>
    </xf>
    <xf numFmtId="0" fontId="3" fillId="0" borderId="31" xfId="0" applyFont="1" applyBorder="1" applyAlignment="1">
      <alignment horizontal="right" vertical="center"/>
    </xf>
    <xf numFmtId="0" fontId="1" fillId="0" borderId="102" xfId="0" applyFont="1" applyBorder="1" applyAlignment="1">
      <alignment horizontal="center" vertical="center" wrapText="1"/>
    </xf>
    <xf numFmtId="0" fontId="3" fillId="0" borderId="123" xfId="0" applyFont="1" applyBorder="1" applyAlignment="1">
      <alignment horizontal="right" vertical="center"/>
    </xf>
    <xf numFmtId="0" fontId="57" fillId="7" borderId="124" xfId="0" applyFont="1" applyFill="1" applyBorder="1" applyAlignment="1">
      <alignment horizontal="center" vertical="center" wrapText="1"/>
    </xf>
    <xf numFmtId="0" fontId="3" fillId="0" borderId="55" xfId="0" applyFont="1" applyBorder="1" applyAlignment="1">
      <alignment horizontal="right" vertical="center"/>
    </xf>
    <xf numFmtId="49" fontId="1" fillId="0" borderId="100" xfId="0" applyNumberFormat="1" applyFont="1" applyBorder="1" applyAlignment="1">
      <alignment horizontal="center" vertical="center" wrapText="1"/>
    </xf>
    <xf numFmtId="0" fontId="3" fillId="0" borderId="49" xfId="0" applyFont="1" applyBorder="1" applyAlignment="1">
      <alignment horizontal="right" vertical="center"/>
    </xf>
    <xf numFmtId="0" fontId="57" fillId="7" borderId="104" xfId="0" applyFont="1" applyFill="1" applyBorder="1" applyAlignment="1">
      <alignment horizontal="center" vertical="center" wrapText="1"/>
    </xf>
    <xf numFmtId="0" fontId="11" fillId="9" borderId="91" xfId="5" applyFont="1" applyFill="1" applyBorder="1" applyAlignment="1">
      <alignment horizontal="centerContinuous" vertical="center" wrapText="1"/>
    </xf>
    <xf numFmtId="0" fontId="11" fillId="9" borderId="90" xfId="5" applyFont="1" applyFill="1" applyBorder="1" applyAlignment="1">
      <alignment horizontal="center" vertical="center" wrapText="1"/>
    </xf>
    <xf numFmtId="0" fontId="20" fillId="9" borderId="90" xfId="5" applyFont="1" applyFill="1" applyBorder="1" applyAlignment="1">
      <alignment horizontal="center" vertical="center" wrapText="1"/>
    </xf>
    <xf numFmtId="0" fontId="11" fillId="9" borderId="90" xfId="0" applyFont="1" applyFill="1" applyBorder="1" applyAlignment="1">
      <alignment horizontal="center" vertical="center" wrapText="1"/>
    </xf>
    <xf numFmtId="0" fontId="11" fillId="9" borderId="89" xfId="0" applyFont="1" applyFill="1" applyBorder="1" applyAlignment="1">
      <alignment horizontal="centerContinuous" vertical="center" wrapText="1"/>
    </xf>
    <xf numFmtId="0" fontId="58" fillId="0" borderId="21" xfId="5" applyFont="1" applyBorder="1" applyAlignment="1">
      <alignment horizontal="centerContinuous" wrapText="1"/>
    </xf>
    <xf numFmtId="0" fontId="59" fillId="0" borderId="1" xfId="5" applyFont="1" applyBorder="1" applyAlignment="1">
      <alignment horizontal="center" shrinkToFit="1"/>
    </xf>
    <xf numFmtId="0" fontId="59" fillId="0" borderId="58" xfId="5" applyFont="1" applyBorder="1" applyAlignment="1">
      <alignment horizontal="center" shrinkToFit="1"/>
    </xf>
    <xf numFmtId="0" fontId="60" fillId="2" borderId="80" xfId="0" applyFont="1" applyFill="1" applyBorder="1" applyAlignment="1">
      <alignment horizontal="right" vertical="center"/>
    </xf>
    <xf numFmtId="0" fontId="60" fillId="2" borderId="81" xfId="0" applyFont="1" applyFill="1" applyBorder="1" applyAlignment="1">
      <alignment horizontal="left" vertical="center"/>
    </xf>
    <xf numFmtId="0" fontId="61" fillId="2" borderId="82" xfId="1" applyFont="1" applyFill="1" applyBorder="1" applyAlignment="1" applyProtection="1">
      <alignment horizontal="right" vertical="center"/>
    </xf>
    <xf numFmtId="1" fontId="1" fillId="11" borderId="79" xfId="0" applyNumberFormat="1" applyFont="1" applyFill="1" applyBorder="1" applyAlignment="1">
      <alignment horizontal="center" vertical="center"/>
    </xf>
    <xf numFmtId="1" fontId="1" fillId="11" borderId="55" xfId="0" applyNumberFormat="1" applyFont="1" applyFill="1" applyBorder="1" applyAlignment="1">
      <alignment horizontal="center" vertical="center"/>
    </xf>
    <xf numFmtId="0" fontId="1" fillId="11" borderId="24" xfId="0" applyFont="1" applyFill="1" applyBorder="1" applyAlignment="1">
      <alignment horizontal="center" vertical="center"/>
    </xf>
    <xf numFmtId="0" fontId="1" fillId="11" borderId="25"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23" xfId="0" applyFont="1" applyFill="1" applyBorder="1" applyAlignment="1">
      <alignment horizontal="center" vertical="center"/>
    </xf>
    <xf numFmtId="49" fontId="1" fillId="11" borderId="23" xfId="2" applyNumberFormat="1" applyFont="1" applyFill="1" applyBorder="1" applyAlignment="1">
      <alignment horizontal="center" vertical="center"/>
    </xf>
    <xf numFmtId="0" fontId="1" fillId="11" borderId="23" xfId="0" applyFont="1" applyFill="1" applyBorder="1" applyAlignment="1">
      <alignment horizontal="center" vertical="center" shrinkToFit="1"/>
    </xf>
    <xf numFmtId="164" fontId="1" fillId="11" borderId="23" xfId="0" applyNumberFormat="1" applyFont="1" applyFill="1" applyBorder="1" applyAlignment="1">
      <alignment horizontal="center" vertical="center"/>
    </xf>
    <xf numFmtId="164" fontId="1" fillId="11" borderId="24" xfId="0" applyNumberFormat="1" applyFont="1" applyFill="1" applyBorder="1" applyAlignment="1">
      <alignment horizontal="center" vertical="center"/>
    </xf>
    <xf numFmtId="0" fontId="1" fillId="11" borderId="23" xfId="2" applyNumberFormat="1" applyFont="1" applyFill="1" applyBorder="1" applyAlignment="1">
      <alignment horizontal="center" vertical="center"/>
    </xf>
    <xf numFmtId="0" fontId="20" fillId="7" borderId="126" xfId="0" applyFont="1" applyFill="1" applyBorder="1" applyAlignment="1">
      <alignment horizontal="centerContinuous" vertical="center"/>
    </xf>
    <xf numFmtId="0" fontId="20" fillId="7" borderId="127" xfId="0" applyFont="1" applyFill="1" applyBorder="1" applyAlignment="1">
      <alignment horizontal="center" vertical="center"/>
    </xf>
    <xf numFmtId="1" fontId="20" fillId="7" borderId="28" xfId="0" applyNumberFormat="1" applyFont="1" applyFill="1" applyBorder="1" applyAlignment="1">
      <alignment horizontal="center" vertical="center"/>
    </xf>
    <xf numFmtId="0" fontId="1" fillId="0" borderId="35" xfId="0" applyFont="1" applyBorder="1" applyAlignment="1">
      <alignment horizontal="centerContinuous" vertical="center" shrinkToFit="1"/>
    </xf>
    <xf numFmtId="0" fontId="20" fillId="0" borderId="111" xfId="0" applyFont="1" applyBorder="1" applyAlignment="1">
      <alignment horizontal="centerContinuous" vertical="center"/>
    </xf>
    <xf numFmtId="0" fontId="20" fillId="0" borderId="102" xfId="0" applyFont="1" applyBorder="1" applyAlignment="1">
      <alignment horizontal="centerContinuous"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112" xfId="0" applyFont="1" applyBorder="1" applyAlignment="1">
      <alignment horizontal="centerContinuous" vertical="center"/>
    </xf>
    <xf numFmtId="0" fontId="1" fillId="0" borderId="41" xfId="0" applyFont="1" applyBorder="1" applyAlignment="1">
      <alignment horizontal="centerContinuous" vertical="center" shrinkToFit="1"/>
    </xf>
    <xf numFmtId="0" fontId="1" fillId="0" borderId="73" xfId="0" applyFont="1" applyBorder="1" applyAlignment="1">
      <alignment horizontal="centerContinuous" vertical="center"/>
    </xf>
    <xf numFmtId="0" fontId="1" fillId="0" borderId="104" xfId="0" applyFont="1" applyBorder="1" applyAlignment="1">
      <alignment horizontal="centerContinuous" vertical="center"/>
    </xf>
    <xf numFmtId="49" fontId="1" fillId="0" borderId="43" xfId="0" applyNumberFormat="1" applyFont="1" applyBorder="1" applyAlignment="1">
      <alignment horizontal="center" vertical="center"/>
    </xf>
    <xf numFmtId="49" fontId="1" fillId="0" borderId="42" xfId="0" applyNumberFormat="1" applyFont="1" applyBorder="1" applyAlignment="1">
      <alignment horizontal="center" vertical="center"/>
    </xf>
    <xf numFmtId="0" fontId="1" fillId="0" borderId="74" xfId="0" applyFont="1" applyBorder="1" applyAlignment="1">
      <alignment horizontal="centerContinuous" vertical="center"/>
    </xf>
    <xf numFmtId="1" fontId="44" fillId="9" borderId="128" xfId="0" applyNumberFormat="1" applyFont="1" applyFill="1" applyBorder="1" applyAlignment="1">
      <alignment horizontal="center" vertical="center"/>
    </xf>
    <xf numFmtId="1" fontId="1" fillId="0" borderId="114" xfId="0" applyNumberFormat="1" applyFont="1" applyBorder="1" applyAlignment="1">
      <alignment horizontal="center" vertical="center"/>
    </xf>
    <xf numFmtId="0" fontId="1" fillId="0" borderId="129" xfId="0" applyFont="1" applyBorder="1" applyAlignment="1">
      <alignment horizontal="center" vertical="center"/>
    </xf>
    <xf numFmtId="164" fontId="4" fillId="0" borderId="128" xfId="0" applyNumberFormat="1" applyFont="1" applyBorder="1" applyAlignment="1">
      <alignment horizontal="center" vertical="center"/>
    </xf>
    <xf numFmtId="0" fontId="6" fillId="0" borderId="25" xfId="0" applyFont="1" applyBorder="1" applyAlignment="1">
      <alignment horizontal="center"/>
    </xf>
    <xf numFmtId="0" fontId="1" fillId="0" borderId="107" xfId="0" applyFont="1" applyBorder="1" applyAlignment="1">
      <alignment horizontal="center" vertical="center" shrinkToFit="1"/>
    </xf>
    <xf numFmtId="0" fontId="1" fillId="0" borderId="114" xfId="0" applyFont="1" applyBorder="1" applyAlignment="1">
      <alignment horizontal="center" vertical="center" shrinkToFit="1"/>
    </xf>
    <xf numFmtId="0" fontId="1" fillId="11" borderId="93" xfId="0" applyFont="1" applyFill="1" applyBorder="1" applyAlignment="1">
      <alignment horizontal="center" vertical="center"/>
    </xf>
    <xf numFmtId="0" fontId="1" fillId="11" borderId="94" xfId="0" applyFont="1" applyFill="1" applyBorder="1" applyAlignment="1">
      <alignment horizontal="center" vertical="center"/>
    </xf>
    <xf numFmtId="0" fontId="1" fillId="11" borderId="94" xfId="0" quotePrefix="1" applyFont="1" applyFill="1" applyBorder="1" applyAlignment="1">
      <alignment horizontal="center" vertical="center"/>
    </xf>
    <xf numFmtId="9" fontId="1" fillId="11" borderId="94" xfId="0" applyNumberFormat="1" applyFont="1" applyFill="1" applyBorder="1" applyAlignment="1">
      <alignment horizontal="center" vertical="center"/>
    </xf>
    <xf numFmtId="164" fontId="1" fillId="11" borderId="94" xfId="0" applyNumberFormat="1" applyFont="1" applyFill="1" applyBorder="1" applyAlignment="1">
      <alignment horizontal="center" vertical="center"/>
    </xf>
    <xf numFmtId="164" fontId="4" fillId="11" borderId="130" xfId="0" applyNumberFormat="1" applyFont="1" applyFill="1" applyBorder="1" applyAlignment="1">
      <alignment horizontal="centerContinuous" vertical="center"/>
    </xf>
    <xf numFmtId="164" fontId="1" fillId="11" borderId="131" xfId="0" applyNumberFormat="1" applyFont="1" applyFill="1" applyBorder="1" applyAlignment="1">
      <alignment horizontal="centerContinuous" vertical="center"/>
    </xf>
    <xf numFmtId="0" fontId="4" fillId="11" borderId="132" xfId="0" quotePrefix="1" applyFont="1" applyFill="1" applyBorder="1" applyAlignment="1">
      <alignment horizontal="centerContinuous" vertical="center"/>
    </xf>
    <xf numFmtId="1" fontId="1" fillId="11" borderId="92" xfId="0" applyNumberFormat="1" applyFont="1" applyFill="1" applyBorder="1" applyAlignment="1">
      <alignment horizontal="center" vertical="center"/>
    </xf>
    <xf numFmtId="1" fontId="6" fillId="0" borderId="26" xfId="0" applyNumberFormat="1" applyFont="1" applyBorder="1" applyAlignment="1">
      <alignment horizontal="center" vertical="center"/>
    </xf>
    <xf numFmtId="1" fontId="6" fillId="0" borderId="3" xfId="0" applyNumberFormat="1" applyFont="1" applyBorder="1" applyAlignment="1">
      <alignment horizontal="centerContinuous" vertical="center"/>
    </xf>
    <xf numFmtId="1" fontId="1" fillId="0" borderId="77" xfId="0" applyNumberFormat="1" applyFont="1" applyBorder="1" applyAlignment="1">
      <alignment horizontal="centerContinuous" vertical="center"/>
    </xf>
    <xf numFmtId="37" fontId="6" fillId="0" borderId="12" xfId="9" applyNumberFormat="1" applyFont="1" applyFill="1" applyBorder="1" applyAlignment="1">
      <alignment horizontal="centerContinuous" vertical="center"/>
    </xf>
    <xf numFmtId="0" fontId="6" fillId="0" borderId="105" xfId="0" applyFont="1" applyBorder="1" applyAlignment="1">
      <alignment horizontal="centerContinuous" vertical="center"/>
    </xf>
    <xf numFmtId="0" fontId="25" fillId="0" borderId="15" xfId="0" applyFont="1" applyBorder="1" applyAlignment="1">
      <alignment horizontal="center" vertical="center"/>
    </xf>
    <xf numFmtId="49" fontId="25" fillId="0" borderId="15"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22" xfId="0" applyNumberFormat="1" applyFont="1" applyBorder="1" applyAlignment="1">
      <alignment horizontal="center" vertical="center"/>
    </xf>
    <xf numFmtId="0" fontId="6" fillId="0" borderId="55" xfId="0" quotePrefix="1" applyFont="1" applyBorder="1" applyAlignment="1">
      <alignment horizontal="centerContinuous" vertical="center"/>
    </xf>
    <xf numFmtId="0" fontId="9" fillId="0" borderId="78" xfId="0" applyFont="1" applyBorder="1" applyAlignment="1">
      <alignment horizontal="centerContinuous" vertical="center" shrinkToFit="1"/>
    </xf>
    <xf numFmtId="0" fontId="57" fillId="7" borderId="61" xfId="0" applyFont="1" applyFill="1" applyBorder="1" applyAlignment="1">
      <alignment horizontal="center" vertical="center"/>
    </xf>
    <xf numFmtId="0" fontId="57" fillId="7" borderId="85" xfId="0" applyFont="1" applyFill="1" applyBorder="1" applyAlignment="1">
      <alignment horizontal="centerContinuous" vertical="center"/>
    </xf>
    <xf numFmtId="0" fontId="57" fillId="7" borderId="84" xfId="0" applyFont="1" applyFill="1" applyBorder="1" applyAlignment="1">
      <alignment horizontal="centerContinuous" vertical="center"/>
    </xf>
    <xf numFmtId="0" fontId="57" fillId="7" borderId="86" xfId="0" applyFont="1" applyFill="1" applyBorder="1" applyAlignment="1">
      <alignment horizontal="centerContinuous" vertical="center"/>
    </xf>
    <xf numFmtId="0" fontId="3" fillId="0" borderId="16" xfId="0" applyFont="1" applyBorder="1" applyAlignment="1">
      <alignment horizontal="center" vertical="center"/>
    </xf>
    <xf numFmtId="0" fontId="1" fillId="0" borderId="9" xfId="0" applyFont="1" applyBorder="1" applyAlignment="1">
      <alignment horizontal="centerContinuous" vertical="center" wrapText="1"/>
    </xf>
    <xf numFmtId="0" fontId="3" fillId="0" borderId="48" xfId="0" applyFont="1" applyBorder="1" applyAlignment="1">
      <alignment horizontal="centerContinuous" vertical="center" wrapText="1"/>
    </xf>
    <xf numFmtId="0" fontId="1" fillId="0" borderId="10" xfId="0" applyFont="1" applyBorder="1" applyAlignment="1">
      <alignment horizontal="centerContinuous" vertical="center" wrapText="1"/>
    </xf>
    <xf numFmtId="0" fontId="17" fillId="0" borderId="31" xfId="0" applyFont="1" applyBorder="1" applyAlignment="1">
      <alignment horizontal="centerContinuous" vertical="center" shrinkToFit="1"/>
    </xf>
    <xf numFmtId="0" fontId="6" fillId="0" borderId="79" xfId="0" applyFont="1" applyBorder="1" applyAlignment="1">
      <alignment horizontal="centerContinuous" vertical="center"/>
    </xf>
    <xf numFmtId="0" fontId="48" fillId="0" borderId="17" xfId="0" applyFont="1" applyBorder="1" applyAlignment="1">
      <alignment horizontal="center" vertical="center"/>
    </xf>
    <xf numFmtId="0" fontId="48" fillId="0" borderId="96" xfId="0" applyFont="1" applyBorder="1" applyAlignment="1">
      <alignment horizontal="center" vertical="center"/>
    </xf>
    <xf numFmtId="0" fontId="48" fillId="0" borderId="97" xfId="0" applyFont="1" applyBorder="1" applyAlignment="1">
      <alignment horizontal="center" vertical="center"/>
    </xf>
    <xf numFmtId="0" fontId="48" fillId="0" borderId="98" xfId="0" applyFont="1" applyBorder="1" applyAlignment="1">
      <alignment horizontal="center" vertical="center"/>
    </xf>
    <xf numFmtId="0" fontId="6" fillId="0" borderId="55" xfId="0" applyFont="1" applyBorder="1" applyAlignment="1">
      <alignment horizontal="centerContinuous" vertical="center"/>
    </xf>
    <xf numFmtId="0" fontId="0" fillId="0" borderId="99" xfId="0" applyBorder="1" applyAlignment="1">
      <alignment horizontal="center" vertical="center"/>
    </xf>
    <xf numFmtId="1" fontId="0" fillId="0" borderId="100" xfId="0" applyNumberFormat="1" applyBorder="1" applyAlignment="1">
      <alignment horizontal="center" vertical="center"/>
    </xf>
    <xf numFmtId="0" fontId="0" fillId="0" borderId="36" xfId="0" applyBorder="1" applyAlignment="1">
      <alignment horizontal="center" vertical="center"/>
    </xf>
    <xf numFmtId="0" fontId="0" fillId="8" borderId="46" xfId="0" applyFill="1" applyBorder="1" applyAlignment="1">
      <alignment horizontal="center" vertical="center"/>
    </xf>
    <xf numFmtId="0" fontId="0" fillId="8" borderId="45" xfId="0" applyFill="1" applyBorder="1" applyAlignment="1">
      <alignment horizontal="center" vertical="center"/>
    </xf>
    <xf numFmtId="0" fontId="0" fillId="0" borderId="101" xfId="0" applyBorder="1" applyAlignment="1">
      <alignment horizontal="center" vertical="center"/>
    </xf>
    <xf numFmtId="1" fontId="0" fillId="0" borderId="102" xfId="0" applyNumberFormat="1" applyBorder="1" applyAlignment="1">
      <alignment horizontal="center" vertical="center"/>
    </xf>
    <xf numFmtId="0" fontId="0" fillId="8" borderId="36" xfId="0" applyFill="1" applyBorder="1" applyAlignment="1">
      <alignment horizontal="center" vertical="center"/>
    </xf>
    <xf numFmtId="0" fontId="0" fillId="8" borderId="38" xfId="0" applyFill="1" applyBorder="1" applyAlignment="1">
      <alignment horizontal="center" vertical="center"/>
    </xf>
    <xf numFmtId="0" fontId="26" fillId="0" borderId="49" xfId="0" quotePrefix="1" applyFont="1" applyBorder="1" applyAlignment="1">
      <alignment horizontal="center" vertical="center" shrinkToFit="1"/>
    </xf>
    <xf numFmtId="0" fontId="0" fillId="0" borderId="103" xfId="0" applyBorder="1" applyAlignment="1">
      <alignment horizontal="center" vertical="center"/>
    </xf>
    <xf numFmtId="1" fontId="0" fillId="0" borderId="104" xfId="0" applyNumberFormat="1" applyBorder="1" applyAlignment="1">
      <alignment horizontal="center" vertical="center"/>
    </xf>
    <xf numFmtId="0" fontId="0" fillId="0" borderId="42" xfId="0" applyBorder="1" applyAlignment="1">
      <alignment horizontal="center" vertical="center"/>
    </xf>
    <xf numFmtId="0" fontId="45" fillId="0" borderId="88" xfId="0" applyFont="1" applyBorder="1" applyAlignment="1">
      <alignment horizontal="centerContinuous" vertical="top" shrinkToFit="1"/>
    </xf>
    <xf numFmtId="49" fontId="16" fillId="0" borderId="29" xfId="0" applyNumberFormat="1" applyFont="1" applyBorder="1" applyAlignment="1">
      <alignment horizontal="center" shrinkToFit="1"/>
    </xf>
    <xf numFmtId="0" fontId="54" fillId="0" borderId="31" xfId="0" applyFont="1" applyBorder="1" applyAlignment="1">
      <alignment horizontal="centerContinuous" vertical="center"/>
    </xf>
    <xf numFmtId="0" fontId="6" fillId="11" borderId="3" xfId="0" quotePrefix="1" applyFont="1" applyFill="1" applyBorder="1" applyAlignment="1">
      <alignment horizontal="center" vertical="center"/>
    </xf>
    <xf numFmtId="0" fontId="8" fillId="0" borderId="3" xfId="0" quotePrefix="1" applyFont="1" applyBorder="1" applyAlignment="1">
      <alignment horizontal="center" vertical="center"/>
    </xf>
    <xf numFmtId="0" fontId="6" fillId="0" borderId="22" xfId="0" quotePrefix="1" applyFont="1" applyBorder="1" applyAlignment="1">
      <alignment horizontal="center" vertical="center"/>
    </xf>
    <xf numFmtId="0" fontId="1" fillId="0" borderId="133" xfId="0" applyFont="1" applyBorder="1" applyAlignment="1">
      <alignment horizontal="center" vertical="center" shrinkToFit="1"/>
    </xf>
    <xf numFmtId="0" fontId="1" fillId="0" borderId="134" xfId="0" applyFont="1" applyBorder="1" applyAlignment="1">
      <alignment horizontal="center" vertical="center"/>
    </xf>
    <xf numFmtId="0" fontId="1" fillId="0" borderId="134" xfId="0" quotePrefix="1" applyFont="1" applyBorder="1" applyAlignment="1">
      <alignment horizontal="center" vertical="center"/>
    </xf>
    <xf numFmtId="9" fontId="1" fillId="0" borderId="134" xfId="0" applyNumberFormat="1" applyFont="1" applyBorder="1" applyAlignment="1">
      <alignment horizontal="center" vertical="center"/>
    </xf>
    <xf numFmtId="49" fontId="1" fillId="0" borderId="134" xfId="0" quotePrefix="1" applyNumberFormat="1" applyFont="1" applyBorder="1" applyAlignment="1">
      <alignment horizontal="center" vertical="center"/>
    </xf>
    <xf numFmtId="164" fontId="1" fillId="0" borderId="134" xfId="0" applyNumberFormat="1" applyFont="1" applyBorder="1" applyAlignment="1">
      <alignment horizontal="center" vertical="center"/>
    </xf>
    <xf numFmtId="164" fontId="1" fillId="0" borderId="135" xfId="0" applyNumberFormat="1" applyFont="1" applyBorder="1" applyAlignment="1">
      <alignment horizontal="centerContinuous" vertical="center"/>
    </xf>
    <xf numFmtId="164" fontId="1" fillId="0" borderId="136" xfId="0" applyNumberFormat="1" applyFont="1" applyBorder="1" applyAlignment="1">
      <alignment horizontal="centerContinuous" vertical="center"/>
    </xf>
    <xf numFmtId="0" fontId="1" fillId="0" borderId="137" xfId="0" quotePrefix="1" applyFont="1" applyBorder="1" applyAlignment="1">
      <alignment horizontal="centerContinuous" vertical="center"/>
    </xf>
    <xf numFmtId="0" fontId="1" fillId="0" borderId="37" xfId="0" applyFont="1" applyBorder="1" applyAlignment="1">
      <alignment horizontal="left" vertical="center"/>
    </xf>
    <xf numFmtId="9" fontId="4" fillId="0" borderId="0" xfId="2" applyFont="1" applyBorder="1" applyAlignment="1">
      <alignment horizontal="center" vertical="center"/>
    </xf>
    <xf numFmtId="0" fontId="40" fillId="0" borderId="23" xfId="0" applyFont="1" applyBorder="1" applyAlignment="1">
      <alignment horizontal="center" vertical="center"/>
    </xf>
    <xf numFmtId="1" fontId="6" fillId="0" borderId="23"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42" fillId="0" borderId="59" xfId="0" applyFont="1" applyBorder="1" applyAlignment="1">
      <alignment horizontal="center" vertical="center"/>
    </xf>
    <xf numFmtId="1" fontId="6" fillId="0" borderId="59"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22" fillId="6" borderId="23" xfId="0" applyNumberFormat="1" applyFont="1" applyFill="1" applyBorder="1" applyAlignment="1">
      <alignment horizontal="center" vertical="center"/>
    </xf>
    <xf numFmtId="0" fontId="22" fillId="6" borderId="24" xfId="0" applyFont="1" applyFill="1" applyBorder="1" applyAlignment="1">
      <alignment horizontal="center" vertical="center"/>
    </xf>
    <xf numFmtId="0" fontId="13" fillId="6" borderId="24" xfId="0" applyFont="1" applyFill="1" applyBorder="1" applyAlignment="1">
      <alignment horizontal="center" vertical="center"/>
    </xf>
    <xf numFmtId="1" fontId="6" fillId="0" borderId="13" xfId="0" applyNumberFormat="1" applyFont="1" applyBorder="1" applyAlignment="1">
      <alignment horizontal="center" vertical="center"/>
    </xf>
    <xf numFmtId="1" fontId="1" fillId="0" borderId="39" xfId="0" applyNumberFormat="1" applyFont="1" applyBorder="1" applyAlignment="1">
      <alignment horizontal="center" vertical="center" shrinkToFit="1"/>
    </xf>
    <xf numFmtId="0" fontId="64" fillId="0" borderId="0" xfId="0" applyFont="1" applyAlignment="1">
      <alignment horizontal="centerContinuous" vertical="center" wrapText="1"/>
    </xf>
    <xf numFmtId="0" fontId="66" fillId="0" borderId="101" xfId="0" applyFont="1" applyBorder="1" applyAlignment="1">
      <alignment horizontal="center" vertical="center"/>
    </xf>
    <xf numFmtId="1" fontId="66" fillId="0" borderId="102" xfId="0" applyNumberFormat="1" applyFont="1" applyBorder="1" applyAlignment="1">
      <alignment horizontal="center" vertical="center"/>
    </xf>
    <xf numFmtId="0" fontId="0" fillId="8" borderId="40" xfId="0" applyFill="1"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67" fillId="8" borderId="40" xfId="0" applyFont="1" applyFill="1" applyBorder="1" applyAlignment="1">
      <alignment horizontal="center" vertical="center"/>
    </xf>
    <xf numFmtId="1" fontId="0" fillId="0" borderId="36" xfId="0" applyNumberFormat="1" applyBorder="1" applyAlignment="1">
      <alignment horizontal="center" vertical="center"/>
    </xf>
    <xf numFmtId="1" fontId="66" fillId="0" borderId="36" xfId="0" applyNumberFormat="1" applyFont="1" applyBorder="1" applyAlignment="1">
      <alignment horizontal="center" vertical="center"/>
    </xf>
    <xf numFmtId="1" fontId="0" fillId="0" borderId="42" xfId="0" applyNumberFormat="1" applyBorder="1" applyAlignment="1">
      <alignment horizontal="center" vertical="center"/>
    </xf>
    <xf numFmtId="0" fontId="1" fillId="0" borderId="35" xfId="0" applyFont="1" applyBorder="1" applyAlignment="1">
      <alignment horizontal="center" shrinkToFit="1"/>
    </xf>
    <xf numFmtId="1" fontId="1" fillId="0" borderId="42" xfId="0" applyNumberFormat="1" applyFont="1" applyBorder="1" applyAlignment="1">
      <alignment horizontal="center" vertical="center" shrinkToFit="1"/>
    </xf>
    <xf numFmtId="0" fontId="1" fillId="0" borderId="44" xfId="0" applyFont="1" applyBorder="1" applyAlignment="1">
      <alignment horizontal="left" vertical="center" shrinkToFit="1"/>
    </xf>
    <xf numFmtId="0" fontId="1" fillId="0" borderId="138" xfId="0" applyFont="1" applyBorder="1" applyAlignment="1">
      <alignment horizontal="centerContinuous" vertical="center" shrinkToFit="1"/>
    </xf>
    <xf numFmtId="0" fontId="20" fillId="0" borderId="131" xfId="0" applyFont="1" applyBorder="1" applyAlignment="1">
      <alignment horizontal="centerContinuous" vertical="center"/>
    </xf>
    <xf numFmtId="0" fontId="20" fillId="0" borderId="140" xfId="0" applyFont="1" applyBorder="1" applyAlignment="1">
      <alignment horizontal="centerContinuous" vertical="center"/>
    </xf>
    <xf numFmtId="0" fontId="1" fillId="0" borderId="139" xfId="0" applyFont="1" applyBorder="1" applyAlignment="1">
      <alignment horizontal="center" vertical="center"/>
    </xf>
    <xf numFmtId="0" fontId="1" fillId="0" borderId="39" xfId="0" applyFont="1" applyBorder="1" applyAlignment="1">
      <alignment horizontal="center" vertical="center"/>
    </xf>
    <xf numFmtId="0" fontId="1" fillId="0" borderId="132" xfId="0" applyFont="1" applyBorder="1" applyAlignment="1">
      <alignment horizontal="centerContinuous" vertical="center"/>
    </xf>
    <xf numFmtId="164" fontId="4" fillId="0" borderId="111" xfId="0" applyNumberFormat="1" applyFont="1" applyBorder="1" applyAlignment="1">
      <alignment horizontal="centerContinuous" vertical="center"/>
    </xf>
    <xf numFmtId="164" fontId="4" fillId="11" borderId="131" xfId="0" applyNumberFormat="1" applyFont="1" applyFill="1" applyBorder="1" applyAlignment="1">
      <alignment horizontal="centerContinuous" vertical="center"/>
    </xf>
    <xf numFmtId="164" fontId="1" fillId="10" borderId="73" xfId="0" applyNumberFormat="1" applyFont="1" applyFill="1" applyBorder="1" applyAlignment="1">
      <alignment horizontal="centerContinuous" vertical="center"/>
    </xf>
    <xf numFmtId="0" fontId="1" fillId="0" borderId="115" xfId="0" quotePrefix="1" applyFont="1" applyBorder="1" applyAlignment="1">
      <alignment horizontal="center" vertical="center"/>
    </xf>
    <xf numFmtId="0" fontId="63" fillId="0" borderId="0" xfId="0" applyFont="1" applyAlignment="1">
      <alignment vertical="center"/>
    </xf>
    <xf numFmtId="0" fontId="6" fillId="8" borderId="24" xfId="0" applyFont="1" applyFill="1" applyBorder="1" applyAlignment="1">
      <alignment horizontal="center" vertical="center"/>
    </xf>
    <xf numFmtId="0" fontId="24" fillId="0" borderId="28" xfId="0" applyFont="1" applyBorder="1" applyAlignment="1">
      <alignment horizontal="centerContinuous" vertical="center" wrapText="1"/>
    </xf>
    <xf numFmtId="0" fontId="6" fillId="0" borderId="49" xfId="0" quotePrefix="1" applyFont="1" applyBorder="1" applyAlignment="1">
      <alignment horizontal="centerContinuous" vertical="center"/>
    </xf>
    <xf numFmtId="1" fontId="6" fillId="0" borderId="62" xfId="0" applyNumberFormat="1" applyFont="1" applyBorder="1" applyAlignment="1">
      <alignment horizontal="centerContinuous" vertical="center"/>
    </xf>
    <xf numFmtId="1" fontId="1" fillId="0" borderId="63" xfId="0" applyNumberFormat="1" applyFont="1" applyBorder="1" applyAlignment="1">
      <alignment horizontal="centerContinuous" vertical="center"/>
    </xf>
    <xf numFmtId="0" fontId="6" fillId="0" borderId="15" xfId="0" applyFont="1" applyBorder="1" applyAlignment="1">
      <alignment horizontal="center" vertical="center"/>
    </xf>
    <xf numFmtId="0" fontId="6" fillId="0" borderId="25" xfId="0" quotePrefix="1" applyFont="1" applyBorder="1" applyAlignment="1">
      <alignment horizontal="center" vertical="center"/>
    </xf>
    <xf numFmtId="0" fontId="42" fillId="11" borderId="32" xfId="0" applyFont="1" applyFill="1" applyBorder="1" applyAlignment="1">
      <alignment horizontal="center" vertical="center"/>
    </xf>
    <xf numFmtId="0" fontId="42" fillId="11" borderId="23" xfId="0" applyFont="1" applyFill="1" applyBorder="1" applyAlignment="1">
      <alignment horizontal="center" vertical="center"/>
    </xf>
    <xf numFmtId="0" fontId="42" fillId="11" borderId="59" xfId="0" applyFont="1" applyFill="1" applyBorder="1" applyAlignment="1">
      <alignment horizontal="center" vertical="center"/>
    </xf>
    <xf numFmtId="0" fontId="42" fillId="11" borderId="24" xfId="0" applyFont="1" applyFill="1" applyBorder="1" applyAlignment="1">
      <alignment horizontal="center" vertical="center"/>
    </xf>
    <xf numFmtId="0" fontId="42" fillId="11" borderId="47" xfId="0" applyFont="1" applyFill="1" applyBorder="1" applyAlignment="1">
      <alignment horizontal="center" vertical="center"/>
    </xf>
    <xf numFmtId="0" fontId="1" fillId="8" borderId="121" xfId="0" applyFont="1" applyFill="1" applyBorder="1" applyAlignment="1">
      <alignment horizontal="center" vertical="center" wrapText="1"/>
    </xf>
    <xf numFmtId="0" fontId="1" fillId="8" borderId="122" xfId="0" applyFont="1" applyFill="1" applyBorder="1" applyAlignment="1">
      <alignment horizontal="center" vertical="center" wrapText="1"/>
    </xf>
    <xf numFmtId="0" fontId="1" fillId="8" borderId="102"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57" fillId="8" borderId="124" xfId="0" applyFont="1" applyFill="1" applyBorder="1" applyAlignment="1">
      <alignment horizontal="center" vertical="center" wrapText="1"/>
    </xf>
    <xf numFmtId="0" fontId="57" fillId="8" borderId="125" xfId="0" applyFont="1" applyFill="1" applyBorder="1" applyAlignment="1">
      <alignment horizontal="center" vertical="center" wrapText="1"/>
    </xf>
    <xf numFmtId="49" fontId="1" fillId="8" borderId="100" xfId="0" applyNumberFormat="1" applyFont="1" applyFill="1" applyBorder="1" applyAlignment="1">
      <alignment horizontal="center" vertical="center" wrapText="1"/>
    </xf>
    <xf numFmtId="49" fontId="1" fillId="8" borderId="45" xfId="0" applyNumberFormat="1" applyFont="1" applyFill="1" applyBorder="1" applyAlignment="1">
      <alignment horizontal="center" vertical="center" wrapText="1"/>
    </xf>
    <xf numFmtId="0" fontId="57" fillId="8" borderId="104" xfId="0" applyFont="1" applyFill="1" applyBorder="1" applyAlignment="1">
      <alignment horizontal="center" vertical="center" wrapText="1"/>
    </xf>
    <xf numFmtId="0" fontId="57" fillId="8" borderId="44" xfId="0" applyFont="1" applyFill="1" applyBorder="1" applyAlignment="1">
      <alignment horizontal="center" vertical="center" wrapText="1"/>
    </xf>
    <xf numFmtId="0" fontId="37" fillId="8" borderId="31" xfId="0" applyFont="1" applyFill="1" applyBorder="1" applyAlignment="1">
      <alignment horizontal="centerContinuous" vertical="center"/>
    </xf>
    <xf numFmtId="0" fontId="54" fillId="8" borderId="31" xfId="0" applyFont="1" applyFill="1" applyBorder="1" applyAlignment="1">
      <alignment horizontal="center" vertical="center" shrinkToFit="1"/>
    </xf>
    <xf numFmtId="0" fontId="54" fillId="8" borderId="49" xfId="0" applyFont="1" applyFill="1" applyBorder="1" applyAlignment="1">
      <alignment horizontal="center" vertical="center" shrinkToFit="1"/>
    </xf>
    <xf numFmtId="0" fontId="59" fillId="8" borderId="1" xfId="5" applyFont="1" applyFill="1" applyBorder="1" applyAlignment="1">
      <alignment horizontal="center" shrinkToFit="1"/>
    </xf>
    <xf numFmtId="0" fontId="6" fillId="8" borderId="23" xfId="5" applyFont="1" applyFill="1" applyBorder="1" applyAlignment="1">
      <alignment horizontal="center" wrapText="1"/>
    </xf>
    <xf numFmtId="9" fontId="6" fillId="8" borderId="23" xfId="2" applyFont="1" applyFill="1" applyBorder="1" applyAlignment="1">
      <alignment horizontal="center" shrinkToFit="1"/>
    </xf>
    <xf numFmtId="9" fontId="6" fillId="8" borderId="24" xfId="2" applyFont="1" applyFill="1" applyBorder="1" applyAlignment="1">
      <alignment horizontal="center" shrinkToFit="1"/>
    </xf>
    <xf numFmtId="0" fontId="6" fillId="8" borderId="24" xfId="2" applyNumberFormat="1" applyFont="1" applyFill="1" applyBorder="1" applyAlignment="1">
      <alignment horizontal="center" shrinkToFit="1"/>
    </xf>
    <xf numFmtId="0" fontId="6" fillId="8" borderId="24" xfId="2" applyNumberFormat="1" applyFont="1" applyFill="1" applyBorder="1" applyAlignment="1">
      <alignment horizontal="center" vertical="center" shrinkToFit="1"/>
    </xf>
    <xf numFmtId="0" fontId="6" fillId="8" borderId="25" xfId="0" applyFont="1" applyFill="1" applyBorder="1" applyAlignment="1">
      <alignment horizontal="center" vertical="center" wrapText="1"/>
    </xf>
    <xf numFmtId="0" fontId="59" fillId="8" borderId="58" xfId="5" applyFont="1" applyFill="1" applyBorder="1" applyAlignment="1">
      <alignment horizontal="center" shrinkToFit="1"/>
    </xf>
    <xf numFmtId="0" fontId="6" fillId="8" borderId="59" xfId="5" applyFont="1" applyFill="1" applyBorder="1" applyAlignment="1">
      <alignment horizontal="center" wrapText="1"/>
    </xf>
    <xf numFmtId="9" fontId="6" fillId="8" borderId="59" xfId="2" applyFont="1" applyFill="1" applyBorder="1" applyAlignment="1">
      <alignment horizontal="center" shrinkToFit="1"/>
    </xf>
    <xf numFmtId="9" fontId="6" fillId="8" borderId="15" xfId="2" applyFont="1" applyFill="1" applyBorder="1" applyAlignment="1">
      <alignment horizontal="center" shrinkToFit="1"/>
    </xf>
    <xf numFmtId="0" fontId="6" fillId="8" borderId="15" xfId="2" applyNumberFormat="1" applyFont="1" applyFill="1" applyBorder="1" applyAlignment="1">
      <alignment horizontal="center" shrinkToFit="1"/>
    </xf>
    <xf numFmtId="0" fontId="6" fillId="8" borderId="15" xfId="2" applyNumberFormat="1" applyFont="1" applyFill="1" applyBorder="1" applyAlignment="1">
      <alignment horizontal="center" vertical="center" shrinkToFit="1"/>
    </xf>
    <xf numFmtId="0" fontId="6" fillId="8" borderId="29" xfId="0" applyFont="1" applyFill="1" applyBorder="1" applyAlignment="1">
      <alignment horizontal="center" vertical="center" wrapText="1"/>
    </xf>
    <xf numFmtId="9" fontId="6" fillId="8" borderId="23" xfId="2" applyFont="1" applyFill="1" applyBorder="1" applyAlignment="1">
      <alignment horizontal="center" vertical="center" shrinkToFit="1"/>
    </xf>
    <xf numFmtId="9" fontId="6" fillId="8" borderId="24" xfId="2" applyFont="1" applyFill="1" applyBorder="1" applyAlignment="1">
      <alignment horizontal="center" vertical="center" shrinkToFit="1"/>
    </xf>
    <xf numFmtId="0" fontId="6" fillId="8" borderId="24" xfId="0" applyFont="1" applyFill="1" applyBorder="1" applyAlignment="1">
      <alignment horizontal="center" vertical="center" shrinkToFit="1"/>
    </xf>
    <xf numFmtId="0" fontId="59" fillId="8" borderId="8" xfId="5" applyFont="1" applyFill="1" applyBorder="1" applyAlignment="1">
      <alignment horizontal="center" shrinkToFit="1"/>
    </xf>
    <xf numFmtId="0" fontId="6" fillId="8" borderId="47" xfId="5" applyFont="1" applyFill="1" applyBorder="1" applyAlignment="1">
      <alignment horizontal="center" wrapText="1"/>
    </xf>
    <xf numFmtId="9" fontId="6" fillId="8" borderId="47" xfId="2" applyFont="1" applyFill="1" applyBorder="1" applyAlignment="1">
      <alignment horizontal="center" vertical="center" shrinkToFit="1"/>
    </xf>
    <xf numFmtId="9" fontId="6" fillId="8" borderId="48" xfId="2" applyFont="1" applyFill="1" applyBorder="1" applyAlignment="1">
      <alignment horizontal="center" vertical="center" shrinkToFit="1"/>
    </xf>
    <xf numFmtId="0" fontId="6" fillId="8" borderId="48" xfId="2" applyNumberFormat="1" applyFont="1" applyFill="1" applyBorder="1" applyAlignment="1">
      <alignment horizontal="center" vertical="center" shrinkToFit="1"/>
    </xf>
    <xf numFmtId="0" fontId="6" fillId="8" borderId="30" xfId="0" applyFont="1" applyFill="1" applyBorder="1" applyAlignment="1">
      <alignment horizontal="center" vertical="center" wrapText="1"/>
    </xf>
  </cellXfs>
  <cellStyles count="10">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9">
    <dxf>
      <font>
        <color rgb="FFFF0000"/>
      </font>
    </dxf>
    <dxf>
      <fill>
        <patternFill>
          <bgColor rgb="FFFF0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9FF99"/>
        </patternFill>
      </fill>
    </dxf>
    <dxf>
      <fill>
        <gradientFill type="path" left="0.5" right="0.5" top="0.5" bottom="0.5">
          <stop position="0">
            <color rgb="FFFF0000"/>
          </stop>
          <stop position="1">
            <color rgb="FFFFC000"/>
          </stop>
        </gradient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9BEEB0CC-2CD9-41A1-8693-2A201798A1CD}"/>
  </tableStyles>
  <colors>
    <mruColors>
      <color rgb="FF9966FF"/>
      <color rgb="FF0000FF"/>
      <color rgb="FF00FF00"/>
      <color rgb="FF00FFFF"/>
      <color rgb="FFCCFFCC"/>
      <color rgb="FF9933FF"/>
      <color rgb="FFFF6600"/>
      <color rgb="FF66FF33"/>
      <color rgb="FF99FF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15</xdr:row>
      <xdr:rowOff>7620</xdr:rowOff>
    </xdr:from>
    <xdr:to>
      <xdr:col>6</xdr:col>
      <xdr:colOff>982980</xdr:colOff>
      <xdr:row>15</xdr:row>
      <xdr:rowOff>249554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206240" y="3413760"/>
          <a:ext cx="1958340" cy="24193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0</xdr:colOff>
      <xdr:row>12</xdr:row>
      <xdr:rowOff>175260</xdr:rowOff>
    </xdr:from>
    <xdr:to>
      <xdr:col>2</xdr:col>
      <xdr:colOff>2209800</xdr:colOff>
      <xdr:row>29</xdr:row>
      <xdr:rowOff>7620</xdr:rowOff>
    </xdr:to>
    <xdr:sp macro="" textlink="">
      <xdr:nvSpPr>
        <xdr:cNvPr id="2" name="TextBox 1">
          <a:extLst>
            <a:ext uri="{FF2B5EF4-FFF2-40B4-BE49-F238E27FC236}">
              <a16:creationId xmlns:a16="http://schemas.microsoft.com/office/drawing/2014/main" id="{72F8CE74-429B-4AB2-9555-884F4AB96C83}"/>
            </a:ext>
          </a:extLst>
        </xdr:cNvPr>
        <xdr:cNvSpPr txBox="1"/>
      </xdr:nvSpPr>
      <xdr:spPr>
        <a:xfrm>
          <a:off x="2362200" y="3756660"/>
          <a:ext cx="2209800" cy="3482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These Stack</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Blade of Blood </a:t>
          </a:r>
          <a:r>
            <a:rPr lang="en-US" sz="1100">
              <a:solidFill>
                <a:schemeClr val="dk1"/>
              </a:solidFill>
              <a:effectLst/>
              <a:latin typeface="+mn-lt"/>
              <a:ea typeface="+mn-ea"/>
              <a:cs typeface="+mn-cs"/>
            </a:rPr>
            <a:t>is a </a:t>
          </a:r>
          <a:r>
            <a:rPr lang="en-US" sz="1100" b="1">
              <a:solidFill>
                <a:schemeClr val="dk1"/>
              </a:solidFill>
              <a:effectLst/>
              <a:latin typeface="+mn-lt"/>
              <a:ea typeface="+mn-ea"/>
              <a:cs typeface="+mn-cs"/>
            </a:rPr>
            <a:t>swift</a:t>
          </a:r>
          <a:r>
            <a:rPr lang="en-US" sz="1100">
              <a:solidFill>
                <a:schemeClr val="dk1"/>
              </a:solidFill>
              <a:effectLst/>
              <a:latin typeface="+mn-lt"/>
              <a:ea typeface="+mn-ea"/>
              <a:cs typeface="+mn-cs"/>
            </a:rPr>
            <a:t> action cast, and adds either 1d6 or 3d6 damage to a single attack.</a:t>
          </a:r>
          <a:endParaRPr lang="en-US">
            <a:effectLst/>
          </a:endParaRPr>
        </a:p>
        <a:p>
          <a:br>
            <a:rPr lang="en-US" sz="1100">
              <a:solidFill>
                <a:schemeClr val="dk1"/>
              </a:solidFill>
              <a:effectLst/>
              <a:latin typeface="+mn-lt"/>
              <a:ea typeface="+mn-ea"/>
              <a:cs typeface="+mn-cs"/>
            </a:rPr>
          </a:br>
          <a:r>
            <a:rPr lang="en-US" sz="1100" b="1">
              <a:solidFill>
                <a:schemeClr val="dk1"/>
              </a:solidFill>
              <a:effectLst/>
              <a:latin typeface="+mn-lt"/>
              <a:ea typeface="+mn-ea"/>
              <a:cs typeface="+mn-cs"/>
            </a:rPr>
            <a:t>Arcane Channeling </a:t>
          </a:r>
          <a:r>
            <a:rPr lang="en-US" sz="1100">
              <a:solidFill>
                <a:schemeClr val="dk1"/>
              </a:solidFill>
              <a:effectLst/>
              <a:latin typeface="+mn-lt"/>
              <a:ea typeface="+mn-ea"/>
              <a:cs typeface="+mn-cs"/>
            </a:rPr>
            <a:t>is a </a:t>
          </a:r>
          <a:r>
            <a:rPr lang="en-US" sz="1100" b="1">
              <a:solidFill>
                <a:schemeClr val="dk1"/>
              </a:solidFill>
              <a:effectLst/>
              <a:latin typeface="+mn-lt"/>
              <a:ea typeface="+mn-ea"/>
              <a:cs typeface="+mn-cs"/>
            </a:rPr>
            <a:t>standard</a:t>
          </a:r>
          <a:r>
            <a:rPr lang="en-US" sz="1100">
              <a:solidFill>
                <a:schemeClr val="dk1"/>
              </a:solidFill>
              <a:effectLst/>
              <a:latin typeface="+mn-lt"/>
              <a:ea typeface="+mn-ea"/>
              <a:cs typeface="+mn-cs"/>
            </a:rPr>
            <a:t> action, and lets a standard action spell get used through the weapon.</a:t>
          </a:r>
          <a:endParaRPr lang="en-US">
            <a:effectLst/>
          </a:endParaRPr>
        </a:p>
        <a:p>
          <a:br>
            <a:rPr lang="en-US" sz="1100">
              <a:solidFill>
                <a:schemeClr val="dk1"/>
              </a:solidFill>
              <a:effectLst/>
              <a:latin typeface="+mn-lt"/>
              <a:ea typeface="+mn-ea"/>
              <a:cs typeface="+mn-cs"/>
            </a:rPr>
          </a:br>
          <a:r>
            <a:rPr lang="en-US" sz="1100" b="1">
              <a:solidFill>
                <a:schemeClr val="dk1"/>
              </a:solidFill>
              <a:effectLst/>
              <a:latin typeface="+mn-lt"/>
              <a:ea typeface="+mn-ea"/>
              <a:cs typeface="+mn-cs"/>
            </a:rPr>
            <a:t>Arcane Strike </a:t>
          </a:r>
          <a:r>
            <a:rPr lang="en-US" sz="1100">
              <a:solidFill>
                <a:schemeClr val="dk1"/>
              </a:solidFill>
              <a:effectLst/>
              <a:latin typeface="+mn-lt"/>
              <a:ea typeface="+mn-ea"/>
              <a:cs typeface="+mn-cs"/>
            </a:rPr>
            <a:t>is a </a:t>
          </a:r>
          <a:r>
            <a:rPr lang="en-US" sz="1100" b="1">
              <a:solidFill>
                <a:schemeClr val="dk1"/>
              </a:solidFill>
              <a:effectLst/>
              <a:latin typeface="+mn-lt"/>
              <a:ea typeface="+mn-ea"/>
              <a:cs typeface="+mn-cs"/>
            </a:rPr>
            <a:t>free</a:t>
          </a:r>
          <a:r>
            <a:rPr lang="en-US" sz="1100">
              <a:solidFill>
                <a:schemeClr val="dk1"/>
              </a:solidFill>
              <a:effectLst/>
              <a:latin typeface="+mn-lt"/>
              <a:ea typeface="+mn-ea"/>
              <a:cs typeface="+mn-cs"/>
            </a:rPr>
            <a:t> action, and applies to all attacks for the round.</a:t>
          </a:r>
          <a:endParaRPr lang="en-US">
            <a:effectLst/>
          </a:endParaRPr>
        </a:p>
        <a:p>
          <a:r>
            <a:rPr lang="en-US" sz="1100" b="1">
              <a:solidFill>
                <a:schemeClr val="dk1"/>
              </a:solidFill>
              <a:effectLst/>
              <a:latin typeface="+mn-lt"/>
              <a:ea typeface="+mn-ea"/>
              <a:cs typeface="+mn-cs"/>
            </a:rPr>
            <a:t>All three can be used in a single round.</a:t>
          </a:r>
        </a:p>
        <a:p>
          <a:endParaRPr lang="en-US">
            <a:effectLst/>
          </a:endParaRPr>
        </a:p>
        <a:p>
          <a:r>
            <a:rPr lang="en-US" sz="1100" b="1">
              <a:solidFill>
                <a:schemeClr val="dk1"/>
              </a:solidFill>
              <a:effectLst/>
              <a:latin typeface="+mn-lt"/>
              <a:ea typeface="+mn-ea"/>
              <a:cs typeface="+mn-cs"/>
            </a:rPr>
            <a:t>Blade of Blood </a:t>
          </a:r>
          <a:r>
            <a:rPr lang="en-US" sz="1100">
              <a:solidFill>
                <a:schemeClr val="dk1"/>
              </a:solidFill>
              <a:effectLst/>
              <a:latin typeface="+mn-lt"/>
              <a:ea typeface="+mn-ea"/>
              <a:cs typeface="+mn-cs"/>
            </a:rPr>
            <a:t>applies to the </a:t>
          </a:r>
          <a:r>
            <a:rPr lang="en-US" sz="1100" b="1">
              <a:solidFill>
                <a:schemeClr val="dk1"/>
              </a:solidFill>
              <a:effectLst/>
              <a:latin typeface="+mn-lt"/>
              <a:ea typeface="+mn-ea"/>
              <a:cs typeface="+mn-cs"/>
            </a:rPr>
            <a:t>first attack</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Channeling </a:t>
          </a:r>
          <a:r>
            <a:rPr lang="en-US" sz="1100">
              <a:solidFill>
                <a:schemeClr val="dk1"/>
              </a:solidFill>
              <a:effectLst/>
              <a:latin typeface="+mn-lt"/>
              <a:ea typeface="+mn-ea"/>
              <a:cs typeface="+mn-cs"/>
            </a:rPr>
            <a:t>applies once to </a:t>
          </a:r>
          <a:r>
            <a:rPr lang="en-US" sz="1100" b="1">
              <a:solidFill>
                <a:schemeClr val="dk1"/>
              </a:solidFill>
              <a:effectLst/>
              <a:latin typeface="+mn-lt"/>
              <a:ea typeface="+mn-ea"/>
              <a:cs typeface="+mn-cs"/>
            </a:rPr>
            <a:t>each target </a:t>
          </a:r>
          <a:r>
            <a:rPr lang="en-US" sz="1100">
              <a:solidFill>
                <a:schemeClr val="dk1"/>
              </a:solidFill>
              <a:effectLst/>
              <a:latin typeface="+mn-lt"/>
              <a:ea typeface="+mn-ea"/>
              <a:cs typeface="+mn-cs"/>
            </a:rPr>
            <a:t>hit during a full attack, and </a:t>
          </a:r>
          <a:r>
            <a:rPr lang="en-US" sz="1100" b="1">
              <a:solidFill>
                <a:schemeClr val="dk1"/>
              </a:solidFill>
              <a:effectLst/>
              <a:latin typeface="+mn-lt"/>
              <a:ea typeface="+mn-ea"/>
              <a:cs typeface="+mn-cs"/>
            </a:rPr>
            <a:t>Arcane Strike </a:t>
          </a:r>
          <a:r>
            <a:rPr lang="en-US" sz="1100">
              <a:solidFill>
                <a:schemeClr val="dk1"/>
              </a:solidFill>
              <a:effectLst/>
              <a:latin typeface="+mn-lt"/>
              <a:ea typeface="+mn-ea"/>
              <a:cs typeface="+mn-cs"/>
            </a:rPr>
            <a:t>applies to </a:t>
          </a:r>
          <a:r>
            <a:rPr lang="en-US" sz="1100" b="1">
              <a:solidFill>
                <a:schemeClr val="dk1"/>
              </a:solidFill>
              <a:effectLst/>
              <a:latin typeface="+mn-lt"/>
              <a:ea typeface="+mn-ea"/>
              <a:cs typeface="+mn-cs"/>
            </a:rPr>
            <a:t>every attack and hit</a:t>
          </a:r>
          <a:r>
            <a:rPr lang="en-US" sz="1100">
              <a:solidFill>
                <a:schemeClr val="dk1"/>
              </a:solidFill>
              <a:effectLst/>
              <a:latin typeface="+mn-lt"/>
              <a:ea typeface="+mn-ea"/>
              <a:cs typeface="+mn-cs"/>
            </a:rPr>
            <a: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66675</xdr:colOff>
      <xdr:row>1</xdr:row>
      <xdr:rowOff>123825</xdr:rowOff>
    </xdr:from>
    <xdr:to>
      <xdr:col>1</xdr:col>
      <xdr:colOff>763905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showGridLines="0" zoomScaleNormal="100" workbookViewId="0"/>
  </sheetViews>
  <sheetFormatPr defaultColWidth="13" defaultRowHeight="15.6" x14ac:dyDescent="0.3"/>
  <cols>
    <col min="1" max="1" width="18.5" style="53" customWidth="1"/>
    <col min="2" max="3" width="7.59765625" style="54" customWidth="1"/>
    <col min="4" max="4" width="13.69921875" style="53" bestFit="1" customWidth="1"/>
    <col min="5" max="5" width="10.8984375" style="54" bestFit="1" customWidth="1"/>
    <col min="6" max="6" width="13.796875" style="53" customWidth="1"/>
    <col min="7" max="7" width="13.796875" style="54" customWidth="1"/>
    <col min="8" max="16384" width="13" style="13"/>
  </cols>
  <sheetData>
    <row r="1" spans="1:7" ht="29.4" thickTop="1" thickBot="1" x14ac:dyDescent="0.35">
      <c r="A1" s="339" t="s">
        <v>332</v>
      </c>
      <c r="B1" s="340"/>
      <c r="C1" s="157"/>
      <c r="D1" s="158"/>
      <c r="E1" s="280"/>
      <c r="F1" s="158"/>
      <c r="G1" s="341" t="s">
        <v>331</v>
      </c>
    </row>
    <row r="2" spans="1:7" ht="17.399999999999999" thickTop="1" x14ac:dyDescent="0.3">
      <c r="A2" s="14" t="s">
        <v>257</v>
      </c>
      <c r="B2" s="202" t="s">
        <v>333</v>
      </c>
      <c r="C2" s="202"/>
      <c r="D2" s="17" t="s">
        <v>271</v>
      </c>
      <c r="E2" s="16" t="s">
        <v>92</v>
      </c>
      <c r="F2" s="18"/>
      <c r="G2" s="19"/>
    </row>
    <row r="3" spans="1:7" ht="16.8" x14ac:dyDescent="0.3">
      <c r="A3" s="14" t="s">
        <v>258</v>
      </c>
      <c r="B3" s="202" t="s">
        <v>91</v>
      </c>
      <c r="C3" s="202"/>
      <c r="D3" s="17" t="s">
        <v>89</v>
      </c>
      <c r="E3" s="16">
        <v>12</v>
      </c>
      <c r="F3" s="17"/>
      <c r="G3" s="19"/>
    </row>
    <row r="4" spans="1:7" ht="16.8" x14ac:dyDescent="0.3">
      <c r="A4" s="14" t="s">
        <v>259</v>
      </c>
      <c r="B4" s="202" t="s">
        <v>137</v>
      </c>
      <c r="C4" s="202"/>
      <c r="D4" s="17" t="s">
        <v>272</v>
      </c>
      <c r="E4" s="16">
        <v>128</v>
      </c>
      <c r="F4" s="17"/>
      <c r="G4" s="19"/>
    </row>
    <row r="5" spans="1:7" ht="16.8" x14ac:dyDescent="0.3">
      <c r="A5" s="14" t="s">
        <v>260</v>
      </c>
      <c r="B5" s="201" t="s">
        <v>306</v>
      </c>
      <c r="C5" s="202"/>
      <c r="D5" s="17" t="s">
        <v>273</v>
      </c>
      <c r="E5" s="16" t="s">
        <v>93</v>
      </c>
      <c r="F5" s="17"/>
      <c r="G5" s="19"/>
    </row>
    <row r="6" spans="1:7" ht="17.399999999999999" thickBot="1" x14ac:dyDescent="0.35">
      <c r="A6" s="14" t="s">
        <v>261</v>
      </c>
      <c r="B6" s="202" t="s">
        <v>337</v>
      </c>
      <c r="C6" s="202"/>
      <c r="D6" s="17" t="s">
        <v>274</v>
      </c>
      <c r="E6" s="16" t="s">
        <v>94</v>
      </c>
      <c r="F6" s="17"/>
      <c r="G6" s="19"/>
    </row>
    <row r="7" spans="1:7" ht="17.399999999999999" thickTop="1" x14ac:dyDescent="0.3">
      <c r="A7" s="20" t="s">
        <v>262</v>
      </c>
      <c r="B7" s="478">
        <f>E3</f>
        <v>12</v>
      </c>
      <c r="C7" s="479"/>
      <c r="D7" s="21" t="s">
        <v>275</v>
      </c>
      <c r="E7" s="22" t="s">
        <v>86</v>
      </c>
      <c r="F7" s="23"/>
      <c r="G7" s="19"/>
    </row>
    <row r="8" spans="1:7" ht="16.8" x14ac:dyDescent="0.3">
      <c r="A8" s="24" t="s">
        <v>263</v>
      </c>
      <c r="B8" s="385">
        <f>C11+4</f>
        <v>5</v>
      </c>
      <c r="C8" s="386"/>
      <c r="D8" s="25" t="s">
        <v>276</v>
      </c>
      <c r="E8" s="26" t="s">
        <v>86</v>
      </c>
      <c r="F8" s="23"/>
      <c r="G8" s="19"/>
    </row>
    <row r="9" spans="1:7" ht="17.399999999999999" thickBot="1" x14ac:dyDescent="0.35">
      <c r="A9" s="27" t="s">
        <v>264</v>
      </c>
      <c r="B9" s="387">
        <v>145200</v>
      </c>
      <c r="C9" s="388"/>
      <c r="D9" s="310" t="s">
        <v>277</v>
      </c>
      <c r="E9" s="311">
        <f>E3+C15+2+1</f>
        <v>16</v>
      </c>
      <c r="F9" s="23"/>
      <c r="G9" s="19"/>
    </row>
    <row r="10" spans="1:7" ht="17.399999999999999" thickTop="1" x14ac:dyDescent="0.3">
      <c r="A10" s="28" t="s">
        <v>265</v>
      </c>
      <c r="B10" s="480">
        <f>17</f>
        <v>17</v>
      </c>
      <c r="C10" s="389" t="str">
        <f t="shared" ref="C10:C15" si="0">IF(B10&gt;9.9,CONCATENATE("+",ROUNDDOWN((B10-10)/2,0)),ROUNDUP((B10-10)/2,0))</f>
        <v>+3</v>
      </c>
      <c r="D10" s="29" t="s">
        <v>278</v>
      </c>
      <c r="E10" s="424" t="s">
        <v>287</v>
      </c>
      <c r="F10" s="23"/>
      <c r="G10" s="19"/>
    </row>
    <row r="11" spans="1:7" ht="16.8" x14ac:dyDescent="0.3">
      <c r="A11" s="30" t="s">
        <v>266</v>
      </c>
      <c r="B11" s="427">
        <f>12</f>
        <v>12</v>
      </c>
      <c r="C11" s="390" t="str">
        <f t="shared" si="0"/>
        <v>+1</v>
      </c>
      <c r="D11" s="31" t="s">
        <v>279</v>
      </c>
      <c r="E11" s="32">
        <f>SUM(Martial!H3:H37,Equipment!C3:C12)</f>
        <v>25.9</v>
      </c>
      <c r="F11" s="23"/>
      <c r="G11" s="19"/>
    </row>
    <row r="12" spans="1:7" ht="16.8" x14ac:dyDescent="0.3">
      <c r="A12" s="33" t="s">
        <v>267</v>
      </c>
      <c r="B12" s="427">
        <f>14</f>
        <v>14</v>
      </c>
      <c r="C12" s="391" t="str">
        <f t="shared" si="0"/>
        <v>+2</v>
      </c>
      <c r="D12" s="31" t="s">
        <v>280</v>
      </c>
      <c r="E12" s="34">
        <f>ROUNDUP(((E3*10)*0.75)+(E3*C12),0)</f>
        <v>114</v>
      </c>
      <c r="F12" s="23"/>
      <c r="G12" s="19"/>
    </row>
    <row r="13" spans="1:7" ht="16.8" x14ac:dyDescent="0.3">
      <c r="A13" s="35" t="s">
        <v>268</v>
      </c>
      <c r="B13" s="427">
        <f>16</f>
        <v>16</v>
      </c>
      <c r="C13" s="390" t="str">
        <f t="shared" si="0"/>
        <v>+3</v>
      </c>
      <c r="D13" s="36" t="s">
        <v>281</v>
      </c>
      <c r="E13" s="384">
        <f>10+C11</f>
        <v>11</v>
      </c>
      <c r="F13" s="14"/>
      <c r="G13" s="19"/>
    </row>
    <row r="14" spans="1:7" ht="16.8" x14ac:dyDescent="0.3">
      <c r="A14" s="37" t="s">
        <v>269</v>
      </c>
      <c r="B14" s="426">
        <f>15+2</f>
        <v>17</v>
      </c>
      <c r="C14" s="390" t="str">
        <f t="shared" si="0"/>
        <v>+3</v>
      </c>
      <c r="D14" s="36" t="s">
        <v>282</v>
      </c>
      <c r="E14" s="384">
        <f>E15-C11</f>
        <v>25</v>
      </c>
      <c r="F14" s="23"/>
      <c r="G14" s="19"/>
    </row>
    <row r="15" spans="1:7" ht="17.399999999999999" thickBot="1" x14ac:dyDescent="0.35">
      <c r="A15" s="38" t="s">
        <v>270</v>
      </c>
      <c r="B15" s="428">
        <f>12</f>
        <v>12</v>
      </c>
      <c r="C15" s="392" t="str">
        <f t="shared" si="0"/>
        <v>+1</v>
      </c>
      <c r="D15" s="39" t="s">
        <v>285</v>
      </c>
      <c r="E15" s="449">
        <f>E13+SUM(Martial!$B$29:$B$34)</f>
        <v>26</v>
      </c>
      <c r="F15" s="23"/>
      <c r="G15" s="19"/>
    </row>
    <row r="16" spans="1:7" ht="24" thickTop="1" thickBot="1" x14ac:dyDescent="0.35">
      <c r="A16" s="40" t="s">
        <v>17</v>
      </c>
      <c r="B16" s="41"/>
      <c r="C16" s="41"/>
      <c r="D16" s="42"/>
      <c r="E16" s="42"/>
      <c r="F16" s="42"/>
      <c r="G16" s="43"/>
    </row>
    <row r="17" spans="1:8" s="47" customFormat="1" ht="17.399999999999999" thickTop="1" x14ac:dyDescent="0.3">
      <c r="A17" s="44"/>
      <c r="B17" s="45"/>
      <c r="C17" s="45"/>
      <c r="D17" s="45"/>
      <c r="E17" s="45"/>
      <c r="F17" s="45"/>
      <c r="G17" s="46"/>
    </row>
    <row r="18" spans="1:8" s="47" customFormat="1" ht="16.8" x14ac:dyDescent="0.3">
      <c r="A18" s="48"/>
      <c r="B18" s="15"/>
      <c r="C18" s="15"/>
      <c r="D18" s="15"/>
      <c r="E18" s="15"/>
      <c r="F18" s="15"/>
      <c r="G18" s="49"/>
    </row>
    <row r="19" spans="1:8" s="47" customFormat="1" ht="16.8" x14ac:dyDescent="0.3">
      <c r="A19" s="48"/>
      <c r="B19" s="15"/>
      <c r="C19" s="15"/>
      <c r="D19" s="15"/>
      <c r="E19" s="15"/>
      <c r="F19" s="15"/>
      <c r="G19" s="49"/>
    </row>
    <row r="20" spans="1:8" s="47" customFormat="1" ht="16.8" x14ac:dyDescent="0.3">
      <c r="A20" s="48"/>
      <c r="B20" s="15"/>
      <c r="C20" s="15"/>
      <c r="D20" s="15"/>
      <c r="E20" s="15"/>
      <c r="F20" s="15"/>
      <c r="G20" s="49"/>
    </row>
    <row r="21" spans="1:8" s="47" customFormat="1" ht="16.8" x14ac:dyDescent="0.3">
      <c r="A21" s="48"/>
      <c r="B21" s="15"/>
      <c r="C21" s="15"/>
      <c r="D21" s="15"/>
      <c r="E21" s="15"/>
      <c r="F21" s="15"/>
      <c r="G21" s="49"/>
    </row>
    <row r="22" spans="1:8" s="47" customFormat="1" ht="16.8" x14ac:dyDescent="0.3">
      <c r="A22" s="48"/>
      <c r="B22" s="15"/>
      <c r="C22" s="15"/>
      <c r="D22" s="15"/>
      <c r="E22" s="15"/>
      <c r="F22" s="15"/>
      <c r="G22" s="49"/>
    </row>
    <row r="23" spans="1:8" s="47" customFormat="1" ht="16.8" x14ac:dyDescent="0.3">
      <c r="A23" s="48"/>
      <c r="B23" s="15"/>
      <c r="C23" s="15"/>
      <c r="D23" s="15"/>
      <c r="E23" s="15"/>
      <c r="F23" s="15"/>
      <c r="G23" s="49"/>
    </row>
    <row r="24" spans="1:8" s="47" customFormat="1" ht="16.8" x14ac:dyDescent="0.3">
      <c r="A24" s="48"/>
      <c r="B24" s="15"/>
      <c r="C24" s="15"/>
      <c r="D24" s="15"/>
      <c r="E24" s="15"/>
      <c r="F24" s="15"/>
      <c r="G24" s="49"/>
    </row>
    <row r="25" spans="1:8" s="47" customFormat="1" ht="16.8" x14ac:dyDescent="0.3">
      <c r="A25" s="48"/>
      <c r="B25" s="15"/>
      <c r="C25" s="15"/>
      <c r="D25" s="15"/>
      <c r="E25" s="15"/>
      <c r="F25" s="15"/>
      <c r="G25" s="49"/>
    </row>
    <row r="26" spans="1:8" s="47" customFormat="1" ht="16.8" x14ac:dyDescent="0.3">
      <c r="A26" s="48"/>
      <c r="B26" s="15"/>
      <c r="C26" s="15"/>
      <c r="D26" s="15"/>
      <c r="E26" s="15"/>
      <c r="F26" s="15"/>
      <c r="G26" s="49"/>
    </row>
    <row r="27" spans="1:8" ht="17.399999999999999" thickBot="1" x14ac:dyDescent="0.35">
      <c r="A27" s="50"/>
      <c r="B27" s="51"/>
      <c r="C27" s="51"/>
      <c r="D27" s="51"/>
      <c r="E27" s="51"/>
      <c r="F27" s="51"/>
      <c r="G27" s="52"/>
      <c r="H27" s="47"/>
    </row>
    <row r="28" spans="1:8" ht="16.2" thickTop="1" x14ac:dyDescent="0.3"/>
  </sheetData>
  <phoneticPr fontId="0" type="noConversion"/>
  <conditionalFormatting sqref="E11">
    <cfRule type="cellIs" dxfId="8" priority="4" stopIfTrue="1" operator="greaterThan">
      <formula>116</formula>
    </cfRule>
    <cfRule type="cellIs" dxfId="7"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 style="53" bestFit="1" customWidth="1"/>
    <col min="2" max="2" width="5.8984375" style="53" bestFit="1" customWidth="1"/>
    <col min="3" max="3" width="11.59765625" style="54" hidden="1" customWidth="1"/>
    <col min="4" max="4" width="5.796875" style="54" hidden="1" customWidth="1"/>
    <col min="5" max="5" width="9.19921875" style="54" bestFit="1" customWidth="1"/>
    <col min="6" max="6" width="8.19921875" style="54" bestFit="1" customWidth="1"/>
    <col min="7" max="7" width="6" style="54" bestFit="1" customWidth="1"/>
    <col min="8" max="8" width="5.19921875" style="54" bestFit="1" customWidth="1"/>
    <col min="9" max="9" width="6.8984375" style="54" bestFit="1" customWidth="1"/>
    <col min="10" max="10" width="34.69921875" style="53" bestFit="1" customWidth="1"/>
    <col min="11" max="16384" width="13" style="13"/>
  </cols>
  <sheetData>
    <row r="1" spans="1:10" ht="23.4" thickBot="1" x14ac:dyDescent="0.35">
      <c r="A1" s="55" t="s">
        <v>7</v>
      </c>
      <c r="B1" s="56"/>
      <c r="C1" s="56"/>
      <c r="D1" s="56"/>
      <c r="E1" s="56"/>
      <c r="F1" s="56"/>
      <c r="G1" s="56"/>
      <c r="H1" s="56"/>
      <c r="I1" s="56"/>
      <c r="J1" s="56"/>
    </row>
    <row r="2" spans="1:10" s="47" customFormat="1" ht="34.200000000000003" thickBot="1" x14ac:dyDescent="0.35">
      <c r="A2" s="1" t="s">
        <v>252</v>
      </c>
      <c r="B2" s="2" t="s">
        <v>22</v>
      </c>
      <c r="C2" s="2" t="s">
        <v>24</v>
      </c>
      <c r="D2" s="2" t="s">
        <v>21</v>
      </c>
      <c r="E2" s="3" t="s">
        <v>49</v>
      </c>
      <c r="F2" s="3" t="s">
        <v>25</v>
      </c>
      <c r="G2" s="2" t="s">
        <v>51</v>
      </c>
      <c r="H2" s="482" t="s">
        <v>77</v>
      </c>
      <c r="I2" s="2" t="s">
        <v>63</v>
      </c>
      <c r="J2" s="4" t="s">
        <v>0</v>
      </c>
    </row>
    <row r="3" spans="1:10" s="47" customFormat="1" ht="16.8" x14ac:dyDescent="0.3">
      <c r="A3" s="57" t="s">
        <v>52</v>
      </c>
      <c r="B3" s="58">
        <f>8</f>
        <v>8</v>
      </c>
      <c r="C3" s="58" t="s">
        <v>267</v>
      </c>
      <c r="D3" s="58" t="str">
        <f>VLOOKUP(C3,'Personal File'!$A$10:$C$15,3,FALSE)</f>
        <v>+2</v>
      </c>
      <c r="E3" s="440" t="str">
        <f t="shared" ref="E3:E44" si="0">CONCATENATE(LEFT(C3,3)," (",D3,")")</f>
        <v>Con (+2)</v>
      </c>
      <c r="F3" s="483">
        <v>3</v>
      </c>
      <c r="G3" s="441">
        <f t="shared" ref="G3:G44" si="1">B3+D3+F3</f>
        <v>13</v>
      </c>
      <c r="H3" s="485">
        <f t="shared" ref="H3:H44" ca="1" si="2">RANDBETWEEN(1,20)</f>
        <v>1</v>
      </c>
      <c r="I3" s="442">
        <f t="shared" ref="I3:I5" ca="1" si="3">SUM(G3:H3)</f>
        <v>14</v>
      </c>
      <c r="J3" s="61" t="s">
        <v>147</v>
      </c>
    </row>
    <row r="4" spans="1:10" s="47" customFormat="1" ht="16.8" x14ac:dyDescent="0.3">
      <c r="A4" s="59" t="s">
        <v>53</v>
      </c>
      <c r="B4" s="58">
        <f>4</f>
        <v>4</v>
      </c>
      <c r="C4" s="58" t="s">
        <v>266</v>
      </c>
      <c r="D4" s="58" t="str">
        <f>VLOOKUP(C4,'Personal File'!$A$10:$C$15,3,FALSE)</f>
        <v>+1</v>
      </c>
      <c r="E4" s="60" t="str">
        <f t="shared" si="0"/>
        <v>Dex (+1)</v>
      </c>
      <c r="F4" s="483">
        <v>3</v>
      </c>
      <c r="G4" s="441">
        <f t="shared" si="1"/>
        <v>8</v>
      </c>
      <c r="H4" s="485">
        <f t="shared" ca="1" si="2"/>
        <v>6</v>
      </c>
      <c r="I4" s="442">
        <f t="shared" ca="1" si="3"/>
        <v>14</v>
      </c>
      <c r="J4" s="372" t="s">
        <v>255</v>
      </c>
    </row>
    <row r="5" spans="1:10" s="47" customFormat="1" ht="16.8" x14ac:dyDescent="0.3">
      <c r="A5" s="62" t="s">
        <v>54</v>
      </c>
      <c r="B5" s="63">
        <f>8</f>
        <v>8</v>
      </c>
      <c r="C5" s="63" t="s">
        <v>269</v>
      </c>
      <c r="D5" s="63" t="str">
        <f>VLOOKUP(C5,'Personal File'!$A$10:$C$15,3,FALSE)</f>
        <v>+3</v>
      </c>
      <c r="E5" s="443" t="str">
        <f t="shared" si="0"/>
        <v>Wis (+3)</v>
      </c>
      <c r="F5" s="484">
        <v>3</v>
      </c>
      <c r="G5" s="444">
        <f t="shared" si="1"/>
        <v>14</v>
      </c>
      <c r="H5" s="484">
        <f t="shared" ca="1" si="2"/>
        <v>3</v>
      </c>
      <c r="I5" s="445">
        <f t="shared" ca="1" si="3"/>
        <v>17</v>
      </c>
      <c r="J5" s="171" t="s">
        <v>150</v>
      </c>
    </row>
    <row r="6" spans="1:10" s="70" customFormat="1" ht="16.8" x14ac:dyDescent="0.3">
      <c r="A6" s="64" t="s">
        <v>26</v>
      </c>
      <c r="B6" s="58">
        <v>0</v>
      </c>
      <c r="C6" s="65" t="s">
        <v>268</v>
      </c>
      <c r="D6" s="66" t="str">
        <f>VLOOKUP(C6,'Personal File'!$A$10:$C$15,3,FALSE)</f>
        <v>+3</v>
      </c>
      <c r="E6" s="67" t="str">
        <f t="shared" si="0"/>
        <v>Int (+3)</v>
      </c>
      <c r="F6" s="68" t="s">
        <v>50</v>
      </c>
      <c r="G6" s="68">
        <f t="shared" si="1"/>
        <v>3</v>
      </c>
      <c r="H6" s="485">
        <f t="shared" ca="1" si="2"/>
        <v>14</v>
      </c>
      <c r="I6" s="68">
        <f t="shared" ref="I6:I7" ca="1" si="4">SUM(G6:H6)</f>
        <v>17</v>
      </c>
      <c r="J6" s="372"/>
    </row>
    <row r="7" spans="1:10" s="74" customFormat="1" ht="16.8" x14ac:dyDescent="0.3">
      <c r="A7" s="71" t="s">
        <v>27</v>
      </c>
      <c r="B7" s="58">
        <v>0</v>
      </c>
      <c r="C7" s="72" t="s">
        <v>266</v>
      </c>
      <c r="D7" s="73" t="str">
        <f>VLOOKUP(C7,'Personal File'!$A$10:$C$15,3,FALSE)</f>
        <v>+1</v>
      </c>
      <c r="E7" s="60" t="str">
        <f t="shared" si="0"/>
        <v>Dex (+1)</v>
      </c>
      <c r="F7" s="68">
        <f>SUM(Martial!$D$29:$D$34)</f>
        <v>0</v>
      </c>
      <c r="G7" s="68">
        <f t="shared" si="1"/>
        <v>1</v>
      </c>
      <c r="H7" s="483">
        <f t="shared" ca="1" si="2"/>
        <v>11</v>
      </c>
      <c r="I7" s="68">
        <f t="shared" ca="1" si="4"/>
        <v>12</v>
      </c>
      <c r="J7" s="69"/>
    </row>
    <row r="8" spans="1:10" s="79" customFormat="1" ht="16.8" x14ac:dyDescent="0.3">
      <c r="A8" s="75" t="s">
        <v>28</v>
      </c>
      <c r="B8" s="58">
        <v>0</v>
      </c>
      <c r="C8" s="76" t="s">
        <v>270</v>
      </c>
      <c r="D8" s="77" t="str">
        <f>VLOOKUP(C8,'Personal File'!$A$10:$C$15,3,FALSE)</f>
        <v>+1</v>
      </c>
      <c r="E8" s="78" t="str">
        <f t="shared" si="0"/>
        <v>Cha (+1)</v>
      </c>
      <c r="F8" s="68" t="s">
        <v>50</v>
      </c>
      <c r="G8" s="68">
        <f t="shared" si="1"/>
        <v>1</v>
      </c>
      <c r="H8" s="483">
        <f t="shared" ca="1" si="2"/>
        <v>17</v>
      </c>
      <c r="I8" s="68">
        <f t="shared" ref="I8:I44" ca="1" si="5">SUM(G8:H8)</f>
        <v>18</v>
      </c>
      <c r="J8" s="372"/>
    </row>
    <row r="9" spans="1:10" s="83" customFormat="1" ht="16.8" x14ac:dyDescent="0.3">
      <c r="A9" s="96" t="s">
        <v>29</v>
      </c>
      <c r="B9" s="58">
        <v>0</v>
      </c>
      <c r="C9" s="97" t="s">
        <v>265</v>
      </c>
      <c r="D9" s="98" t="str">
        <f>VLOOKUP(C9,'Personal File'!$A$10:$C$15,3,FALSE)</f>
        <v>+3</v>
      </c>
      <c r="E9" s="99" t="str">
        <f t="shared" si="0"/>
        <v>Str (+3)</v>
      </c>
      <c r="F9" s="68">
        <f>SUM(Martial!$D$29:$D$34)</f>
        <v>0</v>
      </c>
      <c r="G9" s="68">
        <f t="shared" si="1"/>
        <v>3</v>
      </c>
      <c r="H9" s="483">
        <f t="shared" ca="1" si="2"/>
        <v>14</v>
      </c>
      <c r="I9" s="68">
        <f t="shared" ca="1" si="5"/>
        <v>17</v>
      </c>
      <c r="J9" s="372"/>
    </row>
    <row r="10" spans="1:10" s="83" customFormat="1" ht="16.8" x14ac:dyDescent="0.3">
      <c r="A10" s="167" t="s">
        <v>8</v>
      </c>
      <c r="B10" s="80">
        <v>16</v>
      </c>
      <c r="C10" s="168" t="s">
        <v>267</v>
      </c>
      <c r="D10" s="169" t="str">
        <f>VLOOKUP(C10,'Personal File'!$A$10:$C$15,3,FALSE)</f>
        <v>+2</v>
      </c>
      <c r="E10" s="170" t="str">
        <f t="shared" si="0"/>
        <v>Con (+2)</v>
      </c>
      <c r="F10" s="81" t="s">
        <v>50</v>
      </c>
      <c r="G10" s="81">
        <f t="shared" si="1"/>
        <v>18</v>
      </c>
      <c r="H10" s="483">
        <f t="shared" ca="1" si="2"/>
        <v>9</v>
      </c>
      <c r="I10" s="81">
        <f t="shared" ca="1" si="5"/>
        <v>27</v>
      </c>
      <c r="J10" s="82"/>
    </row>
    <row r="11" spans="1:10" s="70" customFormat="1" ht="16.8" x14ac:dyDescent="0.3">
      <c r="A11" s="64" t="s">
        <v>99</v>
      </c>
      <c r="B11" s="58">
        <v>0</v>
      </c>
      <c r="C11" s="65" t="s">
        <v>268</v>
      </c>
      <c r="D11" s="66" t="str">
        <f>VLOOKUP(C11,'Personal File'!$A$10:$C$15,3,FALSE)</f>
        <v>+3</v>
      </c>
      <c r="E11" s="67" t="str">
        <f t="shared" si="0"/>
        <v>Int (+3)</v>
      </c>
      <c r="F11" s="68" t="s">
        <v>50</v>
      </c>
      <c r="G11" s="68">
        <f t="shared" si="1"/>
        <v>3</v>
      </c>
      <c r="H11" s="483">
        <f t="shared" ca="1" si="2"/>
        <v>18</v>
      </c>
      <c r="I11" s="68">
        <f t="shared" ca="1" si="5"/>
        <v>21</v>
      </c>
      <c r="J11" s="69"/>
    </row>
    <row r="12" spans="1:10" s="95" customFormat="1" ht="16.8" x14ac:dyDescent="0.3">
      <c r="A12" s="88" t="s">
        <v>30</v>
      </c>
      <c r="B12" s="89">
        <v>0</v>
      </c>
      <c r="C12" s="90" t="s">
        <v>268</v>
      </c>
      <c r="D12" s="91" t="str">
        <f>VLOOKUP(C12,'Personal File'!$A$10:$C$15,3,FALSE)</f>
        <v>+3</v>
      </c>
      <c r="E12" s="92" t="str">
        <f t="shared" si="0"/>
        <v>Int (+3)</v>
      </c>
      <c r="F12" s="93" t="s">
        <v>50</v>
      </c>
      <c r="G12" s="93">
        <f t="shared" si="1"/>
        <v>3</v>
      </c>
      <c r="H12" s="483">
        <f t="shared" ca="1" si="2"/>
        <v>8</v>
      </c>
      <c r="I12" s="93">
        <f t="shared" ca="1" si="5"/>
        <v>11</v>
      </c>
      <c r="J12" s="94"/>
    </row>
    <row r="13" spans="1:10" s="74" customFormat="1" ht="16.8" x14ac:dyDescent="0.3">
      <c r="A13" s="75" t="s">
        <v>31</v>
      </c>
      <c r="B13" s="58">
        <v>0</v>
      </c>
      <c r="C13" s="76" t="s">
        <v>270</v>
      </c>
      <c r="D13" s="77" t="str">
        <f>VLOOKUP(C13,'Personal File'!$A$10:$C$15,3,FALSE)</f>
        <v>+1</v>
      </c>
      <c r="E13" s="78" t="str">
        <f t="shared" si="0"/>
        <v>Cha (+1)</v>
      </c>
      <c r="F13" s="68" t="s">
        <v>71</v>
      </c>
      <c r="G13" s="68">
        <f t="shared" si="1"/>
        <v>3</v>
      </c>
      <c r="H13" s="483">
        <f t="shared" ca="1" si="2"/>
        <v>1</v>
      </c>
      <c r="I13" s="68">
        <f t="shared" ca="1" si="5"/>
        <v>4</v>
      </c>
      <c r="J13" s="69"/>
    </row>
    <row r="14" spans="1:10" s="74" customFormat="1" ht="16.8" x14ac:dyDescent="0.3">
      <c r="A14" s="88" t="s">
        <v>32</v>
      </c>
      <c r="B14" s="89">
        <v>0</v>
      </c>
      <c r="C14" s="90" t="s">
        <v>268</v>
      </c>
      <c r="D14" s="91" t="str">
        <f>VLOOKUP(C14,'Personal File'!$A$10:$C$15,3,FALSE)</f>
        <v>+3</v>
      </c>
      <c r="E14" s="92" t="str">
        <f t="shared" si="0"/>
        <v>Int (+3)</v>
      </c>
      <c r="F14" s="93" t="s">
        <v>50</v>
      </c>
      <c r="G14" s="93">
        <f t="shared" si="1"/>
        <v>3</v>
      </c>
      <c r="H14" s="483">
        <f t="shared" ca="1" si="2"/>
        <v>19</v>
      </c>
      <c r="I14" s="93">
        <f t="shared" ca="1" si="5"/>
        <v>22</v>
      </c>
      <c r="J14" s="94"/>
    </row>
    <row r="15" spans="1:10" s="74" customFormat="1" ht="16.8" x14ac:dyDescent="0.3">
      <c r="A15" s="75" t="s">
        <v>33</v>
      </c>
      <c r="B15" s="58">
        <v>0</v>
      </c>
      <c r="C15" s="76" t="s">
        <v>270</v>
      </c>
      <c r="D15" s="77" t="str">
        <f>VLOOKUP(C15,'Personal File'!$A$10:$C$15,3,FALSE)</f>
        <v>+1</v>
      </c>
      <c r="E15" s="78" t="str">
        <f t="shared" si="0"/>
        <v>Cha (+1)</v>
      </c>
      <c r="F15" s="68" t="s">
        <v>50</v>
      </c>
      <c r="G15" s="68">
        <f t="shared" si="1"/>
        <v>1</v>
      </c>
      <c r="H15" s="483">
        <f t="shared" ca="1" si="2"/>
        <v>5</v>
      </c>
      <c r="I15" s="68">
        <f t="shared" ca="1" si="5"/>
        <v>6</v>
      </c>
      <c r="J15" s="69"/>
    </row>
    <row r="16" spans="1:10" s="74" customFormat="1" ht="16.8" x14ac:dyDescent="0.3">
      <c r="A16" s="71" t="s">
        <v>34</v>
      </c>
      <c r="B16" s="58">
        <v>0</v>
      </c>
      <c r="C16" s="72" t="s">
        <v>266</v>
      </c>
      <c r="D16" s="73" t="str">
        <f>VLOOKUP(C16,'Personal File'!$A$10:$C$15,3,FALSE)</f>
        <v>+1</v>
      </c>
      <c r="E16" s="60" t="str">
        <f t="shared" si="0"/>
        <v>Dex (+1)</v>
      </c>
      <c r="F16" s="68">
        <f>SUM(Martial!$D$29:$D$34)</f>
        <v>0</v>
      </c>
      <c r="G16" s="68">
        <f t="shared" si="1"/>
        <v>1</v>
      </c>
      <c r="H16" s="483">
        <f t="shared" ca="1" si="2"/>
        <v>2</v>
      </c>
      <c r="I16" s="68">
        <f t="shared" ca="1" si="5"/>
        <v>3</v>
      </c>
      <c r="J16" s="69"/>
    </row>
    <row r="17" spans="1:10" s="74" customFormat="1" ht="16.8" x14ac:dyDescent="0.3">
      <c r="A17" s="64" t="s">
        <v>35</v>
      </c>
      <c r="B17" s="58">
        <v>0</v>
      </c>
      <c r="C17" s="65" t="s">
        <v>268</v>
      </c>
      <c r="D17" s="66" t="str">
        <f>VLOOKUP(C17,'Personal File'!$A$10:$C$15,3,FALSE)</f>
        <v>+3</v>
      </c>
      <c r="E17" s="67" t="str">
        <f t="shared" si="0"/>
        <v>Int (+3)</v>
      </c>
      <c r="F17" s="68" t="s">
        <v>50</v>
      </c>
      <c r="G17" s="68">
        <f t="shared" si="1"/>
        <v>3</v>
      </c>
      <c r="H17" s="483">
        <f t="shared" ca="1" si="2"/>
        <v>12</v>
      </c>
      <c r="I17" s="68">
        <f t="shared" ca="1" si="5"/>
        <v>15</v>
      </c>
      <c r="J17" s="69"/>
    </row>
    <row r="18" spans="1:10" s="74" customFormat="1" ht="16.8" x14ac:dyDescent="0.3">
      <c r="A18" s="75" t="s">
        <v>36</v>
      </c>
      <c r="B18" s="58">
        <v>0</v>
      </c>
      <c r="C18" s="76" t="s">
        <v>270</v>
      </c>
      <c r="D18" s="77" t="str">
        <f>VLOOKUP(C18,'Personal File'!$A$10:$C$15,3,FALSE)</f>
        <v>+1</v>
      </c>
      <c r="E18" s="78" t="str">
        <f t="shared" si="0"/>
        <v>Cha (+1)</v>
      </c>
      <c r="F18" s="68" t="s">
        <v>71</v>
      </c>
      <c r="G18" s="68">
        <f t="shared" si="1"/>
        <v>3</v>
      </c>
      <c r="H18" s="483">
        <f t="shared" ca="1" si="2"/>
        <v>2</v>
      </c>
      <c r="I18" s="68">
        <f t="shared" ca="1" si="5"/>
        <v>5</v>
      </c>
      <c r="J18" s="69"/>
    </row>
    <row r="19" spans="1:10" s="74" customFormat="1" ht="16.8" x14ac:dyDescent="0.3">
      <c r="A19" s="75" t="s">
        <v>10</v>
      </c>
      <c r="B19" s="58">
        <v>0</v>
      </c>
      <c r="C19" s="76" t="s">
        <v>270</v>
      </c>
      <c r="D19" s="77" t="str">
        <f>VLOOKUP(C19,'Personal File'!$A$10:$C$15,3,FALSE)</f>
        <v>+1</v>
      </c>
      <c r="E19" s="78" t="str">
        <f t="shared" si="0"/>
        <v>Cha (+1)</v>
      </c>
      <c r="F19" s="68" t="s">
        <v>50</v>
      </c>
      <c r="G19" s="68">
        <f t="shared" si="1"/>
        <v>1</v>
      </c>
      <c r="H19" s="483">
        <f t="shared" ca="1" si="2"/>
        <v>11</v>
      </c>
      <c r="I19" s="68">
        <f t="shared" ca="1" si="5"/>
        <v>12</v>
      </c>
      <c r="J19" s="69"/>
    </row>
    <row r="20" spans="1:10" s="74" customFormat="1" ht="16.8" x14ac:dyDescent="0.3">
      <c r="A20" s="104" t="s">
        <v>37</v>
      </c>
      <c r="B20" s="58">
        <v>0</v>
      </c>
      <c r="C20" s="105" t="s">
        <v>269</v>
      </c>
      <c r="D20" s="106" t="str">
        <f>VLOOKUP(C20,'Personal File'!$A$10:$C$15,3,FALSE)</f>
        <v>+3</v>
      </c>
      <c r="E20" s="107" t="str">
        <f t="shared" si="0"/>
        <v>Wis (+3)</v>
      </c>
      <c r="F20" s="68" t="s">
        <v>50</v>
      </c>
      <c r="G20" s="68">
        <f t="shared" si="1"/>
        <v>3</v>
      </c>
      <c r="H20" s="483">
        <f t="shared" ca="1" si="2"/>
        <v>1</v>
      </c>
      <c r="I20" s="68">
        <f t="shared" ca="1" si="5"/>
        <v>4</v>
      </c>
      <c r="J20" s="69"/>
    </row>
    <row r="21" spans="1:10" s="74" customFormat="1" ht="16.8" x14ac:dyDescent="0.3">
      <c r="A21" s="71" t="s">
        <v>38</v>
      </c>
      <c r="B21" s="58">
        <v>0</v>
      </c>
      <c r="C21" s="72" t="s">
        <v>266</v>
      </c>
      <c r="D21" s="73" t="str">
        <f>VLOOKUP(C21,'Personal File'!$A$10:$C$15,3,FALSE)</f>
        <v>+1</v>
      </c>
      <c r="E21" s="60" t="str">
        <f t="shared" si="0"/>
        <v>Dex (+1)</v>
      </c>
      <c r="F21" s="68">
        <f>SUM(Martial!$D$29:$D$34)</f>
        <v>0</v>
      </c>
      <c r="G21" s="68">
        <f t="shared" si="1"/>
        <v>1</v>
      </c>
      <c r="H21" s="483">
        <f t="shared" ca="1" si="2"/>
        <v>8</v>
      </c>
      <c r="I21" s="68">
        <f t="shared" ca="1" si="5"/>
        <v>9</v>
      </c>
      <c r="J21" s="69"/>
    </row>
    <row r="22" spans="1:10" s="74" customFormat="1" ht="16.8" x14ac:dyDescent="0.3">
      <c r="A22" s="75" t="s">
        <v>39</v>
      </c>
      <c r="B22" s="58">
        <v>0</v>
      </c>
      <c r="C22" s="76" t="s">
        <v>270</v>
      </c>
      <c r="D22" s="77" t="str">
        <f>VLOOKUP(C22,'Personal File'!$A$10:$C$15,3,FALSE)</f>
        <v>+1</v>
      </c>
      <c r="E22" s="78" t="str">
        <f t="shared" si="0"/>
        <v>Cha (+1)</v>
      </c>
      <c r="F22" s="68" t="s">
        <v>50</v>
      </c>
      <c r="G22" s="68">
        <f t="shared" si="1"/>
        <v>1</v>
      </c>
      <c r="H22" s="483">
        <f t="shared" ca="1" si="2"/>
        <v>7</v>
      </c>
      <c r="I22" s="68">
        <f t="shared" ca="1" si="5"/>
        <v>8</v>
      </c>
      <c r="J22" s="69"/>
    </row>
    <row r="23" spans="1:10" s="74" customFormat="1" ht="16.8" x14ac:dyDescent="0.3">
      <c r="A23" s="96" t="s">
        <v>40</v>
      </c>
      <c r="B23" s="58">
        <v>0</v>
      </c>
      <c r="C23" s="97" t="s">
        <v>265</v>
      </c>
      <c r="D23" s="98" t="str">
        <f>VLOOKUP(C23,'Personal File'!$A$10:$C$15,3,FALSE)</f>
        <v>+3</v>
      </c>
      <c r="E23" s="99" t="str">
        <f t="shared" si="0"/>
        <v>Str (+3)</v>
      </c>
      <c r="F23" s="68">
        <f>SUM(Martial!$D$29:$D$34)</f>
        <v>0</v>
      </c>
      <c r="G23" s="68">
        <f t="shared" si="1"/>
        <v>3</v>
      </c>
      <c r="H23" s="483">
        <f t="shared" ca="1" si="2"/>
        <v>9</v>
      </c>
      <c r="I23" s="68">
        <f t="shared" ca="1" si="5"/>
        <v>12</v>
      </c>
      <c r="J23" s="69"/>
    </row>
    <row r="24" spans="1:10" s="74" customFormat="1" ht="16.8" x14ac:dyDescent="0.3">
      <c r="A24" s="84" t="s">
        <v>79</v>
      </c>
      <c r="B24" s="80">
        <v>13</v>
      </c>
      <c r="C24" s="85" t="s">
        <v>268</v>
      </c>
      <c r="D24" s="86" t="str">
        <f>VLOOKUP(C24,'Personal File'!$A$10:$C$15,3,FALSE)</f>
        <v>+3</v>
      </c>
      <c r="E24" s="87" t="str">
        <f t="shared" si="0"/>
        <v>Int (+3)</v>
      </c>
      <c r="F24" s="81" t="s">
        <v>50</v>
      </c>
      <c r="G24" s="81">
        <f t="shared" ref="G24:G27" si="6">B24+D24+F24</f>
        <v>16</v>
      </c>
      <c r="H24" s="483">
        <f t="shared" ca="1" si="2"/>
        <v>1</v>
      </c>
      <c r="I24" s="81">
        <f t="shared" ref="I24:I27" ca="1" si="7">SUM(G24:H24)</f>
        <v>17</v>
      </c>
      <c r="J24" s="82"/>
    </row>
    <row r="25" spans="1:10" s="74" customFormat="1" ht="16.8" x14ac:dyDescent="0.3">
      <c r="A25" s="84" t="s">
        <v>95</v>
      </c>
      <c r="B25" s="80">
        <v>5</v>
      </c>
      <c r="C25" s="85" t="s">
        <v>268</v>
      </c>
      <c r="D25" s="86" t="str">
        <f>VLOOKUP(C25,'Personal File'!$A$10:$C$15,3,FALSE)</f>
        <v>+3</v>
      </c>
      <c r="E25" s="87" t="str">
        <f t="shared" si="0"/>
        <v>Int (+3)</v>
      </c>
      <c r="F25" s="81" t="s">
        <v>50</v>
      </c>
      <c r="G25" s="81">
        <f t="shared" ref="G25:G26" si="8">B25+D25+F25</f>
        <v>8</v>
      </c>
      <c r="H25" s="483">
        <f t="shared" ca="1" si="2"/>
        <v>9</v>
      </c>
      <c r="I25" s="81">
        <f t="shared" ref="I25:I26" ca="1" si="9">SUM(G25:H25)</f>
        <v>17</v>
      </c>
      <c r="J25" s="82"/>
    </row>
    <row r="26" spans="1:10" s="74" customFormat="1" ht="16.8" x14ac:dyDescent="0.3">
      <c r="A26" s="84" t="s">
        <v>96</v>
      </c>
      <c r="B26" s="80">
        <v>5</v>
      </c>
      <c r="C26" s="85" t="s">
        <v>268</v>
      </c>
      <c r="D26" s="86" t="str">
        <f>VLOOKUP(C26,'Personal File'!$A$10:$C$15,3,FALSE)</f>
        <v>+3</v>
      </c>
      <c r="E26" s="87" t="str">
        <f t="shared" si="0"/>
        <v>Int (+3)</v>
      </c>
      <c r="F26" s="81" t="s">
        <v>50</v>
      </c>
      <c r="G26" s="81">
        <f t="shared" si="8"/>
        <v>8</v>
      </c>
      <c r="H26" s="483">
        <f t="shared" ca="1" si="2"/>
        <v>17</v>
      </c>
      <c r="I26" s="81">
        <f t="shared" ca="1" si="9"/>
        <v>25</v>
      </c>
      <c r="J26" s="82"/>
    </row>
    <row r="27" spans="1:10" s="74" customFormat="1" ht="16.8" x14ac:dyDescent="0.3">
      <c r="A27" s="84" t="s">
        <v>97</v>
      </c>
      <c r="B27" s="80">
        <v>10</v>
      </c>
      <c r="C27" s="85" t="s">
        <v>268</v>
      </c>
      <c r="D27" s="86" t="str">
        <f>VLOOKUP(C27,'Personal File'!$A$10:$C$15,3,FALSE)</f>
        <v>+3</v>
      </c>
      <c r="E27" s="87" t="str">
        <f t="shared" si="0"/>
        <v>Int (+3)</v>
      </c>
      <c r="F27" s="81" t="s">
        <v>50</v>
      </c>
      <c r="G27" s="81">
        <f t="shared" si="6"/>
        <v>13</v>
      </c>
      <c r="H27" s="483">
        <f t="shared" ca="1" si="2"/>
        <v>7</v>
      </c>
      <c r="I27" s="81">
        <f t="shared" ca="1" si="7"/>
        <v>20</v>
      </c>
      <c r="J27" s="82"/>
    </row>
    <row r="28" spans="1:10" s="74" customFormat="1" ht="16.8" x14ac:dyDescent="0.3">
      <c r="A28" s="104" t="s">
        <v>41</v>
      </c>
      <c r="B28" s="58">
        <v>0</v>
      </c>
      <c r="C28" s="105" t="s">
        <v>269</v>
      </c>
      <c r="D28" s="106" t="str">
        <f>VLOOKUP(C28,'Personal File'!$A$10:$C$15,3,FALSE)</f>
        <v>+3</v>
      </c>
      <c r="E28" s="107" t="str">
        <f t="shared" si="0"/>
        <v>Wis (+3)</v>
      </c>
      <c r="F28" s="68" t="s">
        <v>72</v>
      </c>
      <c r="G28" s="68">
        <f t="shared" si="1"/>
        <v>4</v>
      </c>
      <c r="H28" s="483">
        <f t="shared" ca="1" si="2"/>
        <v>13</v>
      </c>
      <c r="I28" s="68">
        <f t="shared" ca="1" si="5"/>
        <v>17</v>
      </c>
      <c r="J28" s="69"/>
    </row>
    <row r="29" spans="1:10" s="74" customFormat="1" ht="16.8" x14ac:dyDescent="0.3">
      <c r="A29" s="71" t="s">
        <v>11</v>
      </c>
      <c r="B29" s="58">
        <v>0</v>
      </c>
      <c r="C29" s="72" t="s">
        <v>266</v>
      </c>
      <c r="D29" s="73" t="str">
        <f>VLOOKUP(C29,'Personal File'!$A$10:$C$15,3,FALSE)</f>
        <v>+1</v>
      </c>
      <c r="E29" s="60" t="str">
        <f t="shared" si="0"/>
        <v>Dex (+1)</v>
      </c>
      <c r="F29" s="68">
        <f>SUM(Martial!$D$29:$D$34)</f>
        <v>0</v>
      </c>
      <c r="G29" s="68">
        <f t="shared" si="1"/>
        <v>1</v>
      </c>
      <c r="H29" s="483">
        <f t="shared" ca="1" si="2"/>
        <v>20</v>
      </c>
      <c r="I29" s="68">
        <f t="shared" ca="1" si="5"/>
        <v>21</v>
      </c>
      <c r="J29" s="69"/>
    </row>
    <row r="30" spans="1:10" s="74" customFormat="1" ht="16.8" x14ac:dyDescent="0.3">
      <c r="A30" s="100" t="s">
        <v>42</v>
      </c>
      <c r="B30" s="89">
        <v>0</v>
      </c>
      <c r="C30" s="101" t="s">
        <v>266</v>
      </c>
      <c r="D30" s="102" t="str">
        <f>VLOOKUP(C30,'Personal File'!$A$10:$C$15,3,FALSE)</f>
        <v>+1</v>
      </c>
      <c r="E30" s="103" t="str">
        <f t="shared" si="0"/>
        <v>Dex (+1)</v>
      </c>
      <c r="F30" s="93" t="s">
        <v>50</v>
      </c>
      <c r="G30" s="93">
        <f t="shared" si="1"/>
        <v>1</v>
      </c>
      <c r="H30" s="483">
        <f t="shared" ca="1" si="2"/>
        <v>3</v>
      </c>
      <c r="I30" s="93">
        <f t="shared" ca="1" si="5"/>
        <v>4</v>
      </c>
      <c r="J30" s="94"/>
    </row>
    <row r="31" spans="1:10" ht="16.8" x14ac:dyDescent="0.3">
      <c r="A31" s="75" t="s">
        <v>78</v>
      </c>
      <c r="B31" s="58">
        <v>0</v>
      </c>
      <c r="C31" s="76" t="s">
        <v>270</v>
      </c>
      <c r="D31" s="77" t="str">
        <f>VLOOKUP(C31,'Personal File'!$A$10:$C$15,3,FALSE)</f>
        <v>+1</v>
      </c>
      <c r="E31" s="78" t="str">
        <f t="shared" si="0"/>
        <v>Cha (+1)</v>
      </c>
      <c r="F31" s="68" t="s">
        <v>50</v>
      </c>
      <c r="G31" s="68">
        <f t="shared" si="1"/>
        <v>1</v>
      </c>
      <c r="H31" s="483">
        <f t="shared" ca="1" si="2"/>
        <v>9</v>
      </c>
      <c r="I31" s="68">
        <f t="shared" ca="1" si="5"/>
        <v>10</v>
      </c>
      <c r="J31" s="69"/>
    </row>
    <row r="32" spans="1:10" ht="16.8" x14ac:dyDescent="0.3">
      <c r="A32" s="75" t="s">
        <v>338</v>
      </c>
      <c r="B32" s="58">
        <v>0</v>
      </c>
      <c r="C32" s="105" t="s">
        <v>269</v>
      </c>
      <c r="D32" s="106" t="str">
        <f>VLOOKUP(C32,'Personal File'!$A$10:$C$15,3,FALSE)</f>
        <v>+3</v>
      </c>
      <c r="E32" s="107" t="str">
        <f t="shared" si="0"/>
        <v>Wis (+3)</v>
      </c>
      <c r="F32" s="68" t="s">
        <v>50</v>
      </c>
      <c r="G32" s="68">
        <f t="shared" si="1"/>
        <v>3</v>
      </c>
      <c r="H32" s="483">
        <f t="shared" ca="1" si="2"/>
        <v>18</v>
      </c>
      <c r="I32" s="68">
        <f t="shared" ca="1" si="5"/>
        <v>21</v>
      </c>
      <c r="J32" s="69"/>
    </row>
    <row r="33" spans="1:10" ht="16.8" x14ac:dyDescent="0.3">
      <c r="A33" s="71" t="s">
        <v>12</v>
      </c>
      <c r="B33" s="58">
        <v>0</v>
      </c>
      <c r="C33" s="72" t="s">
        <v>266</v>
      </c>
      <c r="D33" s="73" t="str">
        <f>VLOOKUP(C33,'Personal File'!$A$10:$C$15,3,FALSE)</f>
        <v>+1</v>
      </c>
      <c r="E33" s="60" t="str">
        <f t="shared" si="0"/>
        <v>Dex (+1)</v>
      </c>
      <c r="F33" s="68" t="s">
        <v>50</v>
      </c>
      <c r="G33" s="68">
        <f t="shared" si="1"/>
        <v>1</v>
      </c>
      <c r="H33" s="483">
        <f t="shared" ca="1" si="2"/>
        <v>7</v>
      </c>
      <c r="I33" s="68">
        <f t="shared" ca="1" si="5"/>
        <v>8</v>
      </c>
      <c r="J33" s="69"/>
    </row>
    <row r="34" spans="1:10" ht="16.8" x14ac:dyDescent="0.3">
      <c r="A34" s="64" t="s">
        <v>13</v>
      </c>
      <c r="B34" s="58">
        <v>0</v>
      </c>
      <c r="C34" s="65" t="s">
        <v>268</v>
      </c>
      <c r="D34" s="66" t="str">
        <f>VLOOKUP(C34,'Personal File'!$A$10:$C$15,3,FALSE)</f>
        <v>+3</v>
      </c>
      <c r="E34" s="67" t="str">
        <f t="shared" si="0"/>
        <v>Int (+3)</v>
      </c>
      <c r="F34" s="68" t="s">
        <v>72</v>
      </c>
      <c r="G34" s="68">
        <f t="shared" si="1"/>
        <v>4</v>
      </c>
      <c r="H34" s="483">
        <f t="shared" ca="1" si="2"/>
        <v>19</v>
      </c>
      <c r="I34" s="68">
        <f t="shared" ca="1" si="5"/>
        <v>23</v>
      </c>
      <c r="J34" s="69"/>
    </row>
    <row r="35" spans="1:10" ht="16.8" x14ac:dyDescent="0.3">
      <c r="A35" s="104" t="s">
        <v>43</v>
      </c>
      <c r="B35" s="58">
        <v>0</v>
      </c>
      <c r="C35" s="105" t="s">
        <v>269</v>
      </c>
      <c r="D35" s="106" t="str">
        <f>VLOOKUP(C35,'Personal File'!$A$10:$C$15,3,FALSE)</f>
        <v>+3</v>
      </c>
      <c r="E35" s="107" t="str">
        <f t="shared" si="0"/>
        <v>Wis (+3)</v>
      </c>
      <c r="F35" s="68" t="s">
        <v>50</v>
      </c>
      <c r="G35" s="68">
        <f t="shared" si="1"/>
        <v>3</v>
      </c>
      <c r="H35" s="483">
        <f t="shared" ca="1" si="2"/>
        <v>15</v>
      </c>
      <c r="I35" s="68">
        <f t="shared" ca="1" si="5"/>
        <v>18</v>
      </c>
      <c r="J35" s="69"/>
    </row>
    <row r="36" spans="1:10" ht="16.8" x14ac:dyDescent="0.3">
      <c r="A36" s="100" t="s">
        <v>66</v>
      </c>
      <c r="B36" s="89">
        <v>0</v>
      </c>
      <c r="C36" s="101" t="s">
        <v>266</v>
      </c>
      <c r="D36" s="102" t="str">
        <f>VLOOKUP(C36,'Personal File'!$A$10:$C$15,3,FALSE)</f>
        <v>+1</v>
      </c>
      <c r="E36" s="103" t="str">
        <f t="shared" si="0"/>
        <v>Dex (+1)</v>
      </c>
      <c r="F36" s="475">
        <f>SUM(Martial!$D$29:$D$34)</f>
        <v>0</v>
      </c>
      <c r="G36" s="93">
        <f t="shared" si="1"/>
        <v>1</v>
      </c>
      <c r="H36" s="483">
        <f t="shared" ca="1" si="2"/>
        <v>2</v>
      </c>
      <c r="I36" s="93">
        <f t="shared" ca="1" si="5"/>
        <v>3</v>
      </c>
      <c r="J36" s="94"/>
    </row>
    <row r="37" spans="1:10" ht="16.8" x14ac:dyDescent="0.3">
      <c r="A37" s="88" t="s">
        <v>98</v>
      </c>
      <c r="B37" s="89">
        <v>0</v>
      </c>
      <c r="C37" s="90" t="s">
        <v>268</v>
      </c>
      <c r="D37" s="91" t="str">
        <f>VLOOKUP(C37,'Personal File'!$A$10:$C$15,3,FALSE)</f>
        <v>+3</v>
      </c>
      <c r="E37" s="92" t="str">
        <f t="shared" si="0"/>
        <v>Int (+3)</v>
      </c>
      <c r="F37" s="93" t="s">
        <v>50</v>
      </c>
      <c r="G37" s="93">
        <f t="shared" ref="G37" si="10">B37+D37+F37</f>
        <v>3</v>
      </c>
      <c r="H37" s="483">
        <f t="shared" ca="1" si="2"/>
        <v>6</v>
      </c>
      <c r="I37" s="93">
        <f t="shared" ref="I37" ca="1" si="11">SUM(G37:H37)</f>
        <v>9</v>
      </c>
      <c r="J37" s="159"/>
    </row>
    <row r="38" spans="1:10" ht="16.8" x14ac:dyDescent="0.3">
      <c r="A38" s="84" t="s">
        <v>44</v>
      </c>
      <c r="B38" s="80">
        <v>10</v>
      </c>
      <c r="C38" s="85" t="s">
        <v>268</v>
      </c>
      <c r="D38" s="86" t="str">
        <f>VLOOKUP(C38,'Personal File'!$A$10:$C$15,3,FALSE)</f>
        <v>+3</v>
      </c>
      <c r="E38" s="87" t="str">
        <f t="shared" si="0"/>
        <v>Int (+3)</v>
      </c>
      <c r="F38" s="81" t="s">
        <v>50</v>
      </c>
      <c r="G38" s="81">
        <f t="shared" ref="G38" si="12">B38+D38+F38</f>
        <v>13</v>
      </c>
      <c r="H38" s="483">
        <f t="shared" ca="1" si="2"/>
        <v>13</v>
      </c>
      <c r="I38" s="81">
        <f t="shared" ref="I38" ca="1" si="13">SUM(G38:H38)</f>
        <v>26</v>
      </c>
      <c r="J38" s="108"/>
    </row>
    <row r="39" spans="1:10" ht="16.8" x14ac:dyDescent="0.3">
      <c r="A39" s="104" t="s">
        <v>45</v>
      </c>
      <c r="B39" s="58">
        <v>0</v>
      </c>
      <c r="C39" s="105" t="s">
        <v>269</v>
      </c>
      <c r="D39" s="106" t="str">
        <f>VLOOKUP(C39,'Personal File'!$A$10:$C$15,3,FALSE)</f>
        <v>+3</v>
      </c>
      <c r="E39" s="107" t="str">
        <f t="shared" si="0"/>
        <v>Wis (+3)</v>
      </c>
      <c r="F39" s="68" t="s">
        <v>72</v>
      </c>
      <c r="G39" s="68">
        <f t="shared" si="1"/>
        <v>4</v>
      </c>
      <c r="H39" s="483">
        <f t="shared" ca="1" si="2"/>
        <v>5</v>
      </c>
      <c r="I39" s="68">
        <f t="shared" ca="1" si="5"/>
        <v>9</v>
      </c>
      <c r="J39" s="481"/>
    </row>
    <row r="40" spans="1:10" ht="16.8" x14ac:dyDescent="0.3">
      <c r="A40" s="104" t="s">
        <v>67</v>
      </c>
      <c r="B40" s="58">
        <v>0</v>
      </c>
      <c r="C40" s="105" t="s">
        <v>269</v>
      </c>
      <c r="D40" s="106" t="str">
        <f>VLOOKUP(C40,'Personal File'!$A$10:$C$15,3,FALSE)</f>
        <v>+3</v>
      </c>
      <c r="E40" s="107" t="str">
        <f t="shared" si="0"/>
        <v>Wis (+3)</v>
      </c>
      <c r="F40" s="68" t="s">
        <v>50</v>
      </c>
      <c r="G40" s="68">
        <f t="shared" si="1"/>
        <v>3</v>
      </c>
      <c r="H40" s="483">
        <f t="shared" ca="1" si="2"/>
        <v>8</v>
      </c>
      <c r="I40" s="68">
        <f t="shared" ca="1" si="5"/>
        <v>11</v>
      </c>
      <c r="J40" s="69"/>
    </row>
    <row r="41" spans="1:10" ht="16.8" x14ac:dyDescent="0.3">
      <c r="A41" s="96" t="s">
        <v>14</v>
      </c>
      <c r="B41" s="58">
        <v>0</v>
      </c>
      <c r="C41" s="97" t="s">
        <v>265</v>
      </c>
      <c r="D41" s="98" t="str">
        <f>VLOOKUP(C41,'Personal File'!$A$10:$C$15,3,FALSE)</f>
        <v>+3</v>
      </c>
      <c r="E41" s="99" t="str">
        <f t="shared" si="0"/>
        <v>Str (+3)</v>
      </c>
      <c r="F41" s="68" t="s">
        <v>50</v>
      </c>
      <c r="G41" s="68">
        <f t="shared" si="1"/>
        <v>3</v>
      </c>
      <c r="H41" s="483">
        <f t="shared" ca="1" si="2"/>
        <v>11</v>
      </c>
      <c r="I41" s="68">
        <f t="shared" ca="1" si="5"/>
        <v>14</v>
      </c>
      <c r="J41" s="69"/>
    </row>
    <row r="42" spans="1:10" ht="16.8" x14ac:dyDescent="0.3">
      <c r="A42" s="100" t="s">
        <v>46</v>
      </c>
      <c r="B42" s="89">
        <v>0</v>
      </c>
      <c r="C42" s="101" t="s">
        <v>266</v>
      </c>
      <c r="D42" s="102" t="str">
        <f>VLOOKUP(C42,'Personal File'!$A$10:$C$15,3,FALSE)</f>
        <v>+1</v>
      </c>
      <c r="E42" s="103" t="str">
        <f t="shared" si="0"/>
        <v>Dex (+1)</v>
      </c>
      <c r="F42" s="475">
        <f>SUM(Martial!$D$29:$D$34)</f>
        <v>0</v>
      </c>
      <c r="G42" s="93">
        <f t="shared" si="1"/>
        <v>1</v>
      </c>
      <c r="H42" s="483">
        <f t="shared" ca="1" si="2"/>
        <v>5</v>
      </c>
      <c r="I42" s="93">
        <f t="shared" ca="1" si="5"/>
        <v>6</v>
      </c>
      <c r="J42" s="94"/>
    </row>
    <row r="43" spans="1:10" ht="16.8" x14ac:dyDescent="0.3">
      <c r="A43" s="203" t="s">
        <v>47</v>
      </c>
      <c r="B43" s="80">
        <v>16</v>
      </c>
      <c r="C43" s="446" t="s">
        <v>270</v>
      </c>
      <c r="D43" s="447" t="str">
        <f>VLOOKUP(C43,'Personal File'!$A$10:$C$15,3,FALSE)</f>
        <v>+1</v>
      </c>
      <c r="E43" s="448" t="str">
        <f t="shared" si="0"/>
        <v>Cha (+1)</v>
      </c>
      <c r="F43" s="81" t="s">
        <v>50</v>
      </c>
      <c r="G43" s="81">
        <f t="shared" si="1"/>
        <v>17</v>
      </c>
      <c r="H43" s="483">
        <f t="shared" ca="1" si="2"/>
        <v>4</v>
      </c>
      <c r="I43" s="81">
        <f t="shared" ca="1" si="5"/>
        <v>21</v>
      </c>
      <c r="J43" s="82"/>
    </row>
    <row r="44" spans="1:10" ht="17.399999999999999" thickBot="1" x14ac:dyDescent="0.35">
      <c r="A44" s="160" t="s">
        <v>48</v>
      </c>
      <c r="B44" s="161">
        <v>0</v>
      </c>
      <c r="C44" s="162" t="s">
        <v>266</v>
      </c>
      <c r="D44" s="163" t="str">
        <f>VLOOKUP(C44,'Personal File'!$A$10:$C$15,3,FALSE)</f>
        <v>+1</v>
      </c>
      <c r="E44" s="164" t="str">
        <f t="shared" si="0"/>
        <v>Dex (+1)</v>
      </c>
      <c r="F44" s="165" t="s">
        <v>50</v>
      </c>
      <c r="G44" s="165">
        <f t="shared" si="1"/>
        <v>1</v>
      </c>
      <c r="H44" s="486">
        <f t="shared" ca="1" si="2"/>
        <v>16</v>
      </c>
      <c r="I44" s="165">
        <f t="shared" ca="1" si="5"/>
        <v>17</v>
      </c>
      <c r="J44" s="166"/>
    </row>
    <row r="45" spans="1:10" ht="16.2" thickTop="1" x14ac:dyDescent="0.3">
      <c r="B45" s="216">
        <f>SUM(B6:B44,B13,B32)</f>
        <v>75</v>
      </c>
      <c r="E45" s="216">
        <f>SUM(E46:E57)</f>
        <v>75</v>
      </c>
      <c r="F45" s="110" t="s">
        <v>51</v>
      </c>
    </row>
    <row r="46" spans="1:10" x14ac:dyDescent="0.3">
      <c r="E46" s="153">
        <f>4*(2+'Personal File'!$C$13)</f>
        <v>20</v>
      </c>
      <c r="F46" s="112" t="s">
        <v>100</v>
      </c>
    </row>
    <row r="47" spans="1:10" x14ac:dyDescent="0.3">
      <c r="B47" s="109"/>
      <c r="E47" s="153">
        <f>2+'Personal File'!$C$13</f>
        <v>5</v>
      </c>
      <c r="F47" s="112" t="s">
        <v>101</v>
      </c>
    </row>
    <row r="48" spans="1:10" x14ac:dyDescent="0.3">
      <c r="B48" s="109"/>
      <c r="E48" s="153">
        <f>2+'Personal File'!$C$13</f>
        <v>5</v>
      </c>
      <c r="F48" s="112" t="s">
        <v>102</v>
      </c>
    </row>
    <row r="49" spans="2:6" x14ac:dyDescent="0.3">
      <c r="B49" s="109"/>
      <c r="E49" s="153">
        <f>2+'Personal File'!$C$13</f>
        <v>5</v>
      </c>
      <c r="F49" s="112" t="s">
        <v>103</v>
      </c>
    </row>
    <row r="50" spans="2:6" x14ac:dyDescent="0.3">
      <c r="E50" s="153">
        <f>2+'Personal File'!$C$13</f>
        <v>5</v>
      </c>
      <c r="F50" s="112" t="s">
        <v>154</v>
      </c>
    </row>
    <row r="51" spans="2:6" x14ac:dyDescent="0.3">
      <c r="E51" s="153">
        <f>2+'Personal File'!$C$13</f>
        <v>5</v>
      </c>
      <c r="F51" s="112" t="s">
        <v>155</v>
      </c>
    </row>
    <row r="52" spans="2:6" x14ac:dyDescent="0.3">
      <c r="E52" s="153">
        <f>2+'Personal File'!$C$13</f>
        <v>5</v>
      </c>
      <c r="F52" s="112" t="s">
        <v>156</v>
      </c>
    </row>
    <row r="53" spans="2:6" x14ac:dyDescent="0.3">
      <c r="E53" s="153">
        <f>2+'Personal File'!$C$13</f>
        <v>5</v>
      </c>
      <c r="F53" s="112" t="s">
        <v>157</v>
      </c>
    </row>
    <row r="54" spans="2:6" x14ac:dyDescent="0.3">
      <c r="E54" s="153">
        <f>2+'Personal File'!$C$13</f>
        <v>5</v>
      </c>
      <c r="F54" s="112" t="s">
        <v>186</v>
      </c>
    </row>
    <row r="55" spans="2:6" x14ac:dyDescent="0.3">
      <c r="E55" s="153">
        <f>2+'Personal File'!$C$13</f>
        <v>5</v>
      </c>
      <c r="F55" s="112" t="s">
        <v>201</v>
      </c>
    </row>
    <row r="56" spans="2:6" x14ac:dyDescent="0.3">
      <c r="E56" s="153">
        <f>2+'Personal File'!$C$13</f>
        <v>5</v>
      </c>
      <c r="F56" s="112" t="s">
        <v>217</v>
      </c>
    </row>
    <row r="57" spans="2:6" x14ac:dyDescent="0.3">
      <c r="E57" s="153">
        <f>2+'Personal File'!$C$13</f>
        <v>5</v>
      </c>
      <c r="F57" s="112" t="s">
        <v>218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
  <sheetViews>
    <sheetView showGridLines="0" zoomScaleNormal="100" workbookViewId="0">
      <pane ySplit="2" topLeftCell="A3" activePane="bottomLeft" state="frozen"/>
      <selection pane="bottomLeft" activeCell="A3" sqref="A3"/>
    </sheetView>
  </sheetViews>
  <sheetFormatPr defaultColWidth="18.19921875" defaultRowHeight="15.6" x14ac:dyDescent="0.3"/>
  <cols>
    <col min="1" max="1" width="23.69921875" style="185" bestFit="1" customWidth="1"/>
    <col min="2" max="2" width="6.19921875" style="185" bestFit="1" customWidth="1"/>
    <col min="3" max="3" width="13.59765625" style="186" bestFit="1" customWidth="1"/>
    <col min="4" max="4" width="11.296875" style="186" bestFit="1" customWidth="1"/>
    <col min="5" max="5" width="7.296875" style="186" bestFit="1" customWidth="1"/>
    <col min="6" max="6" width="13.19921875" style="186" bestFit="1" customWidth="1"/>
    <col min="7" max="7" width="9.796875" style="186" bestFit="1" customWidth="1"/>
    <col min="8" max="8" width="21.69921875" style="185" bestFit="1" customWidth="1"/>
    <col min="9" max="9" width="5.5" style="184" bestFit="1" customWidth="1"/>
    <col min="10" max="10" width="4.8984375" style="184" bestFit="1" customWidth="1"/>
    <col min="11" max="16384" width="18.19921875" style="184"/>
  </cols>
  <sheetData>
    <row r="1" spans="1:10" ht="23.4" thickBot="1" x14ac:dyDescent="0.45">
      <c r="A1" s="336" t="s">
        <v>136</v>
      </c>
      <c r="B1" s="196"/>
      <c r="C1" s="196"/>
      <c r="D1" s="196"/>
      <c r="E1" s="196"/>
      <c r="F1" s="196"/>
      <c r="G1" s="196"/>
      <c r="H1" s="196"/>
    </row>
    <row r="2" spans="1:10" s="224" customFormat="1" ht="16.8" x14ac:dyDescent="0.3">
      <c r="A2" s="331" t="s">
        <v>135</v>
      </c>
      <c r="B2" s="332" t="s">
        <v>89</v>
      </c>
      <c r="C2" s="332" t="s">
        <v>134</v>
      </c>
      <c r="D2" s="333" t="s">
        <v>133</v>
      </c>
      <c r="E2" s="333" t="s">
        <v>132</v>
      </c>
      <c r="F2" s="332" t="s">
        <v>131</v>
      </c>
      <c r="G2" s="332" t="s">
        <v>130</v>
      </c>
      <c r="H2" s="334" t="s">
        <v>140</v>
      </c>
      <c r="I2" s="335" t="s">
        <v>141</v>
      </c>
      <c r="J2" s="474" t="s">
        <v>290</v>
      </c>
    </row>
    <row r="3" spans="1:10" s="195" customFormat="1" ht="16.8" x14ac:dyDescent="0.3">
      <c r="A3" s="337" t="s">
        <v>166</v>
      </c>
      <c r="B3" s="191">
        <v>0</v>
      </c>
      <c r="C3" s="225" t="s">
        <v>129</v>
      </c>
      <c r="D3" s="189" t="s">
        <v>119</v>
      </c>
      <c r="E3" s="226" t="s">
        <v>118</v>
      </c>
      <c r="F3" s="197" t="s">
        <v>127</v>
      </c>
      <c r="G3" s="197" t="s">
        <v>116</v>
      </c>
      <c r="H3" s="197" t="s">
        <v>138</v>
      </c>
      <c r="I3" s="198">
        <v>196</v>
      </c>
    </row>
    <row r="4" spans="1:10" ht="16.8" x14ac:dyDescent="0.3">
      <c r="A4" s="337" t="s">
        <v>142</v>
      </c>
      <c r="B4" s="191">
        <v>0</v>
      </c>
      <c r="C4" s="194" t="s">
        <v>143</v>
      </c>
      <c r="D4" s="189" t="s">
        <v>123</v>
      </c>
      <c r="E4" s="192" t="s">
        <v>118</v>
      </c>
      <c r="F4" s="192" t="s">
        <v>127</v>
      </c>
      <c r="G4" s="192" t="s">
        <v>121</v>
      </c>
      <c r="H4" s="197" t="s">
        <v>138</v>
      </c>
      <c r="I4" s="198">
        <v>217</v>
      </c>
    </row>
    <row r="5" spans="1:10" ht="16.8" x14ac:dyDescent="0.3">
      <c r="A5" s="337" t="s">
        <v>128</v>
      </c>
      <c r="B5" s="191">
        <v>0</v>
      </c>
      <c r="C5" s="194" t="s">
        <v>151</v>
      </c>
      <c r="D5" s="193" t="s">
        <v>119</v>
      </c>
      <c r="E5" s="192" t="s">
        <v>118</v>
      </c>
      <c r="F5" s="192" t="s">
        <v>127</v>
      </c>
      <c r="G5" s="192" t="s">
        <v>116</v>
      </c>
      <c r="H5" s="197" t="s">
        <v>138</v>
      </c>
      <c r="I5" s="198">
        <v>223</v>
      </c>
    </row>
    <row r="6" spans="1:10" ht="16.8" x14ac:dyDescent="0.3">
      <c r="A6" s="337" t="s">
        <v>187</v>
      </c>
      <c r="B6" s="191">
        <v>0</v>
      </c>
      <c r="C6" s="228" t="s">
        <v>172</v>
      </c>
      <c r="D6" s="189" t="s">
        <v>119</v>
      </c>
      <c r="E6" s="226" t="s">
        <v>118</v>
      </c>
      <c r="F6" s="197" t="s">
        <v>170</v>
      </c>
      <c r="G6" s="197" t="s">
        <v>116</v>
      </c>
      <c r="H6" s="197" t="s">
        <v>138</v>
      </c>
      <c r="I6" s="198">
        <v>246</v>
      </c>
    </row>
    <row r="7" spans="1:10" ht="16.8" x14ac:dyDescent="0.3">
      <c r="A7" s="338" t="s">
        <v>167</v>
      </c>
      <c r="B7" s="187">
        <v>0</v>
      </c>
      <c r="C7" s="281" t="s">
        <v>151</v>
      </c>
      <c r="D7" s="282" t="s">
        <v>123</v>
      </c>
      <c r="E7" s="284" t="s">
        <v>118</v>
      </c>
      <c r="F7" s="284" t="s">
        <v>125</v>
      </c>
      <c r="G7" s="284" t="s">
        <v>124</v>
      </c>
      <c r="H7" s="199" t="s">
        <v>138</v>
      </c>
      <c r="I7" s="200">
        <v>294</v>
      </c>
    </row>
    <row r="8" spans="1:10" ht="16.8" x14ac:dyDescent="0.3">
      <c r="A8" s="337" t="s">
        <v>188</v>
      </c>
      <c r="B8" s="191">
        <v>1</v>
      </c>
      <c r="C8" s="228" t="s">
        <v>151</v>
      </c>
      <c r="D8" s="189" t="s">
        <v>119</v>
      </c>
      <c r="E8" s="226" t="s">
        <v>118</v>
      </c>
      <c r="F8" s="197" t="s">
        <v>125</v>
      </c>
      <c r="G8" s="197" t="s">
        <v>116</v>
      </c>
      <c r="H8" s="197" t="s">
        <v>138</v>
      </c>
      <c r="I8" s="255">
        <v>209</v>
      </c>
    </row>
    <row r="9" spans="1:10" ht="16.8" x14ac:dyDescent="0.3">
      <c r="A9" s="337" t="s">
        <v>189</v>
      </c>
      <c r="B9" s="191">
        <v>1</v>
      </c>
      <c r="C9" s="228" t="s">
        <v>144</v>
      </c>
      <c r="D9" s="189" t="s">
        <v>146</v>
      </c>
      <c r="E9" s="226" t="s">
        <v>191</v>
      </c>
      <c r="F9" s="197" t="s">
        <v>127</v>
      </c>
      <c r="G9" s="197" t="s">
        <v>124</v>
      </c>
      <c r="H9" s="197" t="s">
        <v>138</v>
      </c>
      <c r="I9" s="255">
        <v>229</v>
      </c>
    </row>
    <row r="10" spans="1:10" ht="16.8" x14ac:dyDescent="0.3">
      <c r="A10" s="337" t="s">
        <v>219</v>
      </c>
      <c r="B10" s="191">
        <v>1</v>
      </c>
      <c r="C10" s="228" t="s">
        <v>172</v>
      </c>
      <c r="D10" s="189" t="s">
        <v>146</v>
      </c>
      <c r="E10" s="226" t="s">
        <v>118</v>
      </c>
      <c r="F10" s="197" t="s">
        <v>170</v>
      </c>
      <c r="G10" s="197" t="s">
        <v>121</v>
      </c>
      <c r="H10" s="197" t="s">
        <v>171</v>
      </c>
      <c r="I10" s="198">
        <v>145</v>
      </c>
    </row>
    <row r="11" spans="1:10" ht="16.8" x14ac:dyDescent="0.3">
      <c r="A11" s="337" t="s">
        <v>220</v>
      </c>
      <c r="B11" s="191">
        <v>1</v>
      </c>
      <c r="C11" s="228" t="s">
        <v>144</v>
      </c>
      <c r="D11" s="189" t="s">
        <v>119</v>
      </c>
      <c r="E11" s="226" t="s">
        <v>118</v>
      </c>
      <c r="F11" s="197" t="s">
        <v>170</v>
      </c>
      <c r="G11" s="197" t="s">
        <v>221</v>
      </c>
      <c r="H11" s="197" t="s">
        <v>222</v>
      </c>
      <c r="I11" s="198">
        <v>72</v>
      </c>
    </row>
    <row r="12" spans="1:10" ht="16.8" x14ac:dyDescent="0.3">
      <c r="A12" s="337" t="s">
        <v>126</v>
      </c>
      <c r="B12" s="191">
        <v>1</v>
      </c>
      <c r="C12" s="228" t="s">
        <v>120</v>
      </c>
      <c r="D12" s="189" t="s">
        <v>119</v>
      </c>
      <c r="E12" s="226" t="s">
        <v>118</v>
      </c>
      <c r="F12" s="197" t="s">
        <v>125</v>
      </c>
      <c r="G12" s="197" t="s">
        <v>116</v>
      </c>
      <c r="H12" s="197" t="s">
        <v>138</v>
      </c>
      <c r="I12" s="255">
        <v>279</v>
      </c>
      <c r="J12" s="474"/>
    </row>
    <row r="13" spans="1:10" ht="16.8" x14ac:dyDescent="0.3">
      <c r="A13" s="337" t="s">
        <v>190</v>
      </c>
      <c r="B13" s="191">
        <v>1</v>
      </c>
      <c r="C13" s="194" t="s">
        <v>143</v>
      </c>
      <c r="D13" s="189" t="s">
        <v>175</v>
      </c>
      <c r="E13" s="192" t="s">
        <v>118</v>
      </c>
      <c r="F13" s="192" t="s">
        <v>117</v>
      </c>
      <c r="G13" s="192" t="s">
        <v>169</v>
      </c>
      <c r="H13" s="197" t="s">
        <v>138</v>
      </c>
      <c r="I13" s="198">
        <v>280</v>
      </c>
    </row>
    <row r="14" spans="1:10" ht="16.8" x14ac:dyDescent="0.3">
      <c r="A14" s="337" t="s">
        <v>165</v>
      </c>
      <c r="B14" s="191">
        <v>1</v>
      </c>
      <c r="C14" s="228" t="s">
        <v>144</v>
      </c>
      <c r="D14" s="189" t="s">
        <v>146</v>
      </c>
      <c r="E14" s="226" t="s">
        <v>122</v>
      </c>
      <c r="F14" s="197" t="s">
        <v>170</v>
      </c>
      <c r="G14" s="197" t="s">
        <v>121</v>
      </c>
      <c r="H14" s="197" t="s">
        <v>171</v>
      </c>
      <c r="I14" s="198">
        <v>149</v>
      </c>
      <c r="J14" s="474"/>
    </row>
    <row r="15" spans="1:10" ht="16.8" x14ac:dyDescent="0.3">
      <c r="A15" s="338" t="s">
        <v>164</v>
      </c>
      <c r="B15" s="187">
        <v>1</v>
      </c>
      <c r="C15" s="281" t="s">
        <v>172</v>
      </c>
      <c r="D15" s="282" t="s">
        <v>173</v>
      </c>
      <c r="E15" s="284" t="s">
        <v>118</v>
      </c>
      <c r="F15" s="284" t="s">
        <v>170</v>
      </c>
      <c r="G15" s="284" t="s">
        <v>174</v>
      </c>
      <c r="H15" s="199" t="s">
        <v>138</v>
      </c>
      <c r="I15" s="200">
        <v>296</v>
      </c>
    </row>
    <row r="16" spans="1:10" ht="16.8" x14ac:dyDescent="0.3">
      <c r="A16" s="337" t="s">
        <v>192</v>
      </c>
      <c r="B16" s="191">
        <v>2</v>
      </c>
      <c r="C16" s="228" t="s">
        <v>144</v>
      </c>
      <c r="D16" s="189" t="s">
        <v>199</v>
      </c>
      <c r="E16" s="226" t="s">
        <v>118</v>
      </c>
      <c r="F16" s="197" t="s">
        <v>125</v>
      </c>
      <c r="G16" s="197" t="s">
        <v>176</v>
      </c>
      <c r="H16" s="197" t="s">
        <v>138</v>
      </c>
      <c r="I16" s="198">
        <v>203</v>
      </c>
      <c r="J16" s="474"/>
    </row>
    <row r="17" spans="1:10" ht="16.8" x14ac:dyDescent="0.3">
      <c r="A17" s="337" t="s">
        <v>223</v>
      </c>
      <c r="B17" s="191">
        <v>2</v>
      </c>
      <c r="C17" s="228" t="s">
        <v>224</v>
      </c>
      <c r="D17" s="189" t="s">
        <v>146</v>
      </c>
      <c r="E17" s="226" t="s">
        <v>122</v>
      </c>
      <c r="F17" s="197" t="s">
        <v>170</v>
      </c>
      <c r="G17" s="197" t="s">
        <v>124</v>
      </c>
      <c r="H17" s="197" t="s">
        <v>171</v>
      </c>
      <c r="I17" s="198">
        <v>144</v>
      </c>
    </row>
    <row r="18" spans="1:10" ht="16.8" x14ac:dyDescent="0.3">
      <c r="A18" s="337" t="s">
        <v>168</v>
      </c>
      <c r="B18" s="191">
        <v>2</v>
      </c>
      <c r="C18" s="228" t="s">
        <v>144</v>
      </c>
      <c r="D18" s="189" t="s">
        <v>175</v>
      </c>
      <c r="E18" s="226" t="s">
        <v>118</v>
      </c>
      <c r="F18" s="197" t="s">
        <v>125</v>
      </c>
      <c r="G18" s="197" t="s">
        <v>169</v>
      </c>
      <c r="H18" s="197" t="s">
        <v>138</v>
      </c>
      <c r="I18" s="198">
        <v>207</v>
      </c>
      <c r="J18" s="474"/>
    </row>
    <row r="19" spans="1:10" ht="16.8" x14ac:dyDescent="0.3">
      <c r="A19" s="337" t="s">
        <v>145</v>
      </c>
      <c r="B19" s="191">
        <v>2</v>
      </c>
      <c r="C19" s="228" t="s">
        <v>129</v>
      </c>
      <c r="D19" s="189" t="s">
        <v>146</v>
      </c>
      <c r="E19" s="226" t="s">
        <v>118</v>
      </c>
      <c r="F19" s="197" t="s">
        <v>125</v>
      </c>
      <c r="G19" s="197" t="s">
        <v>116</v>
      </c>
      <c r="H19" s="197" t="s">
        <v>139</v>
      </c>
      <c r="I19" s="198">
        <v>110</v>
      </c>
    </row>
    <row r="20" spans="1:10" ht="16.8" x14ac:dyDescent="0.3">
      <c r="A20" s="337" t="s">
        <v>193</v>
      </c>
      <c r="B20" s="191">
        <v>2</v>
      </c>
      <c r="C20" s="228" t="s">
        <v>198</v>
      </c>
      <c r="D20" s="189" t="s">
        <v>199</v>
      </c>
      <c r="E20" s="226" t="s">
        <v>118</v>
      </c>
      <c r="F20" s="197" t="s">
        <v>125</v>
      </c>
      <c r="G20" s="197" t="s">
        <v>176</v>
      </c>
      <c r="H20" s="197" t="s">
        <v>138</v>
      </c>
      <c r="I20" s="198">
        <v>272</v>
      </c>
    </row>
    <row r="21" spans="1:10" ht="16.8" x14ac:dyDescent="0.3">
      <c r="A21" s="337" t="s">
        <v>225</v>
      </c>
      <c r="B21" s="191">
        <v>2</v>
      </c>
      <c r="C21" s="190" t="s">
        <v>144</v>
      </c>
      <c r="D21" s="189" t="s">
        <v>146</v>
      </c>
      <c r="E21" s="210" t="s">
        <v>122</v>
      </c>
      <c r="F21" s="188" t="s">
        <v>170</v>
      </c>
      <c r="G21" s="188" t="s">
        <v>121</v>
      </c>
      <c r="H21" s="197" t="s">
        <v>171</v>
      </c>
      <c r="I21" s="198">
        <v>149</v>
      </c>
      <c r="J21" s="474"/>
    </row>
    <row r="22" spans="1:10" ht="16.8" x14ac:dyDescent="0.3">
      <c r="A22" s="337" t="s">
        <v>194</v>
      </c>
      <c r="B22" s="191">
        <v>2</v>
      </c>
      <c r="C22" s="190" t="s">
        <v>143</v>
      </c>
      <c r="D22" s="189" t="s">
        <v>119</v>
      </c>
      <c r="E22" s="210" t="s">
        <v>118</v>
      </c>
      <c r="F22" s="188" t="s">
        <v>125</v>
      </c>
      <c r="G22" s="188" t="s">
        <v>176</v>
      </c>
      <c r="H22" s="197" t="s">
        <v>138</v>
      </c>
      <c r="I22" s="198">
        <v>294</v>
      </c>
    </row>
    <row r="23" spans="1:10" ht="16.8" x14ac:dyDescent="0.3">
      <c r="A23" s="337" t="s">
        <v>195</v>
      </c>
      <c r="B23" s="191">
        <v>2</v>
      </c>
      <c r="C23" s="190" t="s">
        <v>151</v>
      </c>
      <c r="D23" s="189" t="s">
        <v>119</v>
      </c>
      <c r="E23" s="210" t="s">
        <v>118</v>
      </c>
      <c r="F23" s="188" t="s">
        <v>125</v>
      </c>
      <c r="G23" s="188" t="s">
        <v>116</v>
      </c>
      <c r="H23" s="197" t="s">
        <v>171</v>
      </c>
      <c r="I23" s="198">
        <v>158</v>
      </c>
    </row>
    <row r="24" spans="1:10" ht="16.8" x14ac:dyDescent="0.3">
      <c r="A24" s="338" t="s">
        <v>202</v>
      </c>
      <c r="B24" s="187">
        <v>2</v>
      </c>
      <c r="C24" s="256" t="s">
        <v>144</v>
      </c>
      <c r="D24" s="283" t="s">
        <v>119</v>
      </c>
      <c r="E24" s="257" t="s">
        <v>122</v>
      </c>
      <c r="F24" s="285" t="s">
        <v>170</v>
      </c>
      <c r="G24" s="199" t="s">
        <v>121</v>
      </c>
      <c r="H24" s="199" t="s">
        <v>171</v>
      </c>
      <c r="I24" s="286">
        <v>158</v>
      </c>
    </row>
    <row r="25" spans="1:10" ht="16.8" x14ac:dyDescent="0.3">
      <c r="A25" s="337" t="s">
        <v>216</v>
      </c>
      <c r="B25" s="191">
        <v>3</v>
      </c>
      <c r="C25" s="190" t="s">
        <v>144</v>
      </c>
      <c r="D25" s="189" t="s">
        <v>123</v>
      </c>
      <c r="E25" s="210" t="s">
        <v>118</v>
      </c>
      <c r="F25" s="188" t="s">
        <v>127</v>
      </c>
      <c r="G25" s="188" t="s">
        <v>124</v>
      </c>
      <c r="H25" s="197" t="s">
        <v>138</v>
      </c>
      <c r="I25" s="198">
        <v>239</v>
      </c>
      <c r="J25" s="474"/>
    </row>
    <row r="26" spans="1:10" ht="16.8" x14ac:dyDescent="0.3">
      <c r="A26" s="337" t="s">
        <v>196</v>
      </c>
      <c r="B26" s="191">
        <v>3</v>
      </c>
      <c r="C26" s="190" t="s">
        <v>151</v>
      </c>
      <c r="D26" s="189" t="s">
        <v>119</v>
      </c>
      <c r="E26" s="210" t="s">
        <v>118</v>
      </c>
      <c r="F26" s="188" t="s">
        <v>125</v>
      </c>
      <c r="G26" s="188" t="s">
        <v>197</v>
      </c>
      <c r="H26" s="197" t="s">
        <v>138</v>
      </c>
      <c r="I26" s="198">
        <v>244</v>
      </c>
    </row>
    <row r="27" spans="1:10" ht="16.8" x14ac:dyDescent="0.3">
      <c r="A27" s="337" t="s">
        <v>203</v>
      </c>
      <c r="B27" s="191">
        <v>3</v>
      </c>
      <c r="C27" s="228" t="s">
        <v>144</v>
      </c>
      <c r="D27" s="189" t="s">
        <v>119</v>
      </c>
      <c r="E27" s="226" t="s">
        <v>118</v>
      </c>
      <c r="F27" s="197" t="s">
        <v>127</v>
      </c>
      <c r="G27" s="197" t="s">
        <v>176</v>
      </c>
      <c r="H27" s="197" t="s">
        <v>138</v>
      </c>
      <c r="I27" s="198">
        <v>246</v>
      </c>
    </row>
    <row r="28" spans="1:10" ht="16.8" x14ac:dyDescent="0.3">
      <c r="A28" s="337" t="s">
        <v>182</v>
      </c>
      <c r="B28" s="191">
        <v>3</v>
      </c>
      <c r="C28" s="194" t="s">
        <v>151</v>
      </c>
      <c r="D28" s="193" t="s">
        <v>119</v>
      </c>
      <c r="E28" s="192" t="s">
        <v>118</v>
      </c>
      <c r="F28" s="192" t="s">
        <v>125</v>
      </c>
      <c r="G28" s="192" t="s">
        <v>174</v>
      </c>
      <c r="H28" s="197" t="s">
        <v>138</v>
      </c>
      <c r="I28" s="198">
        <v>298</v>
      </c>
      <c r="J28" s="474"/>
    </row>
    <row r="29" spans="1:10" ht="16.8" x14ac:dyDescent="0.3">
      <c r="A29" s="337" t="s">
        <v>207</v>
      </c>
      <c r="B29" s="191">
        <v>3</v>
      </c>
      <c r="C29" s="194" t="s">
        <v>143</v>
      </c>
      <c r="D29" s="193" t="s">
        <v>146</v>
      </c>
      <c r="E29" s="192" t="s">
        <v>118</v>
      </c>
      <c r="F29" s="192" t="s">
        <v>86</v>
      </c>
      <c r="G29" s="192" t="s">
        <v>116</v>
      </c>
      <c r="H29" s="197" t="s">
        <v>210</v>
      </c>
      <c r="I29" s="198">
        <v>111</v>
      </c>
    </row>
    <row r="30" spans="1:10" ht="16.8" x14ac:dyDescent="0.3">
      <c r="A30" s="337" t="s">
        <v>226</v>
      </c>
      <c r="B30" s="191">
        <v>3</v>
      </c>
      <c r="C30" s="228" t="s">
        <v>144</v>
      </c>
      <c r="D30" s="189" t="s">
        <v>227</v>
      </c>
      <c r="E30" s="226" t="s">
        <v>118</v>
      </c>
      <c r="F30" s="197" t="s">
        <v>170</v>
      </c>
      <c r="G30" s="227" t="s">
        <v>176</v>
      </c>
      <c r="H30" s="227" t="s">
        <v>209</v>
      </c>
      <c r="I30" s="198">
        <v>73</v>
      </c>
      <c r="J30" s="474" t="s">
        <v>290</v>
      </c>
    </row>
    <row r="31" spans="1:10" ht="16.8" x14ac:dyDescent="0.3">
      <c r="A31" s="337" t="s">
        <v>228</v>
      </c>
      <c r="B31" s="191">
        <v>3</v>
      </c>
      <c r="C31" s="228" t="s">
        <v>129</v>
      </c>
      <c r="D31" s="189" t="s">
        <v>119</v>
      </c>
      <c r="E31" s="226" t="s">
        <v>118</v>
      </c>
      <c r="F31" s="197" t="s">
        <v>127</v>
      </c>
      <c r="G31" s="197" t="s">
        <v>116</v>
      </c>
      <c r="H31" s="197" t="s">
        <v>139</v>
      </c>
      <c r="I31" s="198">
        <v>122</v>
      </c>
    </row>
    <row r="32" spans="1:10" ht="16.8" x14ac:dyDescent="0.3">
      <c r="A32" s="338" t="s">
        <v>229</v>
      </c>
      <c r="B32" s="187">
        <v>3</v>
      </c>
      <c r="C32" s="281" t="s">
        <v>198</v>
      </c>
      <c r="D32" s="282" t="s">
        <v>199</v>
      </c>
      <c r="E32" s="284" t="s">
        <v>118</v>
      </c>
      <c r="F32" s="284" t="s">
        <v>125</v>
      </c>
      <c r="G32" s="284" t="s">
        <v>176</v>
      </c>
      <c r="H32" s="199" t="s">
        <v>138</v>
      </c>
      <c r="I32" s="200">
        <v>266</v>
      </c>
    </row>
    <row r="33" spans="1:10" ht="16.8" x14ac:dyDescent="0.3">
      <c r="A33" s="500" t="s">
        <v>230</v>
      </c>
      <c r="B33" s="501">
        <v>4</v>
      </c>
      <c r="C33" s="502" t="s">
        <v>120</v>
      </c>
      <c r="D33" s="503" t="s">
        <v>119</v>
      </c>
      <c r="E33" s="504" t="s">
        <v>238</v>
      </c>
      <c r="F33" s="504" t="s">
        <v>117</v>
      </c>
      <c r="G33" s="504" t="s">
        <v>116</v>
      </c>
      <c r="H33" s="505" t="s">
        <v>139</v>
      </c>
      <c r="I33" s="506">
        <v>106</v>
      </c>
    </row>
    <row r="34" spans="1:10" ht="16.8" x14ac:dyDescent="0.3">
      <c r="A34" s="500" t="s">
        <v>231</v>
      </c>
      <c r="B34" s="501">
        <v>4</v>
      </c>
      <c r="C34" s="502" t="s">
        <v>144</v>
      </c>
      <c r="D34" s="503" t="s">
        <v>146</v>
      </c>
      <c r="E34" s="504" t="s">
        <v>118</v>
      </c>
      <c r="F34" s="504" t="s">
        <v>208</v>
      </c>
      <c r="G34" s="504" t="s">
        <v>116</v>
      </c>
      <c r="H34" s="505" t="s">
        <v>138</v>
      </c>
      <c r="I34" s="506">
        <v>221</v>
      </c>
    </row>
    <row r="35" spans="1:10" ht="16.8" x14ac:dyDescent="0.3">
      <c r="A35" s="500" t="s">
        <v>232</v>
      </c>
      <c r="B35" s="501">
        <v>4</v>
      </c>
      <c r="C35" s="502" t="s">
        <v>198</v>
      </c>
      <c r="D35" s="503" t="s">
        <v>119</v>
      </c>
      <c r="E35" s="504" t="s">
        <v>118</v>
      </c>
      <c r="F35" s="504" t="s">
        <v>117</v>
      </c>
      <c r="G35" s="504" t="s">
        <v>116</v>
      </c>
      <c r="H35" s="505" t="s">
        <v>138</v>
      </c>
      <c r="I35" s="506">
        <v>223</v>
      </c>
    </row>
    <row r="36" spans="1:10" ht="16.8" x14ac:dyDescent="0.3">
      <c r="A36" s="507" t="s">
        <v>233</v>
      </c>
      <c r="B36" s="508">
        <v>4</v>
      </c>
      <c r="C36" s="509" t="s">
        <v>120</v>
      </c>
      <c r="D36" s="510" t="s">
        <v>175</v>
      </c>
      <c r="E36" s="511" t="s">
        <v>118</v>
      </c>
      <c r="F36" s="511" t="s">
        <v>170</v>
      </c>
      <c r="G36" s="511" t="s">
        <v>124</v>
      </c>
      <c r="H36" s="512" t="s">
        <v>138</v>
      </c>
      <c r="I36" s="513">
        <v>230</v>
      </c>
    </row>
    <row r="37" spans="1:10" ht="16.8" x14ac:dyDescent="0.3">
      <c r="A37" s="500" t="s">
        <v>234</v>
      </c>
      <c r="B37" s="501">
        <v>5</v>
      </c>
      <c r="C37" s="502" t="s">
        <v>120</v>
      </c>
      <c r="D37" s="503" t="s">
        <v>235</v>
      </c>
      <c r="E37" s="504" t="s">
        <v>118</v>
      </c>
      <c r="F37" s="504" t="s">
        <v>208</v>
      </c>
      <c r="G37" s="504" t="s">
        <v>116</v>
      </c>
      <c r="H37" s="505" t="s">
        <v>138</v>
      </c>
      <c r="I37" s="506">
        <v>203</v>
      </c>
    </row>
    <row r="38" spans="1:10" ht="16.8" x14ac:dyDescent="0.3">
      <c r="A38" s="500" t="s">
        <v>307</v>
      </c>
      <c r="B38" s="501">
        <v>5</v>
      </c>
      <c r="C38" s="514" t="s">
        <v>120</v>
      </c>
      <c r="D38" s="515" t="s">
        <v>312</v>
      </c>
      <c r="E38" s="516" t="s">
        <v>118</v>
      </c>
      <c r="F38" s="505" t="s">
        <v>117</v>
      </c>
      <c r="G38" s="505" t="s">
        <v>124</v>
      </c>
      <c r="H38" s="505" t="s">
        <v>138</v>
      </c>
      <c r="I38" s="506">
        <v>203</v>
      </c>
    </row>
    <row r="39" spans="1:10" ht="16.8" x14ac:dyDescent="0.3">
      <c r="A39" s="500" t="s">
        <v>308</v>
      </c>
      <c r="B39" s="501">
        <v>5</v>
      </c>
      <c r="C39" s="514" t="s">
        <v>143</v>
      </c>
      <c r="D39" s="515" t="s">
        <v>312</v>
      </c>
      <c r="E39" s="516" t="s">
        <v>118</v>
      </c>
      <c r="F39" s="505" t="s">
        <v>117</v>
      </c>
      <c r="G39" s="505" t="s">
        <v>124</v>
      </c>
      <c r="H39" s="505" t="s">
        <v>138</v>
      </c>
      <c r="I39" s="506">
        <v>241</v>
      </c>
    </row>
    <row r="40" spans="1:10" ht="16.8" x14ac:dyDescent="0.3">
      <c r="A40" s="500" t="s">
        <v>309</v>
      </c>
      <c r="B40" s="501">
        <v>5</v>
      </c>
      <c r="C40" s="514" t="s">
        <v>120</v>
      </c>
      <c r="D40" s="515" t="s">
        <v>235</v>
      </c>
      <c r="E40" s="516" t="s">
        <v>118</v>
      </c>
      <c r="F40" s="505" t="s">
        <v>127</v>
      </c>
      <c r="G40" s="505" t="s">
        <v>116</v>
      </c>
      <c r="H40" s="505" t="s">
        <v>138</v>
      </c>
      <c r="I40" s="506">
        <v>262</v>
      </c>
    </row>
    <row r="41" spans="1:10" ht="16.8" x14ac:dyDescent="0.3">
      <c r="A41" s="500" t="s">
        <v>310</v>
      </c>
      <c r="B41" s="501">
        <v>5</v>
      </c>
      <c r="C41" s="514" t="s">
        <v>120</v>
      </c>
      <c r="D41" s="515" t="s">
        <v>119</v>
      </c>
      <c r="E41" s="516" t="s">
        <v>118</v>
      </c>
      <c r="F41" s="505" t="s">
        <v>117</v>
      </c>
      <c r="G41" s="505" t="s">
        <v>116</v>
      </c>
      <c r="H41" s="505" t="s">
        <v>139</v>
      </c>
      <c r="I41" s="506">
        <v>125</v>
      </c>
    </row>
    <row r="42" spans="1:10" ht="16.8" x14ac:dyDescent="0.3">
      <c r="A42" s="500" t="s">
        <v>311</v>
      </c>
      <c r="B42" s="501">
        <v>5</v>
      </c>
      <c r="C42" s="502" t="s">
        <v>120</v>
      </c>
      <c r="D42" s="503" t="s">
        <v>119</v>
      </c>
      <c r="E42" s="504" t="s">
        <v>118</v>
      </c>
      <c r="F42" s="504" t="s">
        <v>170</v>
      </c>
      <c r="G42" s="504" t="s">
        <v>124</v>
      </c>
      <c r="H42" s="505" t="s">
        <v>139</v>
      </c>
      <c r="I42" s="506">
        <v>125</v>
      </c>
    </row>
    <row r="43" spans="1:10" ht="16.8" x14ac:dyDescent="0.3">
      <c r="A43" s="500" t="s">
        <v>236</v>
      </c>
      <c r="B43" s="501">
        <v>5</v>
      </c>
      <c r="C43" s="502" t="s">
        <v>144</v>
      </c>
      <c r="D43" s="503" t="s">
        <v>175</v>
      </c>
      <c r="E43" s="504" t="s">
        <v>118</v>
      </c>
      <c r="F43" s="504" t="s">
        <v>117</v>
      </c>
      <c r="G43" s="504" t="s">
        <v>116</v>
      </c>
      <c r="H43" s="505" t="s">
        <v>138</v>
      </c>
      <c r="I43" s="506">
        <v>222</v>
      </c>
      <c r="J43" s="474"/>
    </row>
    <row r="44" spans="1:10" ht="17.399999999999999" thickBot="1" x14ac:dyDescent="0.35">
      <c r="A44" s="517" t="s">
        <v>237</v>
      </c>
      <c r="B44" s="518">
        <v>5</v>
      </c>
      <c r="C44" s="519" t="s">
        <v>151</v>
      </c>
      <c r="D44" s="520" t="s">
        <v>119</v>
      </c>
      <c r="E44" s="521" t="s">
        <v>118</v>
      </c>
      <c r="F44" s="521" t="s">
        <v>86</v>
      </c>
      <c r="G44" s="521" t="s">
        <v>116</v>
      </c>
      <c r="H44" s="521" t="s">
        <v>138</v>
      </c>
      <c r="I44" s="522">
        <v>301</v>
      </c>
    </row>
    <row r="45" spans="1:10" ht="16.2" thickTop="1" x14ac:dyDescent="0.3"/>
  </sheetData>
  <sortState xmlns:xlrd2="http://schemas.microsoft.com/office/spreadsheetml/2017/richdata2" ref="A3:I28">
    <sortCondition ref="B3:B28"/>
    <sortCondition ref="A3:A28"/>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tabSelected="1" workbookViewId="0"/>
  </sheetViews>
  <sheetFormatPr defaultColWidth="9.59765625" defaultRowHeight="16.8" x14ac:dyDescent="0.3"/>
  <cols>
    <col min="1" max="1" width="28.796875" style="116" bestFit="1" customWidth="1"/>
    <col min="2" max="2" width="2.19921875" style="114" customWidth="1"/>
    <col min="3" max="3" width="29.09765625" style="114" bestFit="1" customWidth="1"/>
    <col min="4" max="4" width="2.3984375" style="114" customWidth="1"/>
    <col min="5" max="5" width="16.3984375" style="114" bestFit="1" customWidth="1"/>
    <col min="6" max="11" width="3.796875" style="114" customWidth="1"/>
    <col min="12" max="16384" width="9.59765625" style="114"/>
  </cols>
  <sheetData>
    <row r="1" spans="1:11" ht="24" thickTop="1" thickBot="1" x14ac:dyDescent="0.35">
      <c r="A1" s="229" t="s">
        <v>69</v>
      </c>
      <c r="C1" s="476" t="s">
        <v>105</v>
      </c>
      <c r="E1" s="312"/>
      <c r="F1" s="313" t="s">
        <v>245</v>
      </c>
      <c r="G1" s="314"/>
      <c r="H1" s="315"/>
      <c r="I1" s="315"/>
      <c r="J1" s="315"/>
      <c r="K1" s="316"/>
    </row>
    <row r="2" spans="1:11" ht="17.399999999999999" thickBot="1" x14ac:dyDescent="0.35">
      <c r="A2" s="425" t="s">
        <v>185</v>
      </c>
      <c r="C2" s="393" t="s">
        <v>334</v>
      </c>
      <c r="E2" s="312"/>
      <c r="F2" s="317" t="s">
        <v>239</v>
      </c>
      <c r="G2" s="318" t="s">
        <v>159</v>
      </c>
      <c r="H2" s="318" t="s">
        <v>160</v>
      </c>
      <c r="I2" s="318" t="s">
        <v>161</v>
      </c>
      <c r="J2" s="318" t="s">
        <v>162</v>
      </c>
      <c r="K2" s="319" t="s">
        <v>163</v>
      </c>
    </row>
    <row r="3" spans="1:11" ht="17.399999999999999" thickTop="1" x14ac:dyDescent="0.3">
      <c r="A3" s="115" t="s">
        <v>177</v>
      </c>
      <c r="C3" s="409" t="s">
        <v>335</v>
      </c>
      <c r="E3" s="320" t="s">
        <v>251</v>
      </c>
      <c r="F3" s="321">
        <v>6</v>
      </c>
      <c r="G3" s="322">
        <v>8</v>
      </c>
      <c r="H3" s="322">
        <v>8</v>
      </c>
      <c r="I3" s="322">
        <v>6</v>
      </c>
      <c r="J3" s="487">
        <v>0</v>
      </c>
      <c r="K3" s="488">
        <v>0</v>
      </c>
    </row>
    <row r="4" spans="1:11" ht="17.399999999999999" thickBot="1" x14ac:dyDescent="0.35">
      <c r="A4" s="115" t="s">
        <v>178</v>
      </c>
      <c r="C4" s="477" t="s">
        <v>336</v>
      </c>
      <c r="E4" s="323" t="s">
        <v>244</v>
      </c>
      <c r="F4" s="324">
        <v>0</v>
      </c>
      <c r="G4" s="324">
        <v>1</v>
      </c>
      <c r="H4" s="324">
        <v>1</v>
      </c>
      <c r="I4" s="324">
        <v>1</v>
      </c>
      <c r="J4" s="489">
        <v>0</v>
      </c>
      <c r="K4" s="490">
        <v>0</v>
      </c>
    </row>
    <row r="5" spans="1:11" ht="18" thickTop="1" thickBot="1" x14ac:dyDescent="0.35">
      <c r="A5" s="267" t="s">
        <v>183</v>
      </c>
      <c r="E5" s="325" t="s">
        <v>240</v>
      </c>
      <c r="F5" s="326">
        <f t="shared" ref="F5:I5" si="0">SUM(F3:F4)</f>
        <v>6</v>
      </c>
      <c r="G5" s="326">
        <f t="shared" si="0"/>
        <v>9</v>
      </c>
      <c r="H5" s="326">
        <f t="shared" si="0"/>
        <v>9</v>
      </c>
      <c r="I5" s="326">
        <f t="shared" si="0"/>
        <v>7</v>
      </c>
      <c r="J5" s="491">
        <f t="shared" ref="J5:K5" si="1">SUM(J3:J4)</f>
        <v>0</v>
      </c>
      <c r="K5" s="492">
        <f t="shared" si="1"/>
        <v>0</v>
      </c>
    </row>
    <row r="6" spans="1:11" ht="22.2" thickTop="1" thickBot="1" x14ac:dyDescent="0.35">
      <c r="A6" s="267" t="s">
        <v>215</v>
      </c>
      <c r="C6" s="231" t="s">
        <v>57</v>
      </c>
      <c r="E6" s="327" t="s">
        <v>114</v>
      </c>
      <c r="F6" s="328">
        <f>10+LEFT(F2,1)+'Personal File'!$C$13</f>
        <v>13</v>
      </c>
      <c r="G6" s="328">
        <f>10+LEFT(G2,1)+'Personal File'!$C$13</f>
        <v>14</v>
      </c>
      <c r="H6" s="328">
        <f>10+LEFT(H2,1)+'Personal File'!$C$13</f>
        <v>15</v>
      </c>
      <c r="I6" s="328">
        <f>10+LEFT(I2,1)+'Personal File'!$C$13</f>
        <v>16</v>
      </c>
      <c r="J6" s="493">
        <f>10+LEFT(J2,1)+'Personal File'!$C$13</f>
        <v>17</v>
      </c>
      <c r="K6" s="494">
        <f>10+LEFT(K2,1)+'Personal File'!$C$13</f>
        <v>18</v>
      </c>
    </row>
    <row r="7" spans="1:11" ht="17.399999999999999" thickBot="1" x14ac:dyDescent="0.35">
      <c r="A7" s="497" t="s">
        <v>313</v>
      </c>
      <c r="C7" s="117" t="s">
        <v>104</v>
      </c>
      <c r="E7" s="329" t="s">
        <v>115</v>
      </c>
      <c r="F7" s="330">
        <v>0</v>
      </c>
      <c r="G7" s="330">
        <v>0</v>
      </c>
      <c r="H7" s="330">
        <v>0</v>
      </c>
      <c r="I7" s="330">
        <v>0</v>
      </c>
      <c r="J7" s="495">
        <v>0</v>
      </c>
      <c r="K7" s="496">
        <v>0</v>
      </c>
    </row>
    <row r="8" spans="1:11" ht="18" thickTop="1" thickBot="1" x14ac:dyDescent="0.35">
      <c r="A8" s="498" t="s">
        <v>247</v>
      </c>
      <c r="E8" s="312"/>
      <c r="F8" s="312"/>
      <c r="G8" s="312"/>
      <c r="H8" s="312"/>
      <c r="I8" s="312"/>
      <c r="J8" s="312"/>
      <c r="K8" s="312"/>
    </row>
    <row r="9" spans="1:11" ht="22.2" thickTop="1" thickBot="1" x14ac:dyDescent="0.35">
      <c r="A9" s="499" t="s">
        <v>286</v>
      </c>
      <c r="C9" s="230" t="s">
        <v>111</v>
      </c>
      <c r="E9" s="395" t="s">
        <v>241</v>
      </c>
      <c r="F9" s="396" t="s">
        <v>242</v>
      </c>
      <c r="G9" s="396"/>
      <c r="H9" s="397" t="s">
        <v>243</v>
      </c>
      <c r="I9" s="397"/>
      <c r="J9" s="398"/>
      <c r="K9" s="312"/>
    </row>
    <row r="10" spans="1:11" ht="18" thickTop="1" thickBot="1" x14ac:dyDescent="0.35">
      <c r="C10" s="404" t="s">
        <v>112</v>
      </c>
      <c r="E10" s="399" t="s">
        <v>91</v>
      </c>
      <c r="F10" s="400">
        <f>'Personal File'!E3</f>
        <v>12</v>
      </c>
      <c r="G10" s="400"/>
      <c r="H10" s="401">
        <f>'Personal File'!E3</f>
        <v>12</v>
      </c>
      <c r="I10" s="400"/>
      <c r="J10" s="402"/>
      <c r="K10" s="312"/>
    </row>
    <row r="11" spans="1:11" ht="22.2" thickTop="1" thickBot="1" x14ac:dyDescent="0.35">
      <c r="A11" s="229" t="s">
        <v>88</v>
      </c>
      <c r="C11" s="409" t="s">
        <v>113</v>
      </c>
    </row>
    <row r="12" spans="1:11" ht="23.4" thickBot="1" x14ac:dyDescent="0.35">
      <c r="A12" s="394" t="s">
        <v>109</v>
      </c>
      <c r="C12" s="117" t="s">
        <v>70</v>
      </c>
      <c r="E12" s="451" t="s">
        <v>302</v>
      </c>
      <c r="F12" s="223"/>
      <c r="G12" s="223"/>
      <c r="H12" s="223"/>
      <c r="I12" s="223"/>
      <c r="J12" s="223"/>
      <c r="K12" s="223"/>
    </row>
    <row r="13" spans="1:11" ht="18" thickTop="1" thickBot="1" x14ac:dyDescent="0.35">
      <c r="A13" s="423" t="s">
        <v>254</v>
      </c>
      <c r="E13" s="405" t="s">
        <v>89</v>
      </c>
      <c r="F13" s="406">
        <v>0</v>
      </c>
      <c r="G13" s="407" t="s">
        <v>159</v>
      </c>
      <c r="H13" s="407" t="s">
        <v>160</v>
      </c>
      <c r="I13" s="407" t="s">
        <v>161</v>
      </c>
      <c r="J13" s="407" t="s">
        <v>162</v>
      </c>
      <c r="K13" s="408" t="s">
        <v>163</v>
      </c>
    </row>
    <row r="14" spans="1:11" x14ac:dyDescent="0.3">
      <c r="A14" s="403" t="s">
        <v>110</v>
      </c>
      <c r="E14" s="410">
        <v>1</v>
      </c>
      <c r="F14" s="411">
        <f>2+'Personal File'!C13</f>
        <v>5</v>
      </c>
      <c r="G14" s="458">
        <v>1</v>
      </c>
      <c r="H14" s="413"/>
      <c r="I14" s="413"/>
      <c r="J14" s="413"/>
      <c r="K14" s="414"/>
    </row>
    <row r="15" spans="1:11" x14ac:dyDescent="0.3">
      <c r="A15" s="403" t="s">
        <v>153</v>
      </c>
      <c r="E15" s="415">
        <v>2</v>
      </c>
      <c r="F15" s="416">
        <f t="shared" ref="F15" si="2">F14</f>
        <v>5</v>
      </c>
      <c r="G15" s="458">
        <v>2</v>
      </c>
      <c r="H15" s="417"/>
      <c r="I15" s="417"/>
      <c r="J15" s="417"/>
      <c r="K15" s="418"/>
    </row>
    <row r="16" spans="1:11" x14ac:dyDescent="0.3">
      <c r="A16" s="403" t="s">
        <v>256</v>
      </c>
      <c r="E16" s="415">
        <v>3</v>
      </c>
      <c r="F16" s="416">
        <f t="shared" ref="F16" si="3">F15</f>
        <v>5</v>
      </c>
      <c r="G16" s="458">
        <v>3</v>
      </c>
      <c r="H16" s="417"/>
      <c r="I16" s="417"/>
      <c r="J16" s="417"/>
      <c r="K16" s="418"/>
    </row>
    <row r="17" spans="1:11" x14ac:dyDescent="0.3">
      <c r="A17" s="403" t="s">
        <v>184</v>
      </c>
      <c r="E17" s="415">
        <v>4</v>
      </c>
      <c r="F17" s="416">
        <v>6</v>
      </c>
      <c r="G17" s="458">
        <v>4</v>
      </c>
      <c r="H17" s="417"/>
      <c r="I17" s="417"/>
      <c r="J17" s="417"/>
      <c r="K17" s="418"/>
    </row>
    <row r="18" spans="1:11" x14ac:dyDescent="0.3">
      <c r="A18" s="403" t="s">
        <v>304</v>
      </c>
      <c r="E18" s="415">
        <v>5</v>
      </c>
      <c r="F18" s="416">
        <f t="shared" ref="F18:F32" si="4">F17</f>
        <v>6</v>
      </c>
      <c r="G18" s="458">
        <f t="shared" ref="G18:G20" si="5">F18-1</f>
        <v>5</v>
      </c>
      <c r="H18" s="412">
        <v>2</v>
      </c>
      <c r="I18" s="417"/>
      <c r="J18" s="417"/>
      <c r="K18" s="418"/>
    </row>
    <row r="19" spans="1:11" ht="17.399999999999999" thickBot="1" x14ac:dyDescent="0.35">
      <c r="A19" s="419" t="s">
        <v>294</v>
      </c>
      <c r="E19" s="415">
        <v>6</v>
      </c>
      <c r="F19" s="416">
        <f t="shared" si="4"/>
        <v>6</v>
      </c>
      <c r="G19" s="416">
        <f t="shared" si="5"/>
        <v>5</v>
      </c>
      <c r="H19" s="416">
        <v>3</v>
      </c>
      <c r="I19" s="417"/>
      <c r="J19" s="417"/>
      <c r="K19" s="418"/>
    </row>
    <row r="20" spans="1:11" ht="17.399999999999999" thickTop="1" x14ac:dyDescent="0.3">
      <c r="E20" s="415">
        <v>7</v>
      </c>
      <c r="F20" s="416">
        <f t="shared" si="4"/>
        <v>6</v>
      </c>
      <c r="G20" s="458">
        <f t="shared" si="5"/>
        <v>5</v>
      </c>
      <c r="H20" s="412">
        <v>4</v>
      </c>
      <c r="I20" s="417"/>
      <c r="J20" s="417"/>
      <c r="K20" s="418"/>
    </row>
    <row r="21" spans="1:11" x14ac:dyDescent="0.3">
      <c r="E21" s="415">
        <v>8</v>
      </c>
      <c r="F21" s="416">
        <f t="shared" si="4"/>
        <v>6</v>
      </c>
      <c r="G21" s="458">
        <f t="shared" ref="G21:G24" si="6">F21</f>
        <v>6</v>
      </c>
      <c r="H21" s="458">
        <f t="shared" ref="H21:J33" si="7">G21-1</f>
        <v>5</v>
      </c>
      <c r="I21" s="417"/>
      <c r="J21" s="417"/>
      <c r="K21" s="418"/>
    </row>
    <row r="22" spans="1:11" x14ac:dyDescent="0.3">
      <c r="E22" s="415">
        <v>9</v>
      </c>
      <c r="F22" s="416">
        <f t="shared" si="4"/>
        <v>6</v>
      </c>
      <c r="G22" s="458">
        <f t="shared" si="6"/>
        <v>6</v>
      </c>
      <c r="H22" s="458">
        <f t="shared" si="7"/>
        <v>5</v>
      </c>
      <c r="I22" s="412">
        <v>1</v>
      </c>
      <c r="J22" s="417"/>
      <c r="K22" s="418"/>
    </row>
    <row r="23" spans="1:11" x14ac:dyDescent="0.3">
      <c r="E23" s="415">
        <v>10</v>
      </c>
      <c r="F23" s="416">
        <f t="shared" si="4"/>
        <v>6</v>
      </c>
      <c r="G23" s="458">
        <f t="shared" si="6"/>
        <v>6</v>
      </c>
      <c r="H23" s="458">
        <f t="shared" si="7"/>
        <v>5</v>
      </c>
      <c r="I23" s="412">
        <v>2</v>
      </c>
      <c r="J23" s="417"/>
      <c r="K23" s="418"/>
    </row>
    <row r="24" spans="1:11" x14ac:dyDescent="0.3">
      <c r="E24" s="415">
        <v>11</v>
      </c>
      <c r="F24" s="416">
        <f t="shared" si="4"/>
        <v>6</v>
      </c>
      <c r="G24" s="458">
        <f t="shared" si="6"/>
        <v>6</v>
      </c>
      <c r="H24" s="458">
        <f t="shared" si="7"/>
        <v>5</v>
      </c>
      <c r="I24" s="412">
        <v>3</v>
      </c>
      <c r="J24" s="417"/>
      <c r="K24" s="418"/>
    </row>
    <row r="25" spans="1:11" x14ac:dyDescent="0.3">
      <c r="E25" s="452">
        <v>12</v>
      </c>
      <c r="F25" s="453">
        <f t="shared" si="4"/>
        <v>6</v>
      </c>
      <c r="G25" s="459">
        <f t="shared" ref="G25:G33" si="8">F25+1</f>
        <v>7</v>
      </c>
      <c r="H25" s="459">
        <f t="shared" si="7"/>
        <v>6</v>
      </c>
      <c r="I25" s="459">
        <f t="shared" si="7"/>
        <v>5</v>
      </c>
      <c r="J25" s="417"/>
      <c r="K25" s="418"/>
    </row>
    <row r="26" spans="1:11" x14ac:dyDescent="0.3">
      <c r="E26" s="415">
        <v>13</v>
      </c>
      <c r="F26" s="416">
        <f t="shared" si="4"/>
        <v>6</v>
      </c>
      <c r="G26" s="458">
        <f t="shared" si="8"/>
        <v>7</v>
      </c>
      <c r="H26" s="458">
        <f t="shared" si="7"/>
        <v>6</v>
      </c>
      <c r="I26" s="412">
        <f t="shared" si="7"/>
        <v>5</v>
      </c>
      <c r="J26" s="412">
        <v>1</v>
      </c>
      <c r="K26" s="418"/>
    </row>
    <row r="27" spans="1:11" x14ac:dyDescent="0.3">
      <c r="E27" s="415">
        <v>14</v>
      </c>
      <c r="F27" s="416">
        <f t="shared" si="4"/>
        <v>6</v>
      </c>
      <c r="G27" s="458">
        <f t="shared" si="8"/>
        <v>7</v>
      </c>
      <c r="H27" s="458">
        <f t="shared" si="7"/>
        <v>6</v>
      </c>
      <c r="I27" s="412">
        <f t="shared" si="7"/>
        <v>5</v>
      </c>
      <c r="J27" s="412">
        <v>2</v>
      </c>
      <c r="K27" s="418"/>
    </row>
    <row r="28" spans="1:11" x14ac:dyDescent="0.3">
      <c r="E28" s="415">
        <v>15</v>
      </c>
      <c r="F28" s="416">
        <f t="shared" si="4"/>
        <v>6</v>
      </c>
      <c r="G28" s="458">
        <f t="shared" si="8"/>
        <v>7</v>
      </c>
      <c r="H28" s="458">
        <f t="shared" si="7"/>
        <v>6</v>
      </c>
      <c r="I28" s="412">
        <f t="shared" si="7"/>
        <v>5</v>
      </c>
      <c r="J28" s="412">
        <v>3</v>
      </c>
      <c r="K28" s="457"/>
    </row>
    <row r="29" spans="1:11" x14ac:dyDescent="0.3">
      <c r="E29" s="415">
        <v>16</v>
      </c>
      <c r="F29" s="416">
        <f t="shared" si="4"/>
        <v>6</v>
      </c>
      <c r="G29" s="458">
        <f t="shared" si="8"/>
        <v>7</v>
      </c>
      <c r="H29" s="458">
        <f t="shared" si="7"/>
        <v>6</v>
      </c>
      <c r="I29" s="412">
        <f t="shared" si="7"/>
        <v>5</v>
      </c>
      <c r="J29" s="412">
        <f t="shared" si="7"/>
        <v>4</v>
      </c>
      <c r="K29" s="454"/>
    </row>
    <row r="30" spans="1:11" x14ac:dyDescent="0.3">
      <c r="E30" s="415">
        <v>17</v>
      </c>
      <c r="F30" s="416">
        <f t="shared" si="4"/>
        <v>6</v>
      </c>
      <c r="G30" s="458">
        <f t="shared" si="8"/>
        <v>7</v>
      </c>
      <c r="H30" s="458">
        <f t="shared" si="7"/>
        <v>6</v>
      </c>
      <c r="I30" s="412">
        <f t="shared" si="7"/>
        <v>5</v>
      </c>
      <c r="J30" s="412">
        <f t="shared" si="7"/>
        <v>4</v>
      </c>
      <c r="K30" s="455">
        <v>1</v>
      </c>
    </row>
    <row r="31" spans="1:11" x14ac:dyDescent="0.3">
      <c r="E31" s="415">
        <v>18</v>
      </c>
      <c r="F31" s="416">
        <f t="shared" si="4"/>
        <v>6</v>
      </c>
      <c r="G31" s="458">
        <f t="shared" si="8"/>
        <v>7</v>
      </c>
      <c r="H31" s="458">
        <f t="shared" si="7"/>
        <v>6</v>
      </c>
      <c r="I31" s="412">
        <f t="shared" si="7"/>
        <v>5</v>
      </c>
      <c r="J31" s="412">
        <f t="shared" ref="J31" si="9">I31-1</f>
        <v>4</v>
      </c>
      <c r="K31" s="455">
        <v>2</v>
      </c>
    </row>
    <row r="32" spans="1:11" x14ac:dyDescent="0.3">
      <c r="E32" s="415">
        <v>19</v>
      </c>
      <c r="F32" s="416">
        <f t="shared" si="4"/>
        <v>6</v>
      </c>
      <c r="G32" s="458">
        <f t="shared" si="8"/>
        <v>7</v>
      </c>
      <c r="H32" s="458">
        <f t="shared" si="7"/>
        <v>6</v>
      </c>
      <c r="I32" s="412">
        <f t="shared" si="7"/>
        <v>5</v>
      </c>
      <c r="J32" s="412">
        <f t="shared" ref="J32" si="10">I32-1</f>
        <v>4</v>
      </c>
      <c r="K32" s="455">
        <v>3</v>
      </c>
    </row>
    <row r="33" spans="5:11" ht="17.399999999999999" thickBot="1" x14ac:dyDescent="0.35">
      <c r="E33" s="420">
        <v>20</v>
      </c>
      <c r="F33" s="421">
        <f>F27</f>
        <v>6</v>
      </c>
      <c r="G33" s="460">
        <f t="shared" si="8"/>
        <v>7</v>
      </c>
      <c r="H33" s="460">
        <f t="shared" si="7"/>
        <v>6</v>
      </c>
      <c r="I33" s="422">
        <f t="shared" si="7"/>
        <v>5</v>
      </c>
      <c r="J33" s="422">
        <f t="shared" ref="J33:K33" si="11">I33-1</f>
        <v>4</v>
      </c>
      <c r="K33" s="456">
        <f t="shared" si="11"/>
        <v>3</v>
      </c>
    </row>
    <row r="34" spans="5:11"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1"/>
  <sheetViews>
    <sheetView showGridLines="0" workbookViewId="0"/>
  </sheetViews>
  <sheetFormatPr defaultColWidth="13" defaultRowHeight="15.6" x14ac:dyDescent="0.3"/>
  <cols>
    <col min="1" max="1" width="31.59765625" style="113" bestFit="1" customWidth="1"/>
    <col min="2" max="2" width="14.59765625" style="113" bestFit="1" customWidth="1"/>
    <col min="3" max="3" width="5.59765625" style="113" bestFit="1" customWidth="1"/>
    <col min="4" max="4" width="6.5" style="113" bestFit="1" customWidth="1"/>
    <col min="5" max="5" width="7" style="113" bestFit="1" customWidth="1"/>
    <col min="6" max="6" width="6" style="113" bestFit="1" customWidth="1"/>
    <col min="7" max="7" width="9.3984375" style="113" bestFit="1" customWidth="1"/>
    <col min="8" max="8" width="4" style="113" bestFit="1" customWidth="1"/>
    <col min="9" max="9" width="4.69921875" style="113" bestFit="1" customWidth="1"/>
    <col min="10" max="10" width="5.69921875" style="113" bestFit="1" customWidth="1"/>
    <col min="11" max="11" width="6.296875" style="113" bestFit="1" customWidth="1"/>
    <col min="12" max="12" width="20" style="113" bestFit="1" customWidth="1"/>
    <col min="13" max="13" width="2.8984375" style="13" customWidth="1"/>
    <col min="14" max="14" width="5.8984375" style="13" bestFit="1" customWidth="1"/>
    <col min="15" max="16384" width="13" style="13"/>
  </cols>
  <sheetData>
    <row r="1" spans="1:14" ht="23.4" thickBot="1" x14ac:dyDescent="0.35">
      <c r="A1" s="118" t="s">
        <v>15</v>
      </c>
      <c r="B1" s="118"/>
      <c r="C1" s="118"/>
      <c r="D1" s="118"/>
      <c r="E1" s="118"/>
      <c r="F1" s="118"/>
      <c r="G1" s="118"/>
      <c r="H1" s="118"/>
      <c r="I1" s="118"/>
      <c r="J1" s="118"/>
      <c r="K1" s="118"/>
      <c r="L1" s="118"/>
    </row>
    <row r="2" spans="1:14" ht="16.8" thickTop="1" thickBot="1" x14ac:dyDescent="0.35">
      <c r="A2" s="119" t="s">
        <v>1</v>
      </c>
      <c r="B2" s="120" t="s">
        <v>2</v>
      </c>
      <c r="C2" s="120" t="s">
        <v>18</v>
      </c>
      <c r="D2" s="120" t="s">
        <v>19</v>
      </c>
      <c r="E2" s="121" t="s">
        <v>325</v>
      </c>
      <c r="F2" s="121" t="s">
        <v>322</v>
      </c>
      <c r="G2" s="120" t="s">
        <v>16</v>
      </c>
      <c r="H2" s="120" t="s">
        <v>20</v>
      </c>
      <c r="I2" s="122" t="s">
        <v>68</v>
      </c>
      <c r="J2" s="123" t="s">
        <v>77</v>
      </c>
      <c r="K2" s="122" t="s">
        <v>63</v>
      </c>
      <c r="L2" s="124" t="s">
        <v>0</v>
      </c>
      <c r="N2" s="125" t="s">
        <v>87</v>
      </c>
    </row>
    <row r="3" spans="1:14" x14ac:dyDescent="0.3">
      <c r="A3" s="204" t="s">
        <v>345</v>
      </c>
      <c r="B3" s="6" t="s">
        <v>179</v>
      </c>
      <c r="C3" s="7" t="str">
        <f>CONCATENATE('Personal File'!$C$10," +3")</f>
        <v>+3 +3</v>
      </c>
      <c r="D3" s="8" t="s">
        <v>250</v>
      </c>
      <c r="E3" s="8" t="s">
        <v>323</v>
      </c>
      <c r="F3" s="8" t="s">
        <v>71</v>
      </c>
      <c r="G3" s="9" t="s">
        <v>73</v>
      </c>
      <c r="H3" s="10">
        <v>8</v>
      </c>
      <c r="I3" s="12" t="str">
        <f>CONCATENATE("+",'Personal File'!$B$7+'Personal File'!$C$10+D3)</f>
        <v>+18</v>
      </c>
      <c r="J3" s="11">
        <f t="shared" ref="J3:J15" ca="1" si="0">RANDBETWEEN(1,20)</f>
        <v>1</v>
      </c>
      <c r="K3" s="5">
        <f t="shared" ref="K3:K16" ca="1" si="1">J3+I3</f>
        <v>19</v>
      </c>
      <c r="L3" s="297"/>
      <c r="N3" s="218">
        <v>20000</v>
      </c>
    </row>
    <row r="4" spans="1:14" x14ac:dyDescent="0.3">
      <c r="A4" s="211" t="s">
        <v>346</v>
      </c>
      <c r="B4" s="212" t="s">
        <v>179</v>
      </c>
      <c r="C4" s="213" t="str">
        <f>CONCATENATE('Personal File'!$C$10," +3")</f>
        <v>+3 +3</v>
      </c>
      <c r="D4" s="214" t="s">
        <v>250</v>
      </c>
      <c r="E4" s="214" t="s">
        <v>323</v>
      </c>
      <c r="F4" s="214" t="s">
        <v>71</v>
      </c>
      <c r="G4" s="9" t="s">
        <v>73</v>
      </c>
      <c r="H4" s="215" t="s">
        <v>90</v>
      </c>
      <c r="I4" s="12" t="str">
        <f>CONCATENATE("+",'Personal File'!$B$7+'Personal File'!$C$10+D4-5)</f>
        <v>+13</v>
      </c>
      <c r="J4" s="11">
        <f t="shared" ca="1" si="0"/>
        <v>13</v>
      </c>
      <c r="K4" s="5">
        <f t="shared" ref="K4" ca="1" si="2">J4+I4</f>
        <v>26</v>
      </c>
      <c r="L4" s="298"/>
      <c r="N4" s="220" t="s">
        <v>90</v>
      </c>
    </row>
    <row r="5" spans="1:14" x14ac:dyDescent="0.3">
      <c r="A5" s="211" t="s">
        <v>347</v>
      </c>
      <c r="B5" s="212" t="s">
        <v>179</v>
      </c>
      <c r="C5" s="213" t="str">
        <f>CONCATENATE('Personal File'!$C$10," +3")</f>
        <v>+3 +3</v>
      </c>
      <c r="D5" s="214" t="s">
        <v>250</v>
      </c>
      <c r="E5" s="214" t="s">
        <v>323</v>
      </c>
      <c r="F5" s="214" t="s">
        <v>71</v>
      </c>
      <c r="G5" s="9" t="s">
        <v>73</v>
      </c>
      <c r="H5" s="215" t="s">
        <v>90</v>
      </c>
      <c r="I5" s="12" t="str">
        <f>CONCATENATE("+",'Personal File'!$B$7+'Personal File'!$C$10+D5-10)</f>
        <v>+8</v>
      </c>
      <c r="J5" s="11">
        <f t="shared" ca="1" si="0"/>
        <v>10</v>
      </c>
      <c r="K5" s="5">
        <f t="shared" ref="K5:K7" ca="1" si="3">J5+I5</f>
        <v>18</v>
      </c>
      <c r="L5" s="298"/>
      <c r="N5" s="220" t="s">
        <v>90</v>
      </c>
    </row>
    <row r="6" spans="1:14" x14ac:dyDescent="0.3">
      <c r="A6" s="211" t="s">
        <v>348</v>
      </c>
      <c r="B6" s="212" t="s">
        <v>179</v>
      </c>
      <c r="C6" s="213" t="str">
        <f>CONCATENATE('Personal File'!$C$10," +3")</f>
        <v>+3 +3</v>
      </c>
      <c r="D6" s="214" t="s">
        <v>250</v>
      </c>
      <c r="E6" s="214" t="s">
        <v>323</v>
      </c>
      <c r="F6" s="214" t="s">
        <v>71</v>
      </c>
      <c r="G6" s="9" t="s">
        <v>73</v>
      </c>
      <c r="H6" s="215" t="s">
        <v>90</v>
      </c>
      <c r="I6" s="12" t="str">
        <f>CONCATENATE("+",'Personal File'!$B$7+'Personal File'!$C$10+D6-15)</f>
        <v>+3</v>
      </c>
      <c r="J6" s="11">
        <f t="shared" ca="1" si="0"/>
        <v>8</v>
      </c>
      <c r="K6" s="5">
        <f t="shared" ref="K6" ca="1" si="4">J6+I6</f>
        <v>11</v>
      </c>
      <c r="L6" s="298"/>
      <c r="N6" s="296"/>
    </row>
    <row r="7" spans="1:14" x14ac:dyDescent="0.3">
      <c r="A7" s="268" t="s">
        <v>349</v>
      </c>
      <c r="B7" s="269" t="s">
        <v>179</v>
      </c>
      <c r="C7" s="270" t="str">
        <f>CONCATENATE('Personal File'!$C$10," +3")</f>
        <v>+3 +3</v>
      </c>
      <c r="D7" s="271" t="s">
        <v>250</v>
      </c>
      <c r="E7" s="271" t="s">
        <v>323</v>
      </c>
      <c r="F7" s="271" t="s">
        <v>71</v>
      </c>
      <c r="G7" s="374" t="s">
        <v>73</v>
      </c>
      <c r="H7" s="272" t="s">
        <v>90</v>
      </c>
      <c r="I7" s="371" t="str">
        <f>CONCATENATE("+",'Personal File'!$B$7+'Personal File'!$C$10+D7)</f>
        <v>+18</v>
      </c>
      <c r="J7" s="368">
        <f t="shared" ca="1" si="0"/>
        <v>17</v>
      </c>
      <c r="K7" s="369">
        <f t="shared" ca="1" si="3"/>
        <v>35</v>
      </c>
      <c r="L7" s="473"/>
      <c r="N7" s="294" t="s">
        <v>90</v>
      </c>
    </row>
    <row r="8" spans="1:14" x14ac:dyDescent="0.3">
      <c r="A8" s="290" t="s">
        <v>340</v>
      </c>
      <c r="B8" s="240" t="s">
        <v>253</v>
      </c>
      <c r="C8" s="291" t="str">
        <f>CONCATENATE('Personal File'!$C$10," +2")</f>
        <v>+3 +2</v>
      </c>
      <c r="D8" s="292" t="s">
        <v>71</v>
      </c>
      <c r="E8" s="292" t="s">
        <v>323</v>
      </c>
      <c r="F8" s="292" t="s">
        <v>71</v>
      </c>
      <c r="G8" s="373" t="s">
        <v>73</v>
      </c>
      <c r="H8" s="243">
        <v>2</v>
      </c>
      <c r="I8" s="287" t="str">
        <f>CONCATENATE("+",'Personal File'!$B$7+'Personal File'!$C$10+D8)</f>
        <v>+17</v>
      </c>
      <c r="J8" s="288">
        <f t="shared" ca="1" si="0"/>
        <v>14</v>
      </c>
      <c r="K8" s="289">
        <f t="shared" ref="K8:K11" ca="1" si="5">J8+I8</f>
        <v>31</v>
      </c>
      <c r="L8" s="370"/>
      <c r="N8" s="295">
        <v>2000</v>
      </c>
    </row>
    <row r="9" spans="1:14" x14ac:dyDescent="0.3">
      <c r="A9" s="204" t="s">
        <v>283</v>
      </c>
      <c r="B9" s="6" t="s">
        <v>253</v>
      </c>
      <c r="C9" s="7" t="str">
        <f>CONCATENATE('Personal File'!$C$10," +2")</f>
        <v>+3 +2</v>
      </c>
      <c r="D9" s="8" t="s">
        <v>71</v>
      </c>
      <c r="E9" s="8" t="s">
        <v>323</v>
      </c>
      <c r="F9" s="8" t="s">
        <v>71</v>
      </c>
      <c r="G9" s="9" t="s">
        <v>73</v>
      </c>
      <c r="H9" s="293" t="s">
        <v>90</v>
      </c>
      <c r="I9" s="12" t="str">
        <f>CONCATENATE("+",'Personal File'!$B$7+'Personal File'!$C$10+D9-5)</f>
        <v>+12</v>
      </c>
      <c r="J9" s="11">
        <f t="shared" ca="1" si="0"/>
        <v>5</v>
      </c>
      <c r="K9" s="5">
        <f t="shared" ca="1" si="5"/>
        <v>17</v>
      </c>
      <c r="L9" s="301"/>
      <c r="N9" s="220" t="s">
        <v>90</v>
      </c>
    </row>
    <row r="10" spans="1:14" x14ac:dyDescent="0.3">
      <c r="A10" s="204" t="s">
        <v>284</v>
      </c>
      <c r="B10" s="6" t="s">
        <v>253</v>
      </c>
      <c r="C10" s="7" t="str">
        <f>CONCATENATE('Personal File'!$C$10," +2")</f>
        <v>+3 +2</v>
      </c>
      <c r="D10" s="8" t="s">
        <v>71</v>
      </c>
      <c r="E10" s="8" t="s">
        <v>323</v>
      </c>
      <c r="F10" s="8" t="s">
        <v>71</v>
      </c>
      <c r="G10" s="9" t="s">
        <v>73</v>
      </c>
      <c r="H10" s="293" t="s">
        <v>90</v>
      </c>
      <c r="I10" s="12" t="str">
        <f>CONCATENATE("+",'Personal File'!$B$7+'Personal File'!$C$10+D10-10)</f>
        <v>+7</v>
      </c>
      <c r="J10" s="11">
        <f t="shared" ca="1" si="0"/>
        <v>3</v>
      </c>
      <c r="K10" s="5">
        <f t="shared" ca="1" si="5"/>
        <v>10</v>
      </c>
      <c r="L10" s="301"/>
      <c r="N10" s="220" t="s">
        <v>90</v>
      </c>
    </row>
    <row r="11" spans="1:14" x14ac:dyDescent="0.3">
      <c r="A11" s="268" t="s">
        <v>293</v>
      </c>
      <c r="B11" s="269" t="s">
        <v>253</v>
      </c>
      <c r="C11" s="270" t="str">
        <f>CONCATENATE('Personal File'!$C$10," +2")</f>
        <v>+3 +2</v>
      </c>
      <c r="D11" s="271" t="s">
        <v>71</v>
      </c>
      <c r="E11" s="271" t="s">
        <v>323</v>
      </c>
      <c r="F11" s="271" t="s">
        <v>71</v>
      </c>
      <c r="G11" s="374" t="s">
        <v>73</v>
      </c>
      <c r="H11" s="272" t="s">
        <v>90</v>
      </c>
      <c r="I11" s="371" t="str">
        <f>CONCATENATE("+",'Personal File'!$B$7+'Personal File'!$C$10+D11)</f>
        <v>+17</v>
      </c>
      <c r="J11" s="368">
        <f t="shared" ca="1" si="0"/>
        <v>8</v>
      </c>
      <c r="K11" s="369">
        <f t="shared" ca="1" si="5"/>
        <v>25</v>
      </c>
      <c r="L11" s="299"/>
      <c r="N11" s="294" t="s">
        <v>90</v>
      </c>
    </row>
    <row r="12" spans="1:14" x14ac:dyDescent="0.3">
      <c r="A12" s="290" t="s">
        <v>204</v>
      </c>
      <c r="B12" s="240" t="s">
        <v>205</v>
      </c>
      <c r="C12" s="291" t="str">
        <f>'Personal File'!$C$10</f>
        <v>+3</v>
      </c>
      <c r="D12" s="292" t="s">
        <v>50</v>
      </c>
      <c r="E12" s="292" t="s">
        <v>324</v>
      </c>
      <c r="F12" s="292" t="s">
        <v>71</v>
      </c>
      <c r="G12" s="241" t="s">
        <v>206</v>
      </c>
      <c r="H12" s="243" t="s">
        <v>90</v>
      </c>
      <c r="I12" s="287" t="str">
        <f>CONCATENATE("+",'Personal File'!$B$7+'Personal File'!$C$10+D12)</f>
        <v>+15</v>
      </c>
      <c r="J12" s="288">
        <f t="shared" ca="1" si="0"/>
        <v>17</v>
      </c>
      <c r="K12" s="289">
        <f t="shared" ref="K12" ca="1" si="6">J12+I12</f>
        <v>32</v>
      </c>
      <c r="L12" s="300"/>
      <c r="N12" s="295" t="s">
        <v>90</v>
      </c>
    </row>
    <row r="13" spans="1:14" x14ac:dyDescent="0.3">
      <c r="A13" s="204" t="s">
        <v>212</v>
      </c>
      <c r="B13" s="6" t="s">
        <v>205</v>
      </c>
      <c r="C13" s="7" t="s">
        <v>211</v>
      </c>
      <c r="D13" s="8" t="s">
        <v>50</v>
      </c>
      <c r="E13" s="8" t="s">
        <v>324</v>
      </c>
      <c r="F13" s="8" t="s">
        <v>71</v>
      </c>
      <c r="G13" s="247" t="s">
        <v>206</v>
      </c>
      <c r="H13" s="293" t="s">
        <v>90</v>
      </c>
      <c r="I13" s="12" t="str">
        <f>CONCATENATE("+",'Personal File'!$B$7+'Personal File'!$C$10+D13-5)</f>
        <v>+10</v>
      </c>
      <c r="J13" s="11">
        <f t="shared" ca="1" si="0"/>
        <v>17</v>
      </c>
      <c r="K13" s="5">
        <f t="shared" ref="K13" ca="1" si="7">J13+I13</f>
        <v>27</v>
      </c>
      <c r="L13" s="301"/>
      <c r="N13" s="220" t="s">
        <v>90</v>
      </c>
    </row>
    <row r="14" spans="1:14" x14ac:dyDescent="0.3">
      <c r="A14" s="204" t="s">
        <v>213</v>
      </c>
      <c r="B14" s="6" t="s">
        <v>205</v>
      </c>
      <c r="C14" s="7" t="str">
        <f>'Personal File'!$C$10</f>
        <v>+3</v>
      </c>
      <c r="D14" s="8" t="s">
        <v>50</v>
      </c>
      <c r="E14" s="8" t="s">
        <v>324</v>
      </c>
      <c r="F14" s="8" t="s">
        <v>71</v>
      </c>
      <c r="G14" s="247" t="s">
        <v>206</v>
      </c>
      <c r="H14" s="293" t="s">
        <v>90</v>
      </c>
      <c r="I14" s="12" t="str">
        <f>CONCATENATE("+",'Personal File'!$B$7+'Personal File'!$C$10+D14-10)</f>
        <v>+5</v>
      </c>
      <c r="J14" s="11">
        <f t="shared" ca="1" si="0"/>
        <v>7</v>
      </c>
      <c r="K14" s="5">
        <f t="shared" ref="K14" ca="1" si="8">J14+I14</f>
        <v>12</v>
      </c>
      <c r="L14" s="301"/>
      <c r="N14" s="220" t="s">
        <v>90</v>
      </c>
    </row>
    <row r="15" spans="1:14" x14ac:dyDescent="0.3">
      <c r="A15" s="268" t="s">
        <v>214</v>
      </c>
      <c r="B15" s="269" t="s">
        <v>205</v>
      </c>
      <c r="C15" s="270" t="str">
        <f>'Personal File'!$C$10</f>
        <v>+3</v>
      </c>
      <c r="D15" s="271" t="s">
        <v>50</v>
      </c>
      <c r="E15" s="271" t="s">
        <v>324</v>
      </c>
      <c r="F15" s="271" t="s">
        <v>71</v>
      </c>
      <c r="G15" s="278" t="s">
        <v>206</v>
      </c>
      <c r="H15" s="272" t="s">
        <v>90</v>
      </c>
      <c r="I15" s="279" t="str">
        <f>CONCATENATE("+",'Personal File'!$B$7+'Personal File'!$C$10+D15)</f>
        <v>+15</v>
      </c>
      <c r="J15" s="368">
        <f t="shared" ca="1" si="0"/>
        <v>13</v>
      </c>
      <c r="K15" s="369">
        <f t="shared" ref="K15" ca="1" si="9">J15+I15</f>
        <v>28</v>
      </c>
      <c r="L15" s="299"/>
      <c r="N15" s="294" t="s">
        <v>90</v>
      </c>
    </row>
    <row r="16" spans="1:14" ht="16.2" thickBot="1" x14ac:dyDescent="0.35">
      <c r="A16" s="205" t="s">
        <v>152</v>
      </c>
      <c r="B16" s="206" t="s">
        <v>152</v>
      </c>
      <c r="C16" s="273" t="str">
        <f>CONCATENATE('Personal File'!$C$10," +2")</f>
        <v>+3 +2</v>
      </c>
      <c r="D16" s="274" t="s">
        <v>50</v>
      </c>
      <c r="E16" s="274" t="s">
        <v>90</v>
      </c>
      <c r="F16" s="274"/>
      <c r="G16" s="275" t="s">
        <v>90</v>
      </c>
      <c r="H16" s="207" t="s">
        <v>90</v>
      </c>
      <c r="I16" s="276" t="str">
        <f>CONCATENATE("+",'Personal File'!$B$7+'Personal File'!$C$10+D16)</f>
        <v>+15</v>
      </c>
      <c r="J16" s="208">
        <f ca="1">RANDBETWEEN(1,20)</f>
        <v>1</v>
      </c>
      <c r="K16" s="126">
        <f t="shared" ca="1" si="1"/>
        <v>16</v>
      </c>
      <c r="L16" s="277"/>
      <c r="N16" s="217" t="s">
        <v>90</v>
      </c>
    </row>
    <row r="17" spans="1:14" ht="6" customHeight="1" thickTop="1" thickBot="1" x14ac:dyDescent="0.35">
      <c r="J17" s="111"/>
      <c r="K17" s="111"/>
    </row>
    <row r="18" spans="1:14" ht="16.8" thickTop="1" thickBot="1" x14ac:dyDescent="0.35">
      <c r="A18" s="119" t="s">
        <v>4</v>
      </c>
      <c r="B18" s="120" t="s">
        <v>5</v>
      </c>
      <c r="C18" s="120" t="s">
        <v>18</v>
      </c>
      <c r="D18" s="120" t="s">
        <v>19</v>
      </c>
      <c r="E18" s="121" t="s">
        <v>325</v>
      </c>
      <c r="F18" s="121" t="s">
        <v>322</v>
      </c>
      <c r="G18" s="120" t="s">
        <v>6</v>
      </c>
      <c r="H18" s="120" t="s">
        <v>20</v>
      </c>
      <c r="I18" s="122" t="s">
        <v>68</v>
      </c>
      <c r="J18" s="123" t="s">
        <v>77</v>
      </c>
      <c r="K18" s="122" t="s">
        <v>63</v>
      </c>
      <c r="L18" s="124" t="s">
        <v>0</v>
      </c>
      <c r="N18" s="125" t="s">
        <v>87</v>
      </c>
    </row>
    <row r="19" spans="1:14" x14ac:dyDescent="0.3">
      <c r="A19" s="346" t="s">
        <v>148</v>
      </c>
      <c r="B19" s="347" t="s">
        <v>149</v>
      </c>
      <c r="C19" s="348" t="s">
        <v>90</v>
      </c>
      <c r="D19" s="348" t="s">
        <v>50</v>
      </c>
      <c r="E19" s="349" t="s">
        <v>90</v>
      </c>
      <c r="F19" s="349" t="s">
        <v>90</v>
      </c>
      <c r="G19" s="349" t="s">
        <v>90</v>
      </c>
      <c r="H19" s="350" t="s">
        <v>90</v>
      </c>
      <c r="I19" s="351" t="str">
        <f>CONCATENATE("+",'Personal File'!$B$7+'Personal File'!$C$11+D19)</f>
        <v>+13</v>
      </c>
      <c r="J19" s="209">
        <f t="shared" ref="J19:J26" ca="1" si="10">RANDBETWEEN(1,20)</f>
        <v>1</v>
      </c>
      <c r="K19" s="344">
        <f t="shared" ref="K19:K23" ca="1" si="11">J19+I19</f>
        <v>14</v>
      </c>
      <c r="L19" s="345"/>
      <c r="N19" s="342" t="s">
        <v>90</v>
      </c>
    </row>
    <row r="20" spans="1:14" x14ac:dyDescent="0.3">
      <c r="A20" s="346" t="s">
        <v>288</v>
      </c>
      <c r="B20" s="347" t="s">
        <v>246</v>
      </c>
      <c r="C20" s="348" t="s">
        <v>90</v>
      </c>
      <c r="D20" s="348" t="s">
        <v>71</v>
      </c>
      <c r="E20" s="349" t="s">
        <v>90</v>
      </c>
      <c r="F20" s="349" t="s">
        <v>90</v>
      </c>
      <c r="G20" s="349" t="s">
        <v>90</v>
      </c>
      <c r="H20" s="350" t="s">
        <v>90</v>
      </c>
      <c r="I20" s="351" t="str">
        <f>CONCATENATE("+",'Personal File'!$E$3+D20)</f>
        <v>+14</v>
      </c>
      <c r="J20" s="11">
        <f t="shared" ca="1" si="10"/>
        <v>10</v>
      </c>
      <c r="K20" s="344">
        <f t="shared" ca="1" si="11"/>
        <v>24</v>
      </c>
      <c r="L20" s="345"/>
      <c r="N20" s="343" t="s">
        <v>90</v>
      </c>
    </row>
    <row r="21" spans="1:14" x14ac:dyDescent="0.3">
      <c r="A21" s="346" t="s">
        <v>289</v>
      </c>
      <c r="B21" s="347" t="s">
        <v>90</v>
      </c>
      <c r="C21" s="348" t="s">
        <v>90</v>
      </c>
      <c r="D21" s="352">
        <f>2+2</f>
        <v>4</v>
      </c>
      <c r="E21" s="349" t="s">
        <v>90</v>
      </c>
      <c r="F21" s="349" t="s">
        <v>90</v>
      </c>
      <c r="G21" s="349" t="s">
        <v>90</v>
      </c>
      <c r="H21" s="350" t="s">
        <v>90</v>
      </c>
      <c r="I21" s="351" t="str">
        <f>CONCATENATE("+",'Personal File'!$E$3+D21)</f>
        <v>+16</v>
      </c>
      <c r="J21" s="11">
        <f t="shared" ca="1" si="10"/>
        <v>12</v>
      </c>
      <c r="K21" s="344">
        <f t="shared" ref="K21" ca="1" si="12">J21+I21</f>
        <v>28</v>
      </c>
      <c r="L21" s="345"/>
      <c r="N21" s="343" t="s">
        <v>90</v>
      </c>
    </row>
    <row r="22" spans="1:14" x14ac:dyDescent="0.3">
      <c r="A22" s="346" t="s">
        <v>232</v>
      </c>
      <c r="B22" s="347" t="s">
        <v>90</v>
      </c>
      <c r="C22" s="348" t="s">
        <v>90</v>
      </c>
      <c r="D22" s="352" t="s">
        <v>50</v>
      </c>
      <c r="E22" s="349" t="s">
        <v>90</v>
      </c>
      <c r="F22" s="349" t="s">
        <v>90</v>
      </c>
      <c r="G22" s="349" t="s">
        <v>90</v>
      </c>
      <c r="H22" s="350" t="s">
        <v>90</v>
      </c>
      <c r="I22" s="351" t="str">
        <f>CONCATENATE("+",'Personal File'!E3+D22)</f>
        <v>+12</v>
      </c>
      <c r="J22" s="11">
        <f t="shared" ca="1" si="10"/>
        <v>12</v>
      </c>
      <c r="K22" s="344">
        <f t="shared" ref="K22" ca="1" si="13">J22+I22</f>
        <v>24</v>
      </c>
      <c r="L22" s="345"/>
      <c r="N22" s="343" t="s">
        <v>90</v>
      </c>
    </row>
    <row r="23" spans="1:14" x14ac:dyDescent="0.3">
      <c r="A23" s="204" t="s">
        <v>341</v>
      </c>
      <c r="B23" s="6" t="s">
        <v>85</v>
      </c>
      <c r="C23" s="7">
        <v>2</v>
      </c>
      <c r="D23" s="8">
        <v>2</v>
      </c>
      <c r="E23" s="8" t="s">
        <v>71</v>
      </c>
      <c r="F23" s="8" t="s">
        <v>250</v>
      </c>
      <c r="G23" s="247" t="s">
        <v>106</v>
      </c>
      <c r="H23" s="10">
        <v>2</v>
      </c>
      <c r="I23" s="12" t="str">
        <f>CONCATENATE("+",'Personal File'!$B$7+'Personal File'!$C$11+D23)</f>
        <v>+15</v>
      </c>
      <c r="J23" s="11">
        <f t="shared" ca="1" si="10"/>
        <v>5</v>
      </c>
      <c r="K23" s="5">
        <f t="shared" ca="1" si="11"/>
        <v>20</v>
      </c>
      <c r="L23" s="301"/>
      <c r="N23" s="220">
        <v>2000</v>
      </c>
    </row>
    <row r="24" spans="1:14" x14ac:dyDescent="0.3">
      <c r="A24" s="204" t="s">
        <v>343</v>
      </c>
      <c r="B24" s="6" t="s">
        <v>85</v>
      </c>
      <c r="C24" s="7">
        <v>2</v>
      </c>
      <c r="D24" s="8">
        <v>2</v>
      </c>
      <c r="E24" s="8" t="s">
        <v>71</v>
      </c>
      <c r="F24" s="8" t="s">
        <v>250</v>
      </c>
      <c r="G24" s="247" t="s">
        <v>106</v>
      </c>
      <c r="H24" s="293" t="s">
        <v>90</v>
      </c>
      <c r="I24" s="12" t="str">
        <f>CONCATENATE("+",'Personal File'!$B$7+'Personal File'!$C$11+D24-5)</f>
        <v>+10</v>
      </c>
      <c r="J24" s="11">
        <f t="shared" ca="1" si="10"/>
        <v>11</v>
      </c>
      <c r="K24" s="5">
        <f t="shared" ref="K24:K26" ca="1" si="14">J24+I24</f>
        <v>21</v>
      </c>
      <c r="L24" s="301"/>
      <c r="N24" s="220" t="s">
        <v>90</v>
      </c>
    </row>
    <row r="25" spans="1:14" x14ac:dyDescent="0.3">
      <c r="A25" s="204" t="s">
        <v>342</v>
      </c>
      <c r="B25" s="6" t="s">
        <v>85</v>
      </c>
      <c r="C25" s="7">
        <v>2</v>
      </c>
      <c r="D25" s="8">
        <v>2</v>
      </c>
      <c r="E25" s="8" t="s">
        <v>71</v>
      </c>
      <c r="F25" s="8" t="s">
        <v>250</v>
      </c>
      <c r="G25" s="247" t="s">
        <v>106</v>
      </c>
      <c r="H25" s="293" t="s">
        <v>90</v>
      </c>
      <c r="I25" s="12" t="str">
        <f>CONCATENATE("+",'Personal File'!$B$7+'Personal File'!$C$11+D25-10)</f>
        <v>+5</v>
      </c>
      <c r="J25" s="11">
        <f t="shared" ca="1" si="10"/>
        <v>5</v>
      </c>
      <c r="K25" s="5">
        <f t="shared" ca="1" si="14"/>
        <v>10</v>
      </c>
      <c r="L25" s="301"/>
      <c r="N25" s="220" t="s">
        <v>90</v>
      </c>
    </row>
    <row r="26" spans="1:14" ht="16.2" thickBot="1" x14ac:dyDescent="0.35">
      <c r="A26" s="303" t="s">
        <v>344</v>
      </c>
      <c r="B26" s="304" t="s">
        <v>85</v>
      </c>
      <c r="C26" s="305">
        <v>2</v>
      </c>
      <c r="D26" s="305">
        <v>2</v>
      </c>
      <c r="E26" s="304" t="s">
        <v>71</v>
      </c>
      <c r="F26" s="304" t="s">
        <v>250</v>
      </c>
      <c r="G26" s="305" t="s">
        <v>106</v>
      </c>
      <c r="H26" s="306" t="s">
        <v>90</v>
      </c>
      <c r="I26" s="307" t="str">
        <f>CONCATENATE("+",'Personal File'!$B$7+'Personal File'!$C$11+D26)</f>
        <v>+15</v>
      </c>
      <c r="J26" s="308">
        <f t="shared" ca="1" si="10"/>
        <v>16</v>
      </c>
      <c r="K26" s="309">
        <f t="shared" ca="1" si="14"/>
        <v>31</v>
      </c>
      <c r="L26" s="302"/>
      <c r="N26" s="217" t="s">
        <v>90</v>
      </c>
    </row>
    <row r="27" spans="1:14" ht="6" customHeight="1" thickTop="1" thickBot="1" x14ac:dyDescent="0.35">
      <c r="D27" s="127"/>
      <c r="E27" s="127"/>
      <c r="F27" s="127"/>
      <c r="H27" s="128"/>
      <c r="I27" s="128"/>
      <c r="J27" s="128"/>
      <c r="K27" s="128"/>
    </row>
    <row r="28" spans="1:14" ht="16.8" thickTop="1" thickBot="1" x14ac:dyDescent="0.35">
      <c r="A28" s="119" t="s">
        <v>55</v>
      </c>
      <c r="B28" s="120" t="s">
        <v>9</v>
      </c>
      <c r="C28" s="120" t="s">
        <v>23</v>
      </c>
      <c r="D28" s="120" t="s">
        <v>63</v>
      </c>
      <c r="E28" s="120" t="s">
        <v>64</v>
      </c>
      <c r="F28" s="120" t="s">
        <v>65</v>
      </c>
      <c r="G28" s="120" t="s">
        <v>20</v>
      </c>
      <c r="H28" s="129" t="s">
        <v>0</v>
      </c>
      <c r="I28" s="130"/>
      <c r="J28" s="130"/>
      <c r="K28" s="130"/>
      <c r="L28" s="131"/>
      <c r="N28" s="125" t="s">
        <v>87</v>
      </c>
    </row>
    <row r="29" spans="1:14" x14ac:dyDescent="0.3">
      <c r="A29" s="239" t="s">
        <v>350</v>
      </c>
      <c r="B29" s="240">
        <v>3</v>
      </c>
      <c r="C29" s="241">
        <v>6</v>
      </c>
      <c r="D29" s="240">
        <v>1</v>
      </c>
      <c r="E29" s="254">
        <v>0.1</v>
      </c>
      <c r="F29" s="242" t="s">
        <v>86</v>
      </c>
      <c r="G29" s="243">
        <v>12.5</v>
      </c>
      <c r="H29" s="244" t="s">
        <v>181</v>
      </c>
      <c r="I29" s="245"/>
      <c r="J29" s="245"/>
      <c r="K29" s="245"/>
      <c r="L29" s="246"/>
      <c r="N29" s="218">
        <v>1000</v>
      </c>
    </row>
    <row r="30" spans="1:14" x14ac:dyDescent="0.3">
      <c r="A30" s="429" t="s">
        <v>291</v>
      </c>
      <c r="B30" s="430">
        <v>0</v>
      </c>
      <c r="C30" s="431" t="s">
        <v>90</v>
      </c>
      <c r="D30" s="430" t="s">
        <v>90</v>
      </c>
      <c r="E30" s="432" t="s">
        <v>90</v>
      </c>
      <c r="F30" s="433" t="s">
        <v>90</v>
      </c>
      <c r="G30" s="434">
        <v>0</v>
      </c>
      <c r="H30" s="435"/>
      <c r="I30" s="436"/>
      <c r="J30" s="436"/>
      <c r="K30" s="436"/>
      <c r="L30" s="437"/>
      <c r="N30" s="295">
        <v>500</v>
      </c>
    </row>
    <row r="31" spans="1:14" x14ac:dyDescent="0.3">
      <c r="A31" s="204" t="s">
        <v>295</v>
      </c>
      <c r="B31" s="6">
        <v>3</v>
      </c>
      <c r="C31" s="247" t="s">
        <v>90</v>
      </c>
      <c r="D31" s="248" t="s">
        <v>90</v>
      </c>
      <c r="E31" s="249" t="s">
        <v>90</v>
      </c>
      <c r="F31" s="247" t="s">
        <v>90</v>
      </c>
      <c r="G31" s="250">
        <v>0</v>
      </c>
      <c r="H31" s="251"/>
      <c r="I31" s="470"/>
      <c r="J31" s="252"/>
      <c r="K31" s="252"/>
      <c r="L31" s="253"/>
      <c r="N31" s="220">
        <v>18000</v>
      </c>
    </row>
    <row r="32" spans="1:14" x14ac:dyDescent="0.3">
      <c r="A32" s="204" t="s">
        <v>296</v>
      </c>
      <c r="B32" s="6">
        <f>1+3</f>
        <v>4</v>
      </c>
      <c r="C32" s="247" t="s">
        <v>90</v>
      </c>
      <c r="D32" s="248">
        <v>-1</v>
      </c>
      <c r="E32" s="249">
        <v>0.05</v>
      </c>
      <c r="F32" s="247" t="s">
        <v>90</v>
      </c>
      <c r="G32" s="250">
        <v>6</v>
      </c>
      <c r="H32" s="251"/>
      <c r="I32" s="470"/>
      <c r="J32" s="252"/>
      <c r="K32" s="252"/>
      <c r="L32" s="253"/>
      <c r="N32" s="220">
        <v>9000</v>
      </c>
    </row>
    <row r="33" spans="1:14" x14ac:dyDescent="0.3">
      <c r="A33" s="375" t="s">
        <v>226</v>
      </c>
      <c r="B33" s="376">
        <v>5</v>
      </c>
      <c r="C33" s="377" t="s">
        <v>90</v>
      </c>
      <c r="D33" s="376" t="s">
        <v>90</v>
      </c>
      <c r="E33" s="378" t="s">
        <v>90</v>
      </c>
      <c r="F33" s="377" t="s">
        <v>90</v>
      </c>
      <c r="G33" s="379" t="s">
        <v>90</v>
      </c>
      <c r="H33" s="380"/>
      <c r="I33" s="471"/>
      <c r="J33" s="381"/>
      <c r="K33" s="381"/>
      <c r="L33" s="382"/>
      <c r="N33" s="383" t="s">
        <v>90</v>
      </c>
    </row>
    <row r="34" spans="1:14" ht="16.2" thickBot="1" x14ac:dyDescent="0.35">
      <c r="A34" s="259" t="s">
        <v>192</v>
      </c>
      <c r="B34" s="260" t="s">
        <v>303</v>
      </c>
      <c r="C34" s="261" t="s">
        <v>90</v>
      </c>
      <c r="D34" s="260" t="s">
        <v>90</v>
      </c>
      <c r="E34" s="262" t="s">
        <v>90</v>
      </c>
      <c r="F34" s="261" t="s">
        <v>90</v>
      </c>
      <c r="G34" s="263" t="s">
        <v>90</v>
      </c>
      <c r="H34" s="264"/>
      <c r="I34" s="472"/>
      <c r="J34" s="265"/>
      <c r="K34" s="265"/>
      <c r="L34" s="266"/>
      <c r="N34" s="258" t="s">
        <v>90</v>
      </c>
    </row>
    <row r="35" spans="1:14" ht="6.75" customHeight="1" thickTop="1" thickBot="1" x14ac:dyDescent="0.35"/>
    <row r="36" spans="1:14" ht="16.8" thickTop="1" thickBot="1" x14ac:dyDescent="0.35">
      <c r="A36" s="111"/>
      <c r="B36" s="111"/>
      <c r="E36" s="173" t="s">
        <v>56</v>
      </c>
      <c r="F36" s="174"/>
      <c r="G36" s="174" t="s">
        <v>3</v>
      </c>
      <c r="H36" s="175" t="s">
        <v>20</v>
      </c>
      <c r="I36" s="175" t="s">
        <v>68</v>
      </c>
      <c r="J36" s="179" t="s">
        <v>0</v>
      </c>
      <c r="K36" s="180"/>
      <c r="L36" s="181"/>
      <c r="N36" s="125" t="s">
        <v>87</v>
      </c>
    </row>
    <row r="37" spans="1:14" ht="16.2" thickBot="1" x14ac:dyDescent="0.35">
      <c r="A37" s="111"/>
      <c r="B37" s="111"/>
      <c r="E37" s="176" t="s">
        <v>107</v>
      </c>
      <c r="F37" s="177"/>
      <c r="G37" s="177">
        <v>36</v>
      </c>
      <c r="H37" s="132">
        <f t="shared" ref="H37" si="15">(G37*3)/20</f>
        <v>5.4</v>
      </c>
      <c r="I37" s="178" t="s">
        <v>108</v>
      </c>
      <c r="J37" s="182"/>
      <c r="K37" s="183"/>
      <c r="L37" s="172"/>
      <c r="N37" s="219">
        <v>0</v>
      </c>
    </row>
    <row r="38" spans="1:14" ht="16.8" thickTop="1" thickBot="1" x14ac:dyDescent="0.35">
      <c r="A38" s="111"/>
      <c r="B38" s="111"/>
      <c r="N38" s="156"/>
    </row>
    <row r="39" spans="1:14" ht="16.8" thickTop="1" thickBot="1" x14ac:dyDescent="0.35">
      <c r="A39" s="111"/>
      <c r="B39" s="111"/>
      <c r="E39" s="353" t="s">
        <v>248</v>
      </c>
      <c r="F39" s="130"/>
      <c r="G39" s="130"/>
      <c r="H39" s="130"/>
      <c r="I39" s="354" t="s">
        <v>3</v>
      </c>
      <c r="J39" s="354" t="s">
        <v>89</v>
      </c>
      <c r="K39" s="354" t="s">
        <v>249</v>
      </c>
      <c r="L39" s="131" t="s">
        <v>61</v>
      </c>
      <c r="M39" s="222"/>
      <c r="N39" s="355" t="s">
        <v>87</v>
      </c>
    </row>
    <row r="40" spans="1:14" x14ac:dyDescent="0.3">
      <c r="A40" s="111"/>
      <c r="B40" s="111"/>
      <c r="E40" s="356" t="s">
        <v>319</v>
      </c>
      <c r="F40" s="357"/>
      <c r="G40" s="357"/>
      <c r="H40" s="358"/>
      <c r="I40" s="359">
        <v>2</v>
      </c>
      <c r="J40" s="360">
        <v>2</v>
      </c>
      <c r="K40" s="360">
        <v>10</v>
      </c>
      <c r="L40" s="361"/>
      <c r="M40" s="222"/>
      <c r="N40" s="296">
        <f t="shared" ref="N40:N41" si="16">25*I40*J40*K40</f>
        <v>1000</v>
      </c>
    </row>
    <row r="41" spans="1:14" x14ac:dyDescent="0.3">
      <c r="A41" s="111"/>
      <c r="B41" s="111"/>
      <c r="E41" s="464" t="s">
        <v>320</v>
      </c>
      <c r="F41" s="465"/>
      <c r="G41" s="465"/>
      <c r="H41" s="466"/>
      <c r="I41" s="467">
        <v>3</v>
      </c>
      <c r="J41" s="468">
        <v>6</v>
      </c>
      <c r="K41" s="468">
        <v>11</v>
      </c>
      <c r="L41" s="469"/>
      <c r="M41" s="222"/>
      <c r="N41" s="296">
        <f t="shared" si="16"/>
        <v>4950</v>
      </c>
    </row>
    <row r="42" spans="1:14" ht="16.2" thickBot="1" x14ac:dyDescent="0.35">
      <c r="A42" s="111"/>
      <c r="B42" s="111"/>
      <c r="E42" s="362" t="s">
        <v>316</v>
      </c>
      <c r="F42" s="363"/>
      <c r="G42" s="363"/>
      <c r="H42" s="364"/>
      <c r="I42" s="365" t="s">
        <v>250</v>
      </c>
      <c r="J42" s="366" t="s">
        <v>317</v>
      </c>
      <c r="K42" s="366" t="s">
        <v>318</v>
      </c>
      <c r="L42" s="367"/>
      <c r="M42" s="222"/>
      <c r="N42" s="219">
        <f t="shared" ref="N42" si="17">25*I42*J42*K42</f>
        <v>3000</v>
      </c>
    </row>
    <row r="43" spans="1:14" ht="16.2" thickTop="1" x14ac:dyDescent="0.3">
      <c r="A43" s="111"/>
      <c r="B43" s="111"/>
      <c r="N43" s="156"/>
    </row>
    <row r="44" spans="1:14" x14ac:dyDescent="0.3">
      <c r="N44" s="156"/>
    </row>
    <row r="45" spans="1:14" x14ac:dyDescent="0.3">
      <c r="N45" s="156"/>
    </row>
    <row r="46" spans="1:14" x14ac:dyDescent="0.3">
      <c r="N46" s="156"/>
    </row>
    <row r="47" spans="1:14" x14ac:dyDescent="0.3">
      <c r="N47" s="156"/>
    </row>
    <row r="48" spans="1:14" x14ac:dyDescent="0.3">
      <c r="N48" s="156"/>
    </row>
    <row r="49" spans="14:14" x14ac:dyDescent="0.3">
      <c r="N49" s="156"/>
    </row>
    <row r="50" spans="14:14" x14ac:dyDescent="0.3">
      <c r="N50" s="156"/>
    </row>
    <row r="51" spans="14:14" x14ac:dyDescent="0.3">
      <c r="N51" s="156"/>
    </row>
  </sheetData>
  <phoneticPr fontId="0" type="noConversion"/>
  <conditionalFormatting sqref="A3:A7">
    <cfRule type="cellIs" dxfId="6" priority="1" operator="notEqual">
      <formula>0</formula>
    </cfRule>
  </conditionalFormatting>
  <conditionalFormatting sqref="B34">
    <cfRule type="cellIs" dxfId="5" priority="53" operator="greaterThan">
      <formula>0</formula>
    </cfRule>
  </conditionalFormatting>
  <conditionalFormatting sqref="J19:J26">
    <cfRule type="cellIs" dxfId="4" priority="2" operator="equal">
      <formula>20</formula>
    </cfRule>
    <cfRule type="cellIs" dxfId="3" priority="3"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7"/>
  <sheetViews>
    <sheetView showGridLines="0" workbookViewId="0"/>
  </sheetViews>
  <sheetFormatPr defaultColWidth="13" defaultRowHeight="15.6" x14ac:dyDescent="0.3"/>
  <cols>
    <col min="1" max="1" width="19.3984375" style="113" bestFit="1" customWidth="1"/>
    <col min="2" max="2" width="5.59765625" style="113" bestFit="1" customWidth="1"/>
    <col min="3" max="3" width="5.3984375" style="128" bestFit="1" customWidth="1"/>
    <col min="4" max="4" width="42.8984375" style="13" customWidth="1"/>
    <col min="5" max="5" width="38.5" style="13" customWidth="1"/>
    <col min="6" max="6" width="2.09765625" style="113" customWidth="1"/>
    <col min="7" max="7" width="9.296875" style="13" bestFit="1" customWidth="1"/>
    <col min="8" max="16384" width="13" style="13"/>
  </cols>
  <sheetData>
    <row r="1" spans="1:7" ht="23.4" thickBot="1" x14ac:dyDescent="0.35">
      <c r="A1" s="118" t="s">
        <v>58</v>
      </c>
      <c r="B1" s="118"/>
      <c r="C1" s="133"/>
      <c r="D1" s="118"/>
      <c r="E1" s="118"/>
    </row>
    <row r="2" spans="1:7" s="113" customFormat="1" ht="16.8" thickTop="1" thickBot="1" x14ac:dyDescent="0.35">
      <c r="A2" s="134" t="s">
        <v>59</v>
      </c>
      <c r="B2" s="134" t="s">
        <v>3</v>
      </c>
      <c r="C2" s="135" t="s">
        <v>20</v>
      </c>
      <c r="D2" s="136" t="s">
        <v>60</v>
      </c>
      <c r="E2" s="137" t="s">
        <v>61</v>
      </c>
      <c r="G2" s="138" t="s">
        <v>87</v>
      </c>
    </row>
    <row r="3" spans="1:7" x14ac:dyDescent="0.3">
      <c r="A3" s="139" t="s">
        <v>74</v>
      </c>
      <c r="B3" s="140">
        <v>2</v>
      </c>
      <c r="C3" s="141">
        <v>2</v>
      </c>
      <c r="D3" s="142"/>
      <c r="E3" s="143"/>
      <c r="F3" s="111"/>
      <c r="G3" s="232">
        <v>0</v>
      </c>
    </row>
    <row r="4" spans="1:7" x14ac:dyDescent="0.3">
      <c r="A4" s="139" t="s">
        <v>82</v>
      </c>
      <c r="B4" s="140">
        <v>1</v>
      </c>
      <c r="C4" s="141">
        <v>0.5</v>
      </c>
      <c r="D4" s="438"/>
      <c r="E4" s="238"/>
      <c r="F4"/>
      <c r="G4" s="233">
        <v>0</v>
      </c>
    </row>
    <row r="5" spans="1:7" x14ac:dyDescent="0.3">
      <c r="A5" s="139" t="s">
        <v>180</v>
      </c>
      <c r="B5" s="140">
        <v>1</v>
      </c>
      <c r="C5" s="141">
        <v>1</v>
      </c>
      <c r="D5" s="438"/>
      <c r="E5" s="238"/>
      <c r="F5"/>
      <c r="G5" s="233">
        <v>750</v>
      </c>
    </row>
    <row r="6" spans="1:7" x14ac:dyDescent="0.3">
      <c r="A6" s="139" t="s">
        <v>80</v>
      </c>
      <c r="B6" s="140">
        <v>1</v>
      </c>
      <c r="C6" s="141" t="s">
        <v>84</v>
      </c>
      <c r="D6" s="438"/>
      <c r="E6" s="238"/>
      <c r="F6"/>
      <c r="G6" s="233">
        <v>0</v>
      </c>
    </row>
    <row r="7" spans="1:7" ht="16.2" thickBot="1" x14ac:dyDescent="0.35">
      <c r="A7" s="144" t="s">
        <v>314</v>
      </c>
      <c r="B7" s="145">
        <v>1</v>
      </c>
      <c r="C7" s="146">
        <v>1</v>
      </c>
      <c r="D7" s="147"/>
      <c r="E7" s="148"/>
      <c r="G7" s="234">
        <v>9000</v>
      </c>
    </row>
    <row r="8" spans="1:7" ht="24" thickTop="1" thickBot="1" x14ac:dyDescent="0.35">
      <c r="A8" s="118" t="s">
        <v>62</v>
      </c>
      <c r="B8" s="149"/>
      <c r="C8" s="149"/>
      <c r="D8" s="118"/>
      <c r="E8" s="150"/>
    </row>
    <row r="9" spans="1:7" ht="16.8" thickTop="1" thickBot="1" x14ac:dyDescent="0.35">
      <c r="A9" s="134" t="s">
        <v>59</v>
      </c>
      <c r="B9" s="134" t="s">
        <v>3</v>
      </c>
      <c r="C9" s="135" t="s">
        <v>20</v>
      </c>
      <c r="D9" s="136" t="s">
        <v>60</v>
      </c>
      <c r="E9" s="137" t="s">
        <v>61</v>
      </c>
      <c r="G9" s="138" t="s">
        <v>87</v>
      </c>
    </row>
    <row r="10" spans="1:7" x14ac:dyDescent="0.3">
      <c r="A10" s="139" t="s">
        <v>83</v>
      </c>
      <c r="B10" s="140">
        <v>1</v>
      </c>
      <c r="C10" s="141">
        <v>0</v>
      </c>
      <c r="D10" s="438"/>
      <c r="E10" s="238"/>
      <c r="F10"/>
      <c r="G10" s="233">
        <v>0</v>
      </c>
    </row>
    <row r="11" spans="1:7" x14ac:dyDescent="0.3">
      <c r="A11" s="461" t="s">
        <v>321</v>
      </c>
      <c r="B11" s="450">
        <v>1</v>
      </c>
      <c r="C11" s="151">
        <v>0</v>
      </c>
      <c r="D11" s="438"/>
      <c r="E11" s="238"/>
      <c r="F11"/>
      <c r="G11" s="233">
        <v>200</v>
      </c>
    </row>
    <row r="12" spans="1:7" ht="16.2" thickBot="1" x14ac:dyDescent="0.35">
      <c r="A12" s="144" t="s">
        <v>81</v>
      </c>
      <c r="B12" s="145">
        <v>0.5</v>
      </c>
      <c r="C12" s="146">
        <v>4</v>
      </c>
      <c r="D12" s="152"/>
      <c r="E12" s="148"/>
      <c r="F12" s="111"/>
      <c r="G12" s="234">
        <v>0</v>
      </c>
    </row>
    <row r="13" spans="1:7" ht="22.8" thickTop="1" thickBot="1" x14ac:dyDescent="0.35">
      <c r="A13" s="235"/>
      <c r="B13" s="235"/>
      <c r="C13" s="235"/>
      <c r="D13" s="236" t="s">
        <v>326</v>
      </c>
      <c r="E13" s="237"/>
      <c r="F13" s="111"/>
      <c r="G13" s="111">
        <v>2000</v>
      </c>
    </row>
    <row r="14" spans="1:7" ht="16.8" thickTop="1" thickBot="1" x14ac:dyDescent="0.35">
      <c r="A14" s="134" t="s">
        <v>59</v>
      </c>
      <c r="B14" s="134" t="s">
        <v>3</v>
      </c>
      <c r="C14" s="135" t="s">
        <v>20</v>
      </c>
      <c r="D14" s="136" t="s">
        <v>60</v>
      </c>
      <c r="E14" s="137" t="s">
        <v>61</v>
      </c>
      <c r="F14" s="111"/>
      <c r="G14" s="138" t="s">
        <v>87</v>
      </c>
    </row>
    <row r="15" spans="1:7" x14ac:dyDescent="0.3">
      <c r="A15" s="139" t="s">
        <v>297</v>
      </c>
      <c r="B15" s="140">
        <v>1</v>
      </c>
      <c r="C15" s="141">
        <v>5</v>
      </c>
      <c r="D15" s="438"/>
      <c r="E15" s="238"/>
      <c r="F15"/>
      <c r="G15" s="233">
        <v>0</v>
      </c>
    </row>
    <row r="16" spans="1:7" x14ac:dyDescent="0.3">
      <c r="A16" s="139" t="s">
        <v>300</v>
      </c>
      <c r="B16" s="140">
        <v>10</v>
      </c>
      <c r="C16" s="141">
        <f>B16/2</f>
        <v>5</v>
      </c>
      <c r="D16" s="438"/>
      <c r="E16" s="238"/>
      <c r="F16"/>
      <c r="G16" s="233">
        <v>0</v>
      </c>
    </row>
    <row r="17" spans="1:7" x14ac:dyDescent="0.3">
      <c r="A17" s="139" t="s">
        <v>305</v>
      </c>
      <c r="B17" s="140">
        <v>10</v>
      </c>
      <c r="C17" s="141">
        <f>2*B17</f>
        <v>20</v>
      </c>
      <c r="D17" s="438"/>
      <c r="E17" s="238"/>
      <c r="F17"/>
      <c r="G17" s="233" t="s">
        <v>90</v>
      </c>
    </row>
    <row r="18" spans="1:7" ht="16.2" thickBot="1" x14ac:dyDescent="0.35">
      <c r="A18" s="144" t="s">
        <v>301</v>
      </c>
      <c r="B18" s="462">
        <v>1</v>
      </c>
      <c r="C18" s="146">
        <v>5</v>
      </c>
      <c r="D18" s="152"/>
      <c r="E18" s="463"/>
      <c r="F18" s="111"/>
      <c r="G18" s="234">
        <v>0</v>
      </c>
    </row>
    <row r="19" spans="1:7" ht="22.8" thickTop="1" thickBot="1" x14ac:dyDescent="0.35">
      <c r="A19" s="53" t="s">
        <v>292</v>
      </c>
      <c r="B19" s="439">
        <f>C19/500</f>
        <v>7.0000000000000007E-2</v>
      </c>
      <c r="C19" s="128">
        <f>SUM(C15:C18)</f>
        <v>35</v>
      </c>
      <c r="D19" s="236" t="s">
        <v>315</v>
      </c>
      <c r="E19" s="237"/>
      <c r="F19" s="111"/>
      <c r="G19" s="111">
        <v>5000</v>
      </c>
    </row>
    <row r="20" spans="1:7" ht="16.8" thickTop="1" thickBot="1" x14ac:dyDescent="0.35">
      <c r="A20" s="134" t="s">
        <v>59</v>
      </c>
      <c r="B20" s="134" t="s">
        <v>3</v>
      </c>
      <c r="C20" s="135" t="s">
        <v>20</v>
      </c>
      <c r="D20" s="136" t="s">
        <v>60</v>
      </c>
      <c r="E20" s="137" t="s">
        <v>61</v>
      </c>
      <c r="F20" s="111"/>
      <c r="G20" s="138" t="s">
        <v>87</v>
      </c>
    </row>
    <row r="21" spans="1:7" x14ac:dyDescent="0.3">
      <c r="A21" s="139" t="s">
        <v>298</v>
      </c>
      <c r="B21" s="140">
        <v>1</v>
      </c>
      <c r="C21" s="141">
        <v>5</v>
      </c>
      <c r="D21" s="438"/>
      <c r="E21" s="238"/>
      <c r="F21"/>
      <c r="G21" s="233">
        <v>0</v>
      </c>
    </row>
    <row r="22" spans="1:7" x14ac:dyDescent="0.3">
      <c r="A22" s="139" t="s">
        <v>299</v>
      </c>
      <c r="B22" s="140">
        <v>1</v>
      </c>
      <c r="C22" s="141">
        <v>8</v>
      </c>
      <c r="D22" s="438"/>
      <c r="E22" s="238"/>
      <c r="F22"/>
      <c r="G22" s="233">
        <v>0</v>
      </c>
    </row>
    <row r="23" spans="1:7" x14ac:dyDescent="0.3">
      <c r="A23" s="139" t="s">
        <v>301</v>
      </c>
      <c r="B23" s="140">
        <v>1</v>
      </c>
      <c r="C23" s="141">
        <v>5</v>
      </c>
      <c r="D23" s="438" t="s">
        <v>327</v>
      </c>
      <c r="E23" s="238"/>
      <c r="F23"/>
      <c r="G23" s="233">
        <v>0</v>
      </c>
    </row>
    <row r="24" spans="1:7" x14ac:dyDescent="0.3">
      <c r="A24" s="139" t="s">
        <v>328</v>
      </c>
      <c r="B24" s="140">
        <v>1</v>
      </c>
      <c r="C24" s="141">
        <v>2.5</v>
      </c>
      <c r="D24" s="438" t="s">
        <v>329</v>
      </c>
      <c r="E24" s="238"/>
      <c r="F24"/>
      <c r="G24" s="233">
        <v>0</v>
      </c>
    </row>
    <row r="25" spans="1:7" x14ac:dyDescent="0.3">
      <c r="A25" s="139" t="s">
        <v>330</v>
      </c>
      <c r="B25" s="140">
        <v>2</v>
      </c>
      <c r="C25" s="141">
        <f>B25/10</f>
        <v>0.2</v>
      </c>
      <c r="D25" s="438"/>
      <c r="E25" s="238"/>
      <c r="F25"/>
      <c r="G25" s="233">
        <v>0</v>
      </c>
    </row>
    <row r="26" spans="1:7" x14ac:dyDescent="0.3">
      <c r="A26" s="139" t="s">
        <v>76</v>
      </c>
      <c r="B26" s="140">
        <v>10</v>
      </c>
      <c r="C26" s="141">
        <f>B26</f>
        <v>10</v>
      </c>
      <c r="D26" s="438"/>
      <c r="E26" s="238"/>
      <c r="F26"/>
      <c r="G26" s="233">
        <v>0</v>
      </c>
    </row>
    <row r="27" spans="1:7" x14ac:dyDescent="0.3">
      <c r="A27" s="139" t="s">
        <v>75</v>
      </c>
      <c r="B27" s="140">
        <v>1</v>
      </c>
      <c r="C27" s="141">
        <v>5</v>
      </c>
      <c r="D27" s="438"/>
      <c r="E27" s="238"/>
      <c r="F27"/>
      <c r="G27" s="233">
        <v>0</v>
      </c>
    </row>
    <row r="28" spans="1:7" ht="16.2" thickBot="1" x14ac:dyDescent="0.35">
      <c r="A28" s="144" t="s">
        <v>200</v>
      </c>
      <c r="B28" s="462">
        <v>1</v>
      </c>
      <c r="C28" s="146">
        <v>0</v>
      </c>
      <c r="D28" s="152"/>
      <c r="E28" s="148"/>
      <c r="F28" s="111"/>
      <c r="G28" s="234">
        <v>0</v>
      </c>
    </row>
    <row r="29" spans="1:7" ht="23.4" thickTop="1" x14ac:dyDescent="0.3">
      <c r="A29" s="53" t="s">
        <v>292</v>
      </c>
      <c r="B29" s="439">
        <f>C29/500</f>
        <v>7.1400000000000005E-2</v>
      </c>
      <c r="C29" s="128">
        <f>SUM(C21:C28)</f>
        <v>35.700000000000003</v>
      </c>
      <c r="D29" s="154"/>
      <c r="E29" s="150"/>
    </row>
    <row r="30" spans="1:7" x14ac:dyDescent="0.3">
      <c r="B30" s="155"/>
      <c r="E30" s="53" t="s">
        <v>158</v>
      </c>
      <c r="F30" s="111"/>
      <c r="G30" s="221">
        <f>SUM(Martial!N3:N42,Equipment!G3:G29)</f>
        <v>78400</v>
      </c>
    </row>
    <row r="31" spans="1:7" x14ac:dyDescent="0.3">
      <c r="B31" s="155"/>
      <c r="E31" s="53" t="s">
        <v>339</v>
      </c>
      <c r="G31" s="221">
        <v>88000</v>
      </c>
    </row>
    <row r="32" spans="1:7" x14ac:dyDescent="0.3">
      <c r="B32" s="155"/>
    </row>
    <row r="33" spans="1:6" x14ac:dyDescent="0.3">
      <c r="B33" s="155"/>
    </row>
    <row r="34" spans="1:6" x14ac:dyDescent="0.3">
      <c r="A34" s="13"/>
      <c r="B34" s="155"/>
      <c r="C34" s="13"/>
      <c r="F34" s="13"/>
    </row>
    <row r="35" spans="1:6" x14ac:dyDescent="0.3">
      <c r="A35" s="13"/>
      <c r="B35" s="155"/>
      <c r="C35" s="13"/>
      <c r="F35" s="13"/>
    </row>
    <row r="36" spans="1:6" x14ac:dyDescent="0.3">
      <c r="A36" s="13"/>
      <c r="B36" s="155"/>
      <c r="C36" s="13"/>
      <c r="F36" s="13"/>
    </row>
    <row r="37" spans="1:6" x14ac:dyDescent="0.3">
      <c r="A37" s="13"/>
      <c r="B37" s="155"/>
      <c r="C37" s="13"/>
      <c r="F37" s="13"/>
    </row>
  </sheetData>
  <sortState xmlns:xlrd2="http://schemas.microsoft.com/office/spreadsheetml/2017/richdata2" ref="A3:D4">
    <sortCondition ref="A3:A4"/>
  </sortState>
  <phoneticPr fontId="0" type="noConversion"/>
  <conditionalFormatting sqref="B19">
    <cfRule type="cellIs" dxfId="2" priority="1" operator="greaterThan">
      <formula>0.99</formula>
    </cfRule>
  </conditionalFormatting>
  <conditionalFormatting sqref="B29">
    <cfRule type="cellIs" dxfId="1" priority="3" operator="greaterThan">
      <formula>0.99</formula>
    </cfRule>
  </conditionalFormatting>
  <conditionalFormatting sqref="G30:G31">
    <cfRule type="cellIs" dxfId="0" priority="5"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2019-08-04T14:16:00Z</cp:lastPrinted>
  <dcterms:created xsi:type="dcterms:W3CDTF">2000-10-24T15:39:59Z</dcterms:created>
  <dcterms:modified xsi:type="dcterms:W3CDTF">2025-03-22T10:22:11Z</dcterms:modified>
</cp:coreProperties>
</file>