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mc:AlternateContent xmlns:mc="http://schemas.openxmlformats.org/markup-compatibility/2006">
    <mc:Choice Requires="x15">
      <x15ac:absPath xmlns:x15ac="http://schemas.microsoft.com/office/spreadsheetml/2010/11/ac" url="C:\A\Juegos\FoL\NPCs\"/>
    </mc:Choice>
  </mc:AlternateContent>
  <xr:revisionPtr revIDLastSave="0" documentId="13_ncr:1_{3BC6B666-52B0-47A9-BE01-A6132516EBBB}" xr6:coauthVersionLast="47" xr6:coauthVersionMax="47" xr10:uidLastSave="{00000000-0000-0000-0000-000000000000}"/>
  <bookViews>
    <workbookView xWindow="-108" yWindow="-108" windowWidth="23256" windowHeight="13176" tabRatio="638" xr2:uid="{00000000-000D-0000-FFFF-FFFF00000000}"/>
  </bookViews>
  <sheets>
    <sheet name="Personal File" sheetId="4" r:id="rId1"/>
    <sheet name="Skills" sheetId="15" r:id="rId2"/>
    <sheet name="Feats" sheetId="20" r:id="rId3"/>
    <sheet name="Martial" sheetId="6" r:id="rId4"/>
    <sheet name="Equipment" sheetId="19" r:id="rId5"/>
  </sheets>
  <definedNames>
    <definedName name="OLE_LINK1" localSheetId="2">Feats!#REF!</definedName>
    <definedName name="_xlnm.Print_Area" localSheetId="4">Equipment!#REF!</definedName>
    <definedName name="_xlnm.Print_Area" localSheetId="2">Feats!#REF!</definedName>
    <definedName name="_xlnm.Print_Area" localSheetId="3">Martial!#REF!</definedName>
    <definedName name="_xlnm.Print_Area" localSheetId="0">'Personal File'!$A$1:$H$22</definedName>
    <definedName name="_xlnm.Print_Area" localSheetId="1">Skills!$A$1:$K$27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8" i="4" l="1"/>
  <c r="H38" i="15"/>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11" i="15"/>
  <c r="H10" i="15"/>
  <c r="H9" i="15"/>
  <c r="H8" i="15"/>
  <c r="H7" i="15"/>
  <c r="B5" i="15"/>
  <c r="B4" i="15"/>
  <c r="B3" i="15"/>
  <c r="B6" i="4"/>
  <c r="B13" i="4"/>
  <c r="B11" i="4"/>
  <c r="C14" i="20" l="1"/>
  <c r="I6" i="6" l="1"/>
  <c r="I11" i="6" l="1"/>
  <c r="B13" i="6" l="1"/>
  <c r="F21" i="15"/>
  <c r="F9" i="15"/>
  <c r="F23" i="15"/>
  <c r="F39" i="15"/>
  <c r="F33" i="15"/>
  <c r="F26" i="15"/>
  <c r="F16" i="15"/>
  <c r="F7" i="15"/>
  <c r="M32" i="6" l="1"/>
  <c r="M33" i="6"/>
  <c r="M34" i="6"/>
  <c r="I4" i="6" l="1"/>
  <c r="C20" i="19" l="1"/>
  <c r="M25" i="6" l="1"/>
  <c r="M26" i="6"/>
  <c r="M27" i="6"/>
  <c r="M28" i="6"/>
  <c r="G21" i="19" s="1"/>
  <c r="M29" i="6"/>
  <c r="I12" i="6" l="1"/>
  <c r="G27" i="6" l="1"/>
  <c r="G28" i="6"/>
  <c r="G29" i="6"/>
  <c r="G24" i="6"/>
  <c r="G25" i="6"/>
  <c r="G26" i="6"/>
  <c r="I5" i="6" l="1"/>
  <c r="K13" i="6" l="1"/>
  <c r="H41" i="15" l="1"/>
  <c r="I3" i="6" l="1"/>
  <c r="I7" i="6"/>
  <c r="H3" i="15" l="1"/>
  <c r="H4" i="15"/>
  <c r="H5" i="15"/>
  <c r="H6" i="15"/>
  <c r="H40" i="15" l="1"/>
  <c r="H39" i="15"/>
  <c r="I14" i="6" l="1"/>
  <c r="I10" i="6"/>
  <c r="B42" i="15" l="1"/>
  <c r="E9" i="4" l="1"/>
  <c r="C13" i="4" l="1"/>
  <c r="C3" i="20" s="1"/>
  <c r="C12" i="4"/>
  <c r="C11" i="4"/>
  <c r="C10" i="4"/>
  <c r="E10" i="4" s="1"/>
  <c r="C9" i="4"/>
  <c r="C8" i="4"/>
  <c r="C3" i="6" l="1"/>
  <c r="C4" i="6"/>
  <c r="H6" i="6"/>
  <c r="J6" i="6" s="1"/>
  <c r="C12" i="6"/>
  <c r="H11" i="6"/>
  <c r="J11" i="6" s="1"/>
  <c r="H10" i="6"/>
  <c r="J10" i="6" s="1"/>
  <c r="E54" i="15"/>
  <c r="E53" i="15"/>
  <c r="E52" i="15"/>
  <c r="E48" i="15"/>
  <c r="E44" i="15"/>
  <c r="E51" i="15"/>
  <c r="E47" i="15"/>
  <c r="E45" i="15"/>
  <c r="E50" i="15"/>
  <c r="E46" i="15"/>
  <c r="E43" i="15"/>
  <c r="E49" i="15"/>
  <c r="E11" i="4"/>
  <c r="E13" i="4" s="1"/>
  <c r="E12" i="4" s="1"/>
  <c r="H12" i="6"/>
  <c r="J12" i="6" s="1"/>
  <c r="H3" i="6"/>
  <c r="J3" i="6" s="1"/>
  <c r="H4" i="6"/>
  <c r="J4" i="6" s="1"/>
  <c r="D15" i="15"/>
  <c r="D8" i="15"/>
  <c r="D22" i="15"/>
  <c r="D13" i="15"/>
  <c r="D18" i="15"/>
  <c r="D19" i="15"/>
  <c r="D28" i="15"/>
  <c r="H5" i="6"/>
  <c r="J5" i="6" s="1"/>
  <c r="H14" i="6"/>
  <c r="J14" i="6" s="1"/>
  <c r="D5" i="15"/>
  <c r="D20" i="15"/>
  <c r="D29" i="15"/>
  <c r="D25" i="15"/>
  <c r="H7" i="6"/>
  <c r="J7" i="6" s="1"/>
  <c r="D6" i="15"/>
  <c r="D14" i="15"/>
  <c r="D11" i="15"/>
  <c r="D12" i="15"/>
  <c r="D17" i="15"/>
  <c r="D31" i="15"/>
  <c r="D24" i="15"/>
  <c r="D3" i="15"/>
  <c r="D10" i="15"/>
  <c r="D4" i="15"/>
  <c r="D7" i="15"/>
  <c r="D16" i="15"/>
  <c r="D21" i="15"/>
  <c r="D30" i="15"/>
  <c r="D26" i="15"/>
  <c r="D27" i="15"/>
  <c r="D9" i="15"/>
  <c r="D23" i="15"/>
  <c r="B7" i="4"/>
  <c r="E42" i="15" l="1"/>
  <c r="E28" i="15"/>
  <c r="G28" i="15"/>
  <c r="I28" i="15" s="1"/>
  <c r="E22" i="15"/>
  <c r="G22" i="15"/>
  <c r="I22" i="15" s="1"/>
  <c r="G19" i="15"/>
  <c r="I19" i="15" s="1"/>
  <c r="E19" i="15"/>
  <c r="E8" i="15"/>
  <c r="G8" i="15"/>
  <c r="I8" i="15" s="1"/>
  <c r="G18" i="15"/>
  <c r="I18" i="15" s="1"/>
  <c r="E18" i="15"/>
  <c r="E15" i="15"/>
  <c r="G15" i="15"/>
  <c r="I15" i="15" s="1"/>
  <c r="E13" i="15"/>
  <c r="G13" i="15"/>
  <c r="I13" i="15" s="1"/>
  <c r="E25" i="15"/>
  <c r="G25" i="15"/>
  <c r="I25" i="15" s="1"/>
  <c r="E29" i="15"/>
  <c r="G29" i="15"/>
  <c r="I29" i="15" s="1"/>
  <c r="E20" i="15"/>
  <c r="G20" i="15"/>
  <c r="I20" i="15" s="1"/>
  <c r="E5" i="15"/>
  <c r="G5" i="15"/>
  <c r="I5" i="15" s="1"/>
  <c r="G24" i="15"/>
  <c r="I24" i="15" s="1"/>
  <c r="E24" i="15"/>
  <c r="E31" i="15"/>
  <c r="G31" i="15"/>
  <c r="I31" i="15" s="1"/>
  <c r="E12" i="15"/>
  <c r="G12" i="15"/>
  <c r="I12" i="15" s="1"/>
  <c r="E14" i="15"/>
  <c r="G14" i="15"/>
  <c r="I14" i="15" s="1"/>
  <c r="G17" i="15"/>
  <c r="I17" i="15" s="1"/>
  <c r="E17" i="15"/>
  <c r="E11" i="15"/>
  <c r="G11" i="15"/>
  <c r="I11" i="15" s="1"/>
  <c r="E6" i="15"/>
  <c r="G6" i="15"/>
  <c r="I6" i="15" s="1"/>
  <c r="E10" i="15"/>
  <c r="G10" i="15"/>
  <c r="I10" i="15" s="1"/>
  <c r="E3" i="15"/>
  <c r="G3" i="15"/>
  <c r="I3" i="15" s="1"/>
  <c r="E21" i="15"/>
  <c r="G21" i="15"/>
  <c r="I21" i="15" s="1"/>
  <c r="E7" i="15"/>
  <c r="G7" i="15"/>
  <c r="I7" i="15" s="1"/>
  <c r="E27" i="15"/>
  <c r="G27" i="15"/>
  <c r="I27" i="15" s="1"/>
  <c r="G30" i="15"/>
  <c r="I30" i="15" s="1"/>
  <c r="E30" i="15"/>
  <c r="G16" i="15"/>
  <c r="I16" i="15" s="1"/>
  <c r="E16" i="15"/>
  <c r="G4" i="15"/>
  <c r="I4" i="15" s="1"/>
  <c r="E4" i="15"/>
  <c r="E26" i="15"/>
  <c r="G26" i="15"/>
  <c r="I26" i="15" s="1"/>
  <c r="E23" i="15"/>
  <c r="G23" i="15"/>
  <c r="I23" i="15" s="1"/>
  <c r="E9" i="15"/>
  <c r="G9" i="15"/>
  <c r="I9" i="15" s="1"/>
  <c r="D35" i="15" l="1"/>
  <c r="D37" i="15"/>
  <c r="D34" i="15"/>
  <c r="D39" i="15"/>
  <c r="D36" i="15"/>
  <c r="D38" i="15"/>
  <c r="D40" i="15"/>
  <c r="D33" i="15"/>
  <c r="D41" i="15"/>
  <c r="D32" i="15"/>
  <c r="E41" i="15" l="1"/>
  <c r="G41" i="15"/>
  <c r="I41" i="15" s="1"/>
  <c r="E36" i="15"/>
  <c r="G36" i="15"/>
  <c r="I36" i="15" s="1"/>
  <c r="E34" i="15"/>
  <c r="G34" i="15"/>
  <c r="I34" i="15" s="1"/>
  <c r="E32" i="15"/>
  <c r="G32" i="15"/>
  <c r="I32" i="15" s="1"/>
  <c r="E33" i="15"/>
  <c r="G33" i="15"/>
  <c r="I33" i="15" s="1"/>
  <c r="E40" i="15"/>
  <c r="G40" i="15"/>
  <c r="I40" i="15" s="1"/>
  <c r="E38" i="15"/>
  <c r="G38" i="15"/>
  <c r="I38" i="15" s="1"/>
  <c r="E39" i="15"/>
  <c r="G39" i="15"/>
  <c r="I39" i="15" s="1"/>
  <c r="E37" i="15"/>
  <c r="G37" i="15"/>
  <c r="I37" i="15" s="1"/>
  <c r="E35" i="15"/>
  <c r="G35" i="15"/>
  <c r="I35"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6" authorId="0" shapeId="0" xr:uid="{00000000-0006-0000-0000-000001000000}">
      <text>
        <r>
          <rPr>
            <i/>
            <sz val="12"/>
            <color indexed="81"/>
            <rFont val="Times New Roman"/>
            <family val="1"/>
          </rPr>
          <t>bless +1
shaken -2</t>
        </r>
      </text>
    </comment>
    <comment ref="B8" authorId="0" shapeId="0" xr:uid="{00000000-0006-0000-0000-000002000000}">
      <text>
        <r>
          <rPr>
            <i/>
            <sz val="12"/>
            <color indexed="81"/>
            <rFont val="Times New Roman"/>
            <family val="1"/>
          </rPr>
          <t>bull’s strength +4</t>
        </r>
      </text>
    </comment>
    <comment ref="E8" authorId="0" shapeId="0" xr:uid="{00000000-0006-0000-0000-000003000000}">
      <text>
        <r>
          <rPr>
            <sz val="12"/>
            <color indexed="81"/>
            <rFont val="Times New Roman"/>
            <family val="1"/>
          </rPr>
          <t>See PHB 162</t>
        </r>
      </text>
    </comment>
    <comment ref="B10" authorId="0" shapeId="0" xr:uid="{00000000-0006-0000-0000-000005000000}">
      <text>
        <r>
          <rPr>
            <i/>
            <sz val="12"/>
            <color indexed="81"/>
            <rFont val="Times New Roman"/>
            <family val="1"/>
          </rPr>
          <t>bear’s endurance +4</t>
        </r>
      </text>
    </comment>
    <comment ref="E10" authorId="0" shapeId="0" xr:uid="{00000000-0006-0000-0000-000006000000}">
      <text>
        <r>
          <rPr>
            <sz val="12"/>
            <color indexed="81"/>
            <rFont val="Times New Roman"/>
            <family val="1"/>
          </rPr>
          <t>[(11 * 10 Dragon Shaman) * 75%]
+ (11 * 1 Con)</t>
        </r>
      </text>
    </comment>
    <comment ref="E11" authorId="0" shapeId="0" xr:uid="{00000000-0006-0000-0000-000007000000}">
      <text>
        <r>
          <rPr>
            <i/>
            <sz val="12"/>
            <color indexed="81"/>
            <rFont val="Times New Roman"/>
            <family val="1"/>
          </rPr>
          <t>+1 haste
+3 shield of faith</t>
        </r>
      </text>
    </comment>
    <comment ref="E12" authorId="0" shapeId="0" xr:uid="{00000000-0006-0000-0000-000008000000}">
      <text>
        <r>
          <rPr>
            <i/>
            <sz val="12"/>
            <color indexed="81"/>
            <rFont val="Times New Roman"/>
            <family val="1"/>
          </rPr>
          <t>includes natural armor bonus +2</t>
        </r>
      </text>
    </comment>
    <comment ref="B13" authorId="0" shapeId="0" xr:uid="{00000000-0006-0000-0000-000009000000}">
      <text>
        <r>
          <rPr>
            <i/>
            <sz val="12"/>
            <color indexed="81"/>
            <rFont val="Times New Roman"/>
            <family val="1"/>
          </rPr>
          <t>eagle’s splendor +4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F7" authorId="0" shapeId="0" xr:uid="{00000000-0006-0000-0100-000001000000}">
      <text>
        <r>
          <rPr>
            <i/>
            <sz val="12"/>
            <color indexed="81"/>
            <rFont val="Times New Roman"/>
            <family val="1"/>
          </rPr>
          <t>Dragonscale Armor -2</t>
        </r>
      </text>
    </comment>
    <comment ref="F9" authorId="0" shapeId="0" xr:uid="{00000000-0006-0000-0100-000002000000}">
      <text>
        <r>
          <rPr>
            <i/>
            <sz val="12"/>
            <color indexed="81"/>
            <rFont val="Times New Roman"/>
            <family val="1"/>
          </rPr>
          <t>Dragonscale Armor -2</t>
        </r>
      </text>
    </comment>
    <comment ref="F16" authorId="0" shapeId="0" xr:uid="{00000000-0006-0000-0100-000003000000}">
      <text>
        <r>
          <rPr>
            <i/>
            <sz val="12"/>
            <color indexed="81"/>
            <rFont val="Times New Roman"/>
            <family val="1"/>
          </rPr>
          <t>Dragonscale Armor -2</t>
        </r>
      </text>
    </comment>
    <comment ref="F21" authorId="0" shapeId="0" xr:uid="{00000000-0006-0000-0100-000004000000}">
      <text>
        <r>
          <rPr>
            <i/>
            <sz val="12"/>
            <color indexed="81"/>
            <rFont val="Times New Roman"/>
            <family val="1"/>
          </rPr>
          <t>Dragonscale Armor -2</t>
        </r>
      </text>
    </comment>
    <comment ref="F23" authorId="0" shapeId="0" xr:uid="{00000000-0006-0000-0100-000005000000}">
      <text>
        <r>
          <rPr>
            <i/>
            <sz val="12"/>
            <color indexed="81"/>
            <rFont val="Times New Roman"/>
            <family val="1"/>
          </rPr>
          <t>Dragonscale Armor -2</t>
        </r>
      </text>
    </comment>
    <comment ref="F26" authorId="0" shapeId="0" xr:uid="{00000000-0006-0000-0100-000006000000}">
      <text>
        <r>
          <rPr>
            <i/>
            <sz val="12"/>
            <color indexed="81"/>
            <rFont val="Times New Roman"/>
            <family val="1"/>
          </rPr>
          <t>Dragonscale Armor -2</t>
        </r>
      </text>
    </comment>
    <comment ref="F33" authorId="0" shapeId="0" xr:uid="{00000000-0006-0000-0100-000007000000}">
      <text>
        <r>
          <rPr>
            <i/>
            <sz val="12"/>
            <color indexed="81"/>
            <rFont val="Times New Roman"/>
            <family val="1"/>
          </rPr>
          <t>Dragonscale Armor -2</t>
        </r>
      </text>
    </comment>
    <comment ref="F38" authorId="0" shapeId="0" xr:uid="{00000000-0006-0000-0100-000008000000}">
      <text>
        <r>
          <rPr>
            <sz val="12"/>
            <color indexed="81"/>
            <rFont val="Times New Roman"/>
            <family val="1"/>
          </rPr>
          <t>Skill Focus +3</t>
        </r>
      </text>
    </comment>
    <comment ref="F39" authorId="0" shapeId="0" xr:uid="{00000000-0006-0000-0100-000009000000}">
      <text>
        <r>
          <rPr>
            <i/>
            <sz val="12"/>
            <color indexed="81"/>
            <rFont val="Times New Roman"/>
            <family val="1"/>
          </rPr>
          <t>Dragonscale Armor -2</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2" authorId="0" shapeId="0" xr:uid="{00000000-0006-0000-0200-000001000000}">
      <text>
        <r>
          <rPr>
            <sz val="12"/>
            <color indexed="81"/>
            <rFont val="Times New Roman"/>
            <family val="1"/>
          </rPr>
          <t xml:space="preserve">You are capable of amazing feats of stamina.
</t>
        </r>
        <r>
          <rPr>
            <b/>
            <sz val="12"/>
            <color indexed="81"/>
            <rFont val="Times New Roman"/>
            <family val="1"/>
          </rPr>
          <t xml:space="preserve">Benefit:  </t>
        </r>
        <r>
          <rPr>
            <sz val="12"/>
            <color indexed="81"/>
            <rFont val="Times New Roman"/>
            <family val="1"/>
          </rPr>
          <t xml:space="preserve">You gain a +4 bonus on the following checks and saves: Swim checks made to resist nonlethal damage (see page 84), Constitution checks made to continue running (see page 144), Constitution checks made to avoid nonlethal damage from a forced march (see page 164), Constitution checks made to hold your breath (see page 84), Constitution checks made to avoid nonlethal damage from starvation or thirst (see page 304 of the Dungeon Master’s Guide), Fortitude saves made to avoid nonlethal damage from hot or cold environments (see pages 302 and 303 of the Dungeon Master’s Guide), and Fortitude saves made to resist damage from suffocation (see page 304 of the Dungeon Master’s Guide).  Also, you may sleep in light or medium armor without becoming fatigued.
</t>
        </r>
        <r>
          <rPr>
            <b/>
            <sz val="12"/>
            <color indexed="81"/>
            <rFont val="Times New Roman"/>
            <family val="1"/>
          </rPr>
          <t xml:space="preserve">Normal:  </t>
        </r>
        <r>
          <rPr>
            <sz val="12"/>
            <color indexed="81"/>
            <rFont val="Times New Roman"/>
            <family val="1"/>
          </rPr>
          <t xml:space="preserve">A character without this feat who sleeps in medium or heavier armor is automatically fatigued the next day.
</t>
        </r>
        <r>
          <rPr>
            <b/>
            <sz val="12"/>
            <color indexed="81"/>
            <rFont val="Times New Roman"/>
            <family val="1"/>
          </rPr>
          <t xml:space="preserve">Special:  </t>
        </r>
        <r>
          <rPr>
            <sz val="12"/>
            <color indexed="81"/>
            <rFont val="Times New Roman"/>
            <family val="1"/>
          </rPr>
          <t>A ranger automatically gains Endurance as a bonus feat at 3rd level (see page 48).  He need not select it.
PHB 93</t>
        </r>
      </text>
    </comment>
    <comment ref="A3" authorId="0" shapeId="0" xr:uid="{D4A113F8-99D7-4D3B-B76F-2F857E17CCA3}">
      <text>
        <r>
          <rPr>
            <sz val="12"/>
            <color indexed="81"/>
            <rFont val="Times New Roman"/>
            <family val="1"/>
          </rPr>
          <t xml:space="preserve">You can make exceptionally powerful melee attacks.
</t>
        </r>
        <r>
          <rPr>
            <b/>
            <sz val="12"/>
            <color indexed="81"/>
            <rFont val="Times New Roman"/>
            <family val="1"/>
          </rPr>
          <t xml:space="preserve">Prerequisite:  </t>
        </r>
        <r>
          <rPr>
            <sz val="12"/>
            <color indexed="81"/>
            <rFont val="Times New Roman"/>
            <family val="1"/>
          </rPr>
          <t xml:space="preserve">Str 13.
</t>
        </r>
        <r>
          <rPr>
            <b/>
            <sz val="12"/>
            <color indexed="81"/>
            <rFont val="Times New Roman"/>
            <family val="1"/>
          </rPr>
          <t xml:space="preserve">Benefit:  </t>
        </r>
        <r>
          <rPr>
            <sz val="12"/>
            <color indexed="81"/>
            <rFont val="Times New Roman"/>
            <family val="1"/>
          </rPr>
          <t xml:space="preserve">On your action, before making attack rolls for a round, you may choose to subtract a number from all melee attack rolls and add the same number to all melee damage rolls. This number may not exceed your base attack bonus. The penalty on attacks and bonus on damage apply until your next turn.
</t>
        </r>
        <r>
          <rPr>
            <b/>
            <sz val="12"/>
            <color indexed="81"/>
            <rFont val="Times New Roman"/>
            <family val="1"/>
          </rPr>
          <t xml:space="preserve">Special:  </t>
        </r>
        <r>
          <rPr>
            <sz val="12"/>
            <color indexed="81"/>
            <rFont val="Times New Roman"/>
            <family val="1"/>
          </rPr>
          <t>If you attack with a two-handed weapon, or with a one-handed weapon wielded in two hands, instead add twice the number subtracted from your attack rolls. You can’t add the bonus from Power Attack to the damage dealt with a light weapon (except with unarmed strikes or natural weapon attacks), even though the penalty on attack rolls still applies. (Normally, you treat a double weapon as a one-handed weapon and a light weapon. If you choose to use a double weapon like a two-handed weapon, attacking with only one end of it in a round, you treat it as a two-handed weapon.)
A fighter may select Power Attack as one of his fighter bonus feats (see page 38).
PHB 98</t>
        </r>
      </text>
    </comment>
    <comment ref="C3" authorId="0" shapeId="0" xr:uid="{00000000-0006-0000-0200-000003000000}">
      <text>
        <r>
          <rPr>
            <b/>
            <sz val="12"/>
            <color indexed="81"/>
            <rFont val="Times New Roman"/>
            <family val="1"/>
          </rPr>
          <t xml:space="preserve">Touch of Vitality (Su):  </t>
        </r>
        <r>
          <rPr>
            <sz val="12"/>
            <color indexed="81"/>
            <rFont val="Times New Roman"/>
            <family val="1"/>
          </rPr>
          <t>At 6th level, you can heal the wounds of living creatures (your own or those of others) by touch.  Each day you can heal a number of points of damage equal to twice your class level × your Charisma bonus.  For example, a 7th-level dragon shaman with a Charisma score of 14 (+2 bonus) can heal 28 points of damage.  You can choose to divide your healing among multiple recipients, and you don’t have to use it all at once.  Using your touch of vitality is a standard action.  It has no effect on undead.
Beginning at 11th level, you can choose to spend some of the healing bestowed by your touch of vitality to remove other harmful conditions affecting the target.
For every 5 points of your healing ability you expend, you can cure 1 point of ability damage or remove the dazed, fatigued, or sickened condition from one individual.  For every 10 points of your healing ability you expend, you can remove the exhausted, nauseated, poisoned, or stunned condition from one individual.
For every 20 points of your healing ability you expend, you can remove a negative level or the blinded, deafened, or diseased condition from one individual.
You can remove a condition (or more than one condition) and heal damage with the same touch, so long as you expend the required number of points.  For example, if you wanted to heal 12 points of damage and remove the blinded and exhausted conditions from a target, you would have to expend 42 points (12 hit points restored plus 20 points for blinded plus 10 points for exhausted).
PHB II 13</t>
        </r>
      </text>
    </comment>
    <comment ref="A4" authorId="0" shapeId="0" xr:uid="{00000000-0006-0000-0200-000004000000}">
      <text>
        <r>
          <rPr>
            <sz val="12"/>
            <color indexed="81"/>
            <rFont val="Times New Roman"/>
            <family val="1"/>
          </rPr>
          <t xml:space="preserve">Choose one type of weapon, such as greataxe. You can also choose unarmed strike or grapple (or ray, if you are a spellcaster) as your weapon for purposes of this feat. You are especially good at using this weapon. (If you have chosen ray, you are especially good with rays, such as the one produced by the ray of frost spell.)
</t>
        </r>
        <r>
          <rPr>
            <b/>
            <sz val="12"/>
            <color indexed="81"/>
            <rFont val="Times New Roman"/>
            <family val="1"/>
          </rPr>
          <t xml:space="preserve">Prerequisites:  </t>
        </r>
        <r>
          <rPr>
            <sz val="12"/>
            <color indexed="81"/>
            <rFont val="Times New Roman"/>
            <family val="1"/>
          </rPr>
          <t xml:space="preserve">Proficiency with selected weapon, base attack bonus +1.
</t>
        </r>
        <r>
          <rPr>
            <b/>
            <sz val="12"/>
            <color indexed="81"/>
            <rFont val="Times New Roman"/>
            <family val="1"/>
          </rPr>
          <t xml:space="preserve">Benefit:  </t>
        </r>
        <r>
          <rPr>
            <sz val="12"/>
            <color indexed="81"/>
            <rFont val="Times New Roman"/>
            <family val="1"/>
          </rPr>
          <t xml:space="preserve">You gain a +1 bonus on all attack rolls you make using the selected weapon.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type of weapon.
A fighter may select Weapon Focus as one of his fighter bonus feats (see page 38). He must have Weapon Focus with a weapon to gain the Weapon Specialization feat for that weapon.
PHB 102</t>
        </r>
      </text>
    </comment>
    <comment ref="A5" authorId="0" shapeId="0" xr:uid="{00000000-0006-0000-0200-000005000000}">
      <text>
        <r>
          <rPr>
            <sz val="12"/>
            <color indexed="81"/>
            <rFont val="Times New Roman"/>
            <family val="1"/>
          </rPr>
          <t xml:space="preserve">Choose one type of weapon, such as greataxe, for which you have already selected the Weapon Focus feat.  You can also choose unarmed strike or grapple as your weapon for purposes of this feat.
You deal extra damage when using this weapon.
</t>
        </r>
        <r>
          <rPr>
            <b/>
            <sz val="12"/>
            <color indexed="81"/>
            <rFont val="Times New Roman"/>
            <family val="1"/>
          </rPr>
          <t xml:space="preserve">Prerequisites:  </t>
        </r>
        <r>
          <rPr>
            <sz val="12"/>
            <color indexed="81"/>
            <rFont val="Times New Roman"/>
            <family val="1"/>
          </rPr>
          <t xml:space="preserve">Proficiency with selected weapon, Weapon Focus with selected weapon, fighter level 4th.
</t>
        </r>
        <r>
          <rPr>
            <b/>
            <sz val="12"/>
            <color indexed="81"/>
            <rFont val="Times New Roman"/>
            <family val="1"/>
          </rPr>
          <t xml:space="preserve">Benefit:  </t>
        </r>
        <r>
          <rPr>
            <sz val="12"/>
            <color indexed="81"/>
            <rFont val="Times New Roman"/>
            <family val="1"/>
          </rPr>
          <t xml:space="preserve">You gain a +2 bonus on all damage rolls you make using the selected weapon.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type of weapon.
A fighter may select Weapon Specialization as one of his fighter bonus feats (see page 38).
PHB 102</t>
        </r>
      </text>
    </comment>
    <comment ref="A6" authorId="0" shapeId="0" xr:uid="{00000000-0006-0000-0200-000007000000}">
      <text>
        <r>
          <rPr>
            <sz val="12"/>
            <color indexed="81"/>
            <rFont val="Times New Roman"/>
            <family val="1"/>
          </rPr>
          <t xml:space="preserve">You can respond quickly and repeatedly to opponents who let their defenses down.
</t>
        </r>
        <r>
          <rPr>
            <b/>
            <sz val="12"/>
            <color indexed="81"/>
            <rFont val="Times New Roman"/>
            <family val="1"/>
          </rPr>
          <t xml:space="preserve">Benefit:  </t>
        </r>
        <r>
          <rPr>
            <sz val="12"/>
            <color indexed="81"/>
            <rFont val="Times New Roman"/>
            <family val="1"/>
          </rPr>
          <t xml:space="preserve">When foes leave themselves open, you may make a number of additional attacks of opportunity equal to your Dexterity bonus.  For example, a fighter with a Dexterity of 15 can make a total of three attacks of opportunity in 1 round—the one attack of opportunity any character is entitled to, plus two more because of his +2 Dexterity bonus.  If four goblins move out of the character’s threatened squares, he can make one attack of opportunity each against three of the four. You can still make only one attack of opportunity per opportunity.
With this feat, you may also make attacks of opportunity while flat-footed.
</t>
        </r>
        <r>
          <rPr>
            <b/>
            <sz val="12"/>
            <color indexed="81"/>
            <rFont val="Times New Roman"/>
            <family val="1"/>
          </rPr>
          <t xml:space="preserve">Normal:  </t>
        </r>
        <r>
          <rPr>
            <sz val="12"/>
            <color indexed="81"/>
            <rFont val="Times New Roman"/>
            <family val="1"/>
          </rPr>
          <t xml:space="preserve">A character without this feat can make only one attack of opportunity per round and can’t make attacks of opportunity while flat-footed.
</t>
        </r>
        <r>
          <rPr>
            <b/>
            <sz val="12"/>
            <color indexed="81"/>
            <rFont val="Times New Roman"/>
            <family val="1"/>
          </rPr>
          <t xml:space="preserve">Special:  </t>
        </r>
        <r>
          <rPr>
            <sz val="12"/>
            <color indexed="81"/>
            <rFont val="Times New Roman"/>
            <family val="1"/>
          </rPr>
          <t>The Combat Reflexes feat does not allow a rogue to use her opportunist ability (see page 51) more than once per round.
A fighter may select Combat Reflexes as one of his fighter bonus feats (see page 38).
A monk may select Combat Reflexes as a bonus feat at 2nd level.
PHB 92</t>
        </r>
      </text>
    </comment>
    <comment ref="A7" authorId="0" shapeId="0" xr:uid="{00000000-0006-0000-0200-000008000000}">
      <text>
        <r>
          <rPr>
            <sz val="12"/>
            <color indexed="81"/>
            <rFont val="Times New Roman"/>
            <family val="1"/>
          </rPr>
          <t xml:space="preserve">Choose one of the creature’s special attacks. This attack becomes more potent than normal.
</t>
        </r>
        <r>
          <rPr>
            <b/>
            <sz val="12"/>
            <color indexed="81"/>
            <rFont val="Times New Roman"/>
            <family val="1"/>
          </rPr>
          <t xml:space="preserve">Prerequisite:  </t>
        </r>
        <r>
          <rPr>
            <sz val="12"/>
            <color indexed="81"/>
            <rFont val="Times New Roman"/>
            <family val="1"/>
          </rPr>
          <t xml:space="preserve">Special attack.
</t>
        </r>
        <r>
          <rPr>
            <b/>
            <sz val="12"/>
            <color indexed="81"/>
            <rFont val="Times New Roman"/>
            <family val="1"/>
          </rPr>
          <t xml:space="preserve">Benefit:  </t>
        </r>
        <r>
          <rPr>
            <sz val="12"/>
            <color indexed="81"/>
            <rFont val="Times New Roman"/>
            <family val="1"/>
          </rPr>
          <t xml:space="preserve">Add +2 to the DC for all saving throws against the special attack on which the creature focuses.
</t>
        </r>
        <r>
          <rPr>
            <b/>
            <sz val="12"/>
            <color indexed="81"/>
            <rFont val="Times New Roman"/>
            <family val="1"/>
          </rPr>
          <t xml:space="preserve">Special:  </t>
        </r>
        <r>
          <rPr>
            <sz val="12"/>
            <color indexed="81"/>
            <rFont val="Times New Roman"/>
            <family val="1"/>
          </rPr>
          <t>A creature can gain this feat multiple times.  Its effects do not stack.  Each time the creature takes the feat, it applies to a different special attack.
MM I 303</t>
        </r>
      </text>
    </comment>
    <comment ref="C8" authorId="0" shapeId="0" xr:uid="{00000000-0006-0000-0200-000009000000}">
      <text>
        <r>
          <rPr>
            <sz val="12"/>
            <color indexed="81"/>
            <rFont val="Times New Roman"/>
            <family val="1"/>
          </rPr>
          <t>At 9th level, you gain immunity to the energy type of the breath weapon you gained at 4th level.
PHB II 13</t>
        </r>
      </text>
    </comment>
    <comment ref="C9" authorId="0" shapeId="0" xr:uid="{00000000-0006-0000-0200-00000A000000}">
      <text>
        <r>
          <rPr>
            <sz val="12"/>
            <color indexed="81"/>
            <rFont val="Times New Roman"/>
            <family val="1"/>
          </rPr>
          <t>At 4th level, you gain immunity to paralysis and sleep effects.  You also become immue to the frightful presence of dragons.
PHB II 13</t>
        </r>
      </text>
    </comment>
    <comment ref="C11" authorId="0" shapeId="0" xr:uid="{00000000-0006-0000-0200-00000B000000}">
      <text>
        <r>
          <rPr>
            <sz val="12"/>
            <color indexed="81"/>
            <rFont val="Times New Roman"/>
            <family val="1"/>
          </rPr>
          <t>Any creature striking you or your ally with a natural attack or a nonreach melee weapon is dealt 2 points of energy damage for each point of your aura bonus.  The energy type is that of your totem dragon’s damage-dealing breath weapon.
PHB II 13</t>
        </r>
      </text>
    </comment>
    <comment ref="C12" authorId="0" shapeId="0" xr:uid="{00000000-0006-0000-0200-00000C000000}">
      <text>
        <r>
          <rPr>
            <sz val="12"/>
            <color indexed="81"/>
            <rFont val="Times New Roman"/>
            <family val="1"/>
          </rPr>
          <t>Bonus on melee damage rolls equal to your aura bonus.
PHB II 13</t>
        </r>
      </text>
    </comment>
    <comment ref="C13" authorId="0" shapeId="0" xr:uid="{00000000-0006-0000-0200-00000D000000}">
      <text>
        <r>
          <rPr>
            <sz val="12"/>
            <color indexed="81"/>
            <rFont val="Times New Roman"/>
            <family val="1"/>
          </rPr>
          <t>Bonus on Bluff, Diplomacy, and Intimidate checks equal to your aura bonus.
PHB II 13</t>
        </r>
      </text>
    </comment>
    <comment ref="C14" authorId="0" shapeId="0" xr:uid="{00000000-0006-0000-0200-00000E000000}">
      <text>
        <r>
          <rPr>
            <sz val="12"/>
            <color indexed="81"/>
            <rFont val="Times New Roman"/>
            <family val="1"/>
          </rPr>
          <t>Resistance to your totem dragon’s energy type equal to 5 x your aura bonus.
PHB II 13</t>
        </r>
      </text>
    </comment>
    <comment ref="C15" authorId="0" shapeId="0" xr:uid="{00000000-0006-0000-0200-00000F000000}">
      <text>
        <r>
          <rPr>
            <sz val="12"/>
            <color indexed="81"/>
            <rFont val="Times New Roman"/>
            <family val="1"/>
          </rPr>
          <t>Bonus on Listen and Spot checks, as well as on initiative checks, equal to your aura bonus.
PHB II 13</t>
        </r>
      </text>
    </comment>
    <comment ref="C16" authorId="0" shapeId="0" xr:uid="{00000000-0006-0000-0200-000010000000}">
      <text>
        <r>
          <rPr>
            <sz val="12"/>
            <color indexed="81"/>
            <rFont val="Times New Roman"/>
            <family val="1"/>
          </rPr>
          <t>DR 1/magic for each point of your aura bonus (up to 5).
PHB II 13</t>
        </r>
      </text>
    </comment>
    <comment ref="C17" authorId="0" shapeId="0" xr:uid="{00000000-0006-0000-0200-000011000000}">
      <text>
        <r>
          <rPr>
            <sz val="12"/>
            <color indexed="81"/>
            <rFont val="Times New Roman"/>
            <family val="1"/>
          </rPr>
          <t>Fast healing 1 for each point of your aura bonus, but only affects characters at or below one-half their full normal hit points.
PHB II 13</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3" authorId="0" shapeId="0" xr:uid="{00000000-0006-0000-0300-000001000000}">
      <text>
        <r>
          <rPr>
            <i/>
            <sz val="12"/>
            <color indexed="81"/>
            <rFont val="Times New Roman"/>
            <family val="1"/>
          </rPr>
          <t>Weapon Specialization +2</t>
        </r>
      </text>
    </comment>
    <comment ref="C4" authorId="0" shapeId="0" xr:uid="{00000000-0006-0000-0300-000002000000}">
      <text>
        <r>
          <rPr>
            <i/>
            <sz val="12"/>
            <color indexed="81"/>
            <rFont val="Times New Roman"/>
            <family val="1"/>
          </rPr>
          <t>Weapon Specialization +2</t>
        </r>
      </text>
    </comment>
    <comment ref="C12" authorId="0" shapeId="0" xr:uid="{00000000-0006-0000-0300-000003000000}">
      <text>
        <r>
          <rPr>
            <i/>
            <sz val="12"/>
            <color indexed="81"/>
            <rFont val="Times New Roman"/>
            <family val="1"/>
          </rPr>
          <t>Weapon Specialization +2</t>
        </r>
      </text>
    </comment>
    <comment ref="C13" authorId="0" shapeId="0" xr:uid="{00000000-0006-0000-0300-000004000000}">
      <text>
        <r>
          <rPr>
            <i/>
            <sz val="12"/>
            <color indexed="81"/>
            <rFont val="Times New Roman"/>
            <family val="1"/>
          </rPr>
          <t>dragon spirit cincture +1d6</t>
        </r>
      </text>
    </comment>
    <comment ref="D16" authorId="0" shapeId="0" xr:uid="{00000000-0006-0000-0300-000005000000}">
      <text>
        <r>
          <rPr>
            <sz val="12"/>
            <color indexed="81"/>
            <rFont val="Times New Roman"/>
            <family val="1"/>
          </rPr>
          <t>Balance, Climb, Escape Artist, Hide, Jump, Move Silently, Sleight of Hand, Tumble.</t>
        </r>
      </text>
    </comment>
  </commentList>
</comments>
</file>

<file path=xl/sharedStrings.xml><?xml version="1.0" encoding="utf-8"?>
<sst xmlns="http://schemas.openxmlformats.org/spreadsheetml/2006/main" count="392" uniqueCount="221">
  <si>
    <t>Level</t>
  </si>
  <si>
    <t>Melee Weapon</t>
  </si>
  <si>
    <t>Dmg</t>
  </si>
  <si>
    <t>Qty.</t>
  </si>
  <si>
    <t>Ranged Weapon</t>
  </si>
  <si>
    <t>Dmg.</t>
  </si>
  <si>
    <t>Rng.</t>
  </si>
  <si>
    <t>Skills</t>
  </si>
  <si>
    <t>Concentration</t>
  </si>
  <si>
    <t>AC Mod.</t>
  </si>
  <si>
    <t>Handle Animal</t>
  </si>
  <si>
    <t>Move Silently</t>
  </si>
  <si>
    <t>Ride</t>
  </si>
  <si>
    <t>Search</t>
  </si>
  <si>
    <t>Swim</t>
  </si>
  <si>
    <t>Weapons and Armor</t>
  </si>
  <si>
    <t>Type</t>
  </si>
  <si>
    <t>Personality, History, and Notes</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</si>
  <si>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</si>
  <si>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</si>
  <si>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</si>
  <si>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</si>
  <si>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</si>
  <si>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</si>
  <si>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</si>
  <si>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</si>
  <si>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</si>
  <si>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</si>
  <si>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</si>
  <si>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</si>
  <si>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</si>
  <si>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</si>
  <si>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</si>
  <si>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</si>
  <si>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</si>
  <si>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</si>
  <si>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</si>
  <si>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</si>
  <si>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</si>
  <si>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</si>
  <si>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</si>
  <si>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</si>
  <si>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</si>
  <si>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</si>
  <si>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</si>
  <si>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</si>
  <si>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</si>
  <si>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</si>
  <si>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</si>
  <si>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</si>
  <si>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</si>
  <si>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</si>
  <si>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</si>
  <si>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</si>
  <si>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</si>
  <si>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</si>
  <si>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Total</t>
  </si>
  <si>
    <t>Critical</t>
  </si>
  <si>
    <t>Fortitude</t>
  </si>
  <si>
    <t>Reflex</t>
  </si>
  <si>
    <t>Will</t>
  </si>
  <si>
    <t>Armor &amp; Shield</t>
  </si>
  <si>
    <t>Missiles</t>
  </si>
  <si>
    <t>Languages</t>
  </si>
  <si>
    <t>Equipment Worn</t>
  </si>
  <si>
    <t>Item</t>
  </si>
  <si>
    <t>Effects/</t>
  </si>
  <si>
    <t>Notes</t>
  </si>
  <si>
    <t>Equipment Carried</t>
  </si>
  <si>
    <t>Check</t>
  </si>
  <si>
    <t>Arcane</t>
  </si>
  <si>
    <t>Speed</t>
  </si>
  <si>
    <t>Speak Language</t>
  </si>
  <si>
    <t>Sleight of Hand</t>
  </si>
  <si>
    <t>Survival</t>
  </si>
  <si>
    <t>Class Features</t>
  </si>
  <si>
    <t>Weapon Proficiencies</t>
  </si>
  <si>
    <t>Shields (not tower)</t>
  </si>
  <si>
    <t>Atk</t>
  </si>
  <si>
    <t>Feats</t>
  </si>
  <si>
    <t>Roll</t>
  </si>
  <si>
    <t>Skill/Save</t>
  </si>
  <si>
    <t>2</t>
  </si>
  <si>
    <t>Perform:  [type]</t>
  </si>
  <si>
    <t>Profession:  [type]</t>
  </si>
  <si>
    <t>Scrolls and Potions</t>
  </si>
  <si>
    <t>CLev</t>
  </si>
  <si>
    <t>Value</t>
  </si>
  <si>
    <t>Simple Weapons</t>
  </si>
  <si>
    <t>Total Equity:</t>
  </si>
  <si>
    <t>NPC</t>
  </si>
  <si>
    <t>Female</t>
  </si>
  <si>
    <t>Light &amp; Medium Armor</t>
  </si>
  <si>
    <t>Aura:  Power</t>
  </si>
  <si>
    <t>Aura:  Vigor</t>
  </si>
  <si>
    <t>Aura:  Toughness</t>
  </si>
  <si>
    <t>dragon shaman 1</t>
  </si>
  <si>
    <t>Human:  Endurance</t>
  </si>
  <si>
    <t>x3</t>
  </si>
  <si>
    <t>Piercing</t>
  </si>
  <si>
    <t>Dragon Shamaness</t>
  </si>
  <si>
    <t>-</t>
  </si>
  <si>
    <t>dragon shaman 2</t>
  </si>
  <si>
    <t>dragon shaman 3</t>
  </si>
  <si>
    <t>dragon shaman 4</t>
  </si>
  <si>
    <t>dragon shaman 5</t>
  </si>
  <si>
    <t>dragon shaman 6</t>
  </si>
  <si>
    <t>dragon shaman 7</t>
  </si>
  <si>
    <t>dragon shaman 8</t>
  </si>
  <si>
    <t>dragon shaman 9</t>
  </si>
  <si>
    <t>dragon shaman 10</t>
  </si>
  <si>
    <t>3</t>
  </si>
  <si>
    <t>Grapple, Unarmed Strike</t>
  </si>
  <si>
    <t>x2</t>
  </si>
  <si>
    <t>Bludgeon</t>
  </si>
  <si>
    <t>Aura:  Senses</t>
  </si>
  <si>
    <t>Senses +1</t>
  </si>
  <si>
    <t>30’</t>
  </si>
  <si>
    <t>3rd:  Weapon Focus ~ Spears</t>
  </si>
  <si>
    <t>Bolts</t>
  </si>
  <si>
    <t>Draconic Resolve</t>
  </si>
  <si>
    <t>Immunity to Paralysis and Sleep effects</t>
  </si>
  <si>
    <t>17-20, x2</t>
  </si>
  <si>
    <t>Electric Bolts</t>
  </si>
  <si>
    <t>Sonic Bolts</t>
  </si>
  <si>
    <t>Cold Bolts</t>
  </si>
  <si>
    <t>1d6 electric</t>
  </si>
  <si>
    <t>1d6 sonic</t>
  </si>
  <si>
    <t>1d6 cold</t>
  </si>
  <si>
    <t>Craft:  [type]</t>
  </si>
  <si>
    <t>Aura:  Presence</t>
  </si>
  <si>
    <t>1</t>
  </si>
  <si>
    <t>1d4</t>
  </si>
  <si>
    <t>19-20, x2</t>
  </si>
  <si>
    <t>Prcg/Slsh</t>
  </si>
  <si>
    <t>Common, Draconic</t>
  </si>
  <si>
    <t>Undeadbane Bolts</t>
  </si>
  <si>
    <t>Lycanbane Bolts</t>
  </si>
  <si>
    <t>+2</t>
  </si>
  <si>
    <t>Bonus to hit and damage specific to target</t>
  </si>
  <si>
    <t>Dragon Spirit Cincture</t>
  </si>
  <si>
    <t>+1 die to breath weapon damage</t>
  </si>
  <si>
    <t>Natural Armor</t>
  </si>
  <si>
    <t>10’</t>
  </si>
  <si>
    <t>Aura:  Energy Shield</t>
  </si>
  <si>
    <t>MIC 95</t>
  </si>
  <si>
    <t>Heward’s Handy Haversack</t>
  </si>
  <si>
    <t>% of 100-lb limit</t>
  </si>
  <si>
    <t>Draconic Aura +3</t>
  </si>
  <si>
    <t>dragon shaman 11</t>
  </si>
  <si>
    <t>Touch of Vitality:  Remove Conditions</t>
  </si>
  <si>
    <t>dragon shaman 12</t>
  </si>
  <si>
    <t>20’</t>
  </si>
  <si>
    <t>Barkskin</t>
  </si>
  <si>
    <t>two</t>
  </si>
  <si>
    <t>Ring of Protection +2</t>
  </si>
  <si>
    <t>Totem skill</t>
  </si>
  <si>
    <t>+1d6</t>
  </si>
  <si>
    <t>1d6</t>
  </si>
  <si>
    <r>
      <t xml:space="preserve">Potion of </t>
    </r>
    <r>
      <rPr>
        <i/>
        <sz val="12"/>
        <rFont val="Times New Roman"/>
        <family val="1"/>
      </rPr>
      <t>Water Breathing</t>
    </r>
  </si>
  <si>
    <r>
      <t xml:space="preserve">Potion of </t>
    </r>
    <r>
      <rPr>
        <i/>
        <sz val="12"/>
        <rFont val="Times New Roman"/>
        <family val="1"/>
      </rPr>
      <t>Eagle’s Splendor</t>
    </r>
  </si>
  <si>
    <r>
      <t>86</t>
    </r>
    <r>
      <rPr>
        <sz val="13"/>
        <rFont val="Times New Roman"/>
        <family val="1"/>
      </rPr>
      <t>/</t>
    </r>
    <r>
      <rPr>
        <sz val="13"/>
        <color indexed="52"/>
        <rFont val="Times New Roman"/>
        <family val="1"/>
      </rPr>
      <t>173</t>
    </r>
    <r>
      <rPr>
        <sz val="13"/>
        <rFont val="Times New Roman"/>
        <family val="1"/>
      </rPr>
      <t>/</t>
    </r>
    <r>
      <rPr>
        <sz val="13"/>
        <color indexed="10"/>
        <rFont val="Times New Roman"/>
        <family val="1"/>
      </rPr>
      <t>260</t>
    </r>
  </si>
  <si>
    <t>Skill Focus +3:  Hide, Swim</t>
  </si>
  <si>
    <t>Knowledge:  Nature</t>
  </si>
  <si>
    <t>1st:  Power Attack</t>
  </si>
  <si>
    <t>9th:  Combat Reflexes</t>
  </si>
  <si>
    <t>Returning Shortspear +2</t>
  </si>
  <si>
    <t>Returning Shortspear, 2nd attack</t>
  </si>
  <si>
    <t>Eager Dagger</t>
  </si>
  <si>
    <t>Ranged Touch Attack</t>
  </si>
  <si>
    <t>6th:  Weapon Specialization ~ Spears</t>
  </si>
  <si>
    <t>12th:  Ability Focus ~ Breath Weapon</t>
  </si>
  <si>
    <t>Light Crossbow +1</t>
  </si>
  <si>
    <t>Light Crossbow +1, 2nd attack</t>
  </si>
  <si>
    <t>Reins of Ascension</t>
  </si>
  <si>
    <t>Vanguard Treads</t>
  </si>
  <si>
    <t>Ring of Entropic Deflection</t>
  </si>
  <si>
    <t>MW Sap</t>
  </si>
  <si>
    <t>Necklace of White Dragon Scales</t>
  </si>
  <si>
    <t>?</t>
  </si>
  <si>
    <t>Race</t>
  </si>
  <si>
    <t>Sex</t>
  </si>
  <si>
    <t>Class</t>
  </si>
  <si>
    <t>Alignment</t>
  </si>
  <si>
    <t>Totem Dragon</t>
  </si>
  <si>
    <t>Attack Bonus</t>
  </si>
  <si>
    <t>Initiative</t>
  </si>
  <si>
    <t>Strength</t>
  </si>
  <si>
    <t>Lb. Capacity</t>
  </si>
  <si>
    <t>Dexterity</t>
  </si>
  <si>
    <t>Lb. Carried</t>
  </si>
  <si>
    <t>Constitution</t>
  </si>
  <si>
    <t>Hit Points</t>
  </si>
  <si>
    <t>Intelligence</t>
  </si>
  <si>
    <t>Touch AC</t>
  </si>
  <si>
    <t>Wisdom</t>
  </si>
  <si>
    <t>FF AC</t>
  </si>
  <si>
    <t>Charisma</t>
  </si>
  <si>
    <t>AC</t>
  </si>
  <si>
    <t>Black</t>
  </si>
  <si>
    <r>
      <t xml:space="preserve">Potion of </t>
    </r>
    <r>
      <rPr>
        <i/>
        <sz val="12"/>
        <rFont val="Times New Roman"/>
        <family val="1"/>
      </rPr>
      <t>Bull’s Strength</t>
    </r>
  </si>
  <si>
    <t>60’</t>
  </si>
  <si>
    <t>Black Dragon Scale Mail +1</t>
  </si>
  <si>
    <t>Black Dragonhide Cloak +1</t>
  </si>
  <si>
    <t>Teeth</t>
  </si>
  <si>
    <t>of Fire</t>
  </si>
  <si>
    <t>Silverbrow Human</t>
  </si>
  <si>
    <t>Subtype</t>
  </si>
  <si>
    <t>Dragonborn</t>
  </si>
  <si>
    <t>Deity</t>
  </si>
  <si>
    <t>Aasterinian</t>
  </si>
  <si>
    <t>30’ / 10’</t>
  </si>
  <si>
    <t>Aquatic Speed</t>
  </si>
  <si>
    <t>Land Speed</t>
  </si>
  <si>
    <t>silverbrow</t>
  </si>
  <si>
    <t>Chaotic Neutral</t>
  </si>
  <si>
    <t>Breath Weapon (line of fire)</t>
  </si>
  <si>
    <t>Endure Elements (self only)</t>
  </si>
  <si>
    <t>Breath Weapon:  Cone of Fire</t>
  </si>
  <si>
    <t>Energy Immunity:  Fire</t>
  </si>
  <si>
    <t>Totem Dragon:  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</si>
</sst>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7" x14ac:knownFonts="1">
    <font>
      <sz val="12"/>
      <name val="Times New Roman"/>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i/>
      <sz val="12"/>
      <color indexed="42"/>
      <name val="Times New Roman"/>
      <family val="1"/>
    </font>
    <font>
      <sz val="10"/>
      <name val="Arial"/>
      <family val="2"/>
    </font>
    <font>
      <sz val="12"/>
      <name val="Times New Roman"/>
      <family val="1"/>
      <charset val="1"/>
    </font>
    <font>
      <b/>
      <sz val="13"/>
      <color rgb="FF00CC00"/>
      <name val="Times New Roman"/>
      <family val="1"/>
    </font>
    <font>
      <sz val="13"/>
      <color rgb="FFFFC000"/>
      <name val="Times New Roman"/>
      <family val="1"/>
    </font>
    <font>
      <b/>
      <sz val="12"/>
      <color indexed="81"/>
      <name val="Times New Roman"/>
      <family val="1"/>
    </font>
    <font>
      <b/>
      <sz val="13"/>
      <color rgb="FFFF0000"/>
      <name val="Times New Roman"/>
      <family val="1"/>
    </font>
    <font>
      <b/>
      <sz val="13"/>
      <color rgb="FF0000FF"/>
      <name val="Times New Roman"/>
      <family val="1"/>
    </font>
    <font>
      <b/>
      <sz val="13"/>
      <color rgb="FF7030A0"/>
      <name val="Times New Roman"/>
      <family val="1"/>
    </font>
    <font>
      <b/>
      <sz val="13"/>
      <color rgb="FFFFC000"/>
      <name val="Times New Roman"/>
      <family val="1"/>
    </font>
    <font>
      <b/>
      <sz val="12"/>
      <color rgb="FFFFC000"/>
      <name val="Times New Roman"/>
      <family val="1"/>
    </font>
    <font>
      <sz val="12"/>
      <color rgb="FFFFC000"/>
      <name val="Times New Roman"/>
      <family val="1"/>
    </font>
    <font>
      <i/>
      <sz val="18"/>
      <color indexed="53"/>
      <name val="Times New Roman"/>
      <family val="1"/>
    </font>
    <font>
      <i/>
      <sz val="18"/>
      <color indexed="10"/>
      <name val="Times New Roman"/>
      <family val="1"/>
    </font>
    <font>
      <i/>
      <sz val="18"/>
      <color indexed="57"/>
      <name val="Times New Roman"/>
      <family val="1"/>
    </font>
    <font>
      <sz val="13"/>
      <color rgb="FFFF0000"/>
      <name val="Times New Roman"/>
      <family val="1"/>
    </font>
    <font>
      <i/>
      <sz val="20"/>
      <color indexed="17"/>
      <name val="Times New Roman"/>
      <family val="1"/>
    </font>
    <font>
      <i/>
      <sz val="22"/>
      <color rgb="FFFFC000"/>
      <name val="Times New Roman"/>
      <family val="1"/>
    </font>
    <font>
      <i/>
      <sz val="12"/>
      <color indexed="81"/>
      <name val="Times New Roman"/>
      <family val="1"/>
    </font>
    <font>
      <sz val="12"/>
      <color theme="0"/>
      <name val="Times New Roman"/>
      <family val="1"/>
    </font>
    <font>
      <i/>
      <sz val="12"/>
      <name val="Times New Roman"/>
      <family val="1"/>
    </font>
    <font>
      <i/>
      <sz val="22"/>
      <color rgb="FFFF0000"/>
      <name val="Times New Roman"/>
      <family val="1"/>
    </font>
    <font>
      <sz val="12"/>
      <color rgb="FFFF0000"/>
      <name val="Times New Roman"/>
      <family val="1"/>
    </font>
  </fonts>
  <fills count="19">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65"/>
        <bgColor indexed="64"/>
      </patternFill>
    </fill>
    <fill>
      <patternFill patternType="solid">
        <fgColor indexed="11"/>
        <bgColor indexed="64"/>
      </patternFill>
    </fill>
    <fill>
      <patternFill patternType="solid">
        <fgColor rgb="FFCCFFCC"/>
        <bgColor indexed="64"/>
      </patternFill>
    </fill>
    <fill>
      <patternFill patternType="solid">
        <fgColor theme="0" tint="-0.249977111117893"/>
        <bgColor indexed="64"/>
      </patternFill>
    </fill>
    <fill>
      <patternFill patternType="solid">
        <fgColor rgb="FFFF0000"/>
        <bgColor indexed="64"/>
      </patternFill>
    </fill>
    <fill>
      <patternFill patternType="solid">
        <fgColor rgb="FF7030A0"/>
        <bgColor indexed="64"/>
      </patternFill>
    </fill>
    <fill>
      <patternFill patternType="solid">
        <fgColor theme="0" tint="-0.249977111117893"/>
        <bgColor indexed="55"/>
      </patternFill>
    </fill>
    <fill>
      <patternFill patternType="solid">
        <fgColor theme="7" tint="0.39997558519241921"/>
        <bgColor indexed="64"/>
      </patternFill>
    </fill>
    <fill>
      <patternFill patternType="solid">
        <fgColor rgb="FFCCFFCC"/>
        <bgColor indexed="55"/>
      </patternFill>
    </fill>
    <fill>
      <patternFill patternType="solid">
        <fgColor theme="9"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C000"/>
        <bgColor indexed="64"/>
      </patternFill>
    </fill>
  </fills>
  <borders count="121">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double">
        <color indexed="64"/>
      </left>
      <right style="double">
        <color indexed="64"/>
      </right>
      <top/>
      <bottom style="hair">
        <color indexed="64"/>
      </bottom>
      <diagonal/>
    </border>
    <border>
      <left/>
      <right style="hair">
        <color indexed="64"/>
      </right>
      <top style="hair">
        <color indexed="64"/>
      </top>
      <bottom style="hair">
        <color indexed="64"/>
      </bottom>
      <diagonal/>
    </border>
    <border>
      <left style="double">
        <color indexed="64"/>
      </left>
      <right/>
      <top style="double">
        <color indexed="64"/>
      </top>
      <bottom style="thick">
        <color theme="9" tint="-0.499984740745262"/>
      </bottom>
      <diagonal/>
    </border>
    <border>
      <left/>
      <right/>
      <top style="double">
        <color indexed="64"/>
      </top>
      <bottom style="thick">
        <color theme="9" tint="-0.499984740745262"/>
      </bottom>
      <diagonal/>
    </border>
    <border>
      <left/>
      <right style="double">
        <color indexed="64"/>
      </right>
      <top style="double">
        <color indexed="64"/>
      </top>
      <bottom style="thick">
        <color theme="9" tint="-0.499984740745262"/>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auto="1"/>
      </left>
      <right style="thin">
        <color auto="1"/>
      </right>
      <top style="double">
        <color auto="1"/>
      </top>
      <bottom style="thin">
        <color auto="1"/>
      </bottom>
      <diagonal/>
    </border>
    <border>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right/>
      <top style="double">
        <color indexed="64"/>
      </top>
      <bottom style="medium">
        <color indexed="64"/>
      </bottom>
      <diagonal/>
    </border>
    <border>
      <left style="double">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thin">
        <color auto="1"/>
      </left>
      <right/>
      <top style="double">
        <color auto="1"/>
      </top>
      <bottom style="thin">
        <color auto="1"/>
      </bottom>
      <diagonal/>
    </border>
    <border>
      <left/>
      <right style="medium">
        <color auto="1"/>
      </right>
      <top style="double">
        <color auto="1"/>
      </top>
      <bottom style="thin">
        <color auto="1"/>
      </bottom>
      <diagonal/>
    </border>
    <border>
      <left style="thin">
        <color indexed="64"/>
      </left>
      <right style="double">
        <color indexed="64"/>
      </right>
      <top style="hair">
        <color indexed="64"/>
      </top>
      <bottom style="double">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style="double">
        <color indexed="64"/>
      </right>
      <top style="hair">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double">
        <color indexed="64"/>
      </bottom>
      <diagonal/>
    </border>
    <border>
      <left style="double">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double">
        <color indexed="64"/>
      </bottom>
      <diagonal/>
    </border>
    <border>
      <left style="thin">
        <color indexed="64"/>
      </left>
      <right/>
      <top/>
      <bottom style="hair">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hair">
        <color indexed="64"/>
      </top>
      <bottom style="hair">
        <color indexed="64"/>
      </bottom>
      <diagonal/>
    </border>
    <border>
      <left style="thin">
        <color indexed="64"/>
      </left>
      <right/>
      <top style="thin">
        <color indexed="64"/>
      </top>
      <bottom style="double">
        <color indexed="64"/>
      </bottom>
      <diagonal/>
    </border>
    <border>
      <left/>
      <right style="medium">
        <color auto="1"/>
      </right>
      <top style="thin">
        <color indexed="64"/>
      </top>
      <bottom style="double">
        <color indexed="64"/>
      </bottom>
      <diagonal/>
    </border>
    <border>
      <left style="double">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double">
        <color indexed="64"/>
      </right>
      <top/>
      <bottom style="hair">
        <color indexed="64"/>
      </bottom>
      <diagonal/>
    </border>
    <border>
      <left style="double">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double">
        <color indexed="64"/>
      </right>
      <top style="hair">
        <color indexed="64"/>
      </top>
      <bottom/>
      <diagonal/>
    </border>
    <border>
      <left style="double">
        <color indexed="64"/>
      </left>
      <right style="thin">
        <color indexed="64"/>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double">
        <color indexed="64"/>
      </right>
      <top/>
      <bottom style="hair">
        <color indexed="64"/>
      </bottom>
      <diagonal/>
    </border>
    <border>
      <left style="double">
        <color indexed="64"/>
      </left>
      <right style="thin">
        <color indexed="64"/>
      </right>
      <top style="hair">
        <color indexed="64"/>
      </top>
      <bottom/>
      <diagonal/>
    </border>
    <border>
      <left style="double">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s>
  <cellStyleXfs count="9">
    <xf numFmtId="0" fontId="0" fillId="0" borderId="0"/>
    <xf numFmtId="0" fontId="32" fillId="0" borderId="0" applyNumberFormat="0" applyFill="0" applyBorder="0" applyAlignment="0" applyProtection="0">
      <alignment vertical="top"/>
      <protection locked="0"/>
    </xf>
    <xf numFmtId="9" fontId="1" fillId="0" borderId="0" applyFont="0" applyFill="0" applyBorder="0" applyAlignment="0" applyProtection="0"/>
    <xf numFmtId="9" fontId="4" fillId="0" borderId="0" applyFont="0" applyFill="0" applyBorder="0" applyAlignment="0" applyProtection="0"/>
    <xf numFmtId="0" fontId="35" fillId="0" borderId="0"/>
    <xf numFmtId="0" fontId="1" fillId="0" borderId="0"/>
    <xf numFmtId="0" fontId="36" fillId="0" borderId="0"/>
    <xf numFmtId="0" fontId="1" fillId="0" borderId="0"/>
    <xf numFmtId="0" fontId="1" fillId="0" borderId="0"/>
  </cellStyleXfs>
  <cellXfs count="412">
    <xf numFmtId="0" fontId="0" fillId="0" borderId="0" xfId="0"/>
    <xf numFmtId="0" fontId="11" fillId="3" borderId="60" xfId="0" applyFont="1" applyFill="1" applyBorder="1" applyAlignment="1">
      <alignment horizontal="centerContinuous" vertical="center"/>
    </xf>
    <xf numFmtId="0" fontId="11" fillId="3" borderId="37" xfId="0" applyFont="1" applyFill="1" applyBorder="1" applyAlignment="1">
      <alignment horizontal="center" vertical="center"/>
    </xf>
    <xf numFmtId="0" fontId="11" fillId="3" borderId="37" xfId="0" applyFont="1" applyFill="1" applyBorder="1" applyAlignment="1">
      <alignment horizontal="center" vertical="center" wrapText="1"/>
    </xf>
    <xf numFmtId="0" fontId="11" fillId="3" borderId="61" xfId="0" applyFont="1" applyFill="1" applyBorder="1" applyAlignment="1">
      <alignment horizontal="center" vertical="center"/>
    </xf>
    <xf numFmtId="0" fontId="3" fillId="0" borderId="0" xfId="0" applyFont="1" applyAlignment="1">
      <alignment vertical="center"/>
    </xf>
    <xf numFmtId="0" fontId="47" fillId="0" borderId="30" xfId="0" applyFont="1" applyBorder="1" applyAlignment="1">
      <alignment horizontal="centerContinuous" vertical="center" wrapText="1"/>
    </xf>
    <xf numFmtId="0" fontId="48" fillId="0" borderId="30" xfId="0" applyFont="1" applyBorder="1" applyAlignment="1">
      <alignment horizontal="centerContinuous" vertical="center" wrapText="1"/>
    </xf>
    <xf numFmtId="1" fontId="45" fillId="11" borderId="72" xfId="0" applyNumberFormat="1" applyFont="1" applyFill="1" applyBorder="1" applyAlignment="1">
      <alignment horizontal="center" vertical="center"/>
    </xf>
    <xf numFmtId="0" fontId="1" fillId="13" borderId="45" xfId="0" applyFont="1" applyFill="1" applyBorder="1" applyAlignment="1">
      <alignment horizontal="center" vertical="center"/>
    </xf>
    <xf numFmtId="164" fontId="1" fillId="13" borderId="45" xfId="0" applyNumberFormat="1" applyFont="1" applyFill="1" applyBorder="1" applyAlignment="1">
      <alignment horizontal="center" vertical="center"/>
    </xf>
    <xf numFmtId="0" fontId="6" fillId="0" borderId="55" xfId="0" applyFont="1" applyBorder="1" applyAlignment="1">
      <alignment horizontal="centerContinuous" vertical="center"/>
    </xf>
    <xf numFmtId="0" fontId="1" fillId="13" borderId="45" xfId="2" applyNumberFormat="1" applyFont="1" applyFill="1" applyBorder="1" applyAlignment="1">
      <alignment horizontal="center" vertical="center"/>
    </xf>
    <xf numFmtId="0" fontId="20" fillId="2" borderId="58" xfId="0" applyFont="1" applyFill="1" applyBorder="1" applyAlignment="1">
      <alignment horizontal="left" vertical="center"/>
    </xf>
    <xf numFmtId="0" fontId="3" fillId="2" borderId="58" xfId="0" applyFont="1" applyFill="1" applyBorder="1" applyAlignment="1">
      <alignment horizontal="centerContinuous" vertical="center"/>
    </xf>
    <xf numFmtId="0" fontId="4" fillId="2" borderId="58" xfId="0" applyFont="1" applyFill="1" applyBorder="1" applyAlignment="1">
      <alignment horizontal="centerContinuous" vertical="center"/>
    </xf>
    <xf numFmtId="0" fontId="34" fillId="2" borderId="59" xfId="1" applyFont="1" applyFill="1" applyBorder="1" applyAlignment="1" applyProtection="1">
      <alignment horizontal="right" vertical="center"/>
    </xf>
    <xf numFmtId="0" fontId="4" fillId="0" borderId="0" xfId="0" applyFont="1" applyAlignment="1">
      <alignment vertical="center"/>
    </xf>
    <xf numFmtId="0" fontId="5" fillId="0" borderId="1" xfId="0" applyFont="1" applyBorder="1" applyAlignment="1">
      <alignment horizontal="right" vertical="center"/>
    </xf>
    <xf numFmtId="0" fontId="6" fillId="0" borderId="0" xfId="0" applyFont="1" applyAlignment="1">
      <alignment horizontal="centerContinuous" vertical="center"/>
    </xf>
    <xf numFmtId="0" fontId="5" fillId="0" borderId="0" xfId="0" applyFont="1" applyAlignment="1">
      <alignment horizontal="right" vertical="center"/>
    </xf>
    <xf numFmtId="0" fontId="6" fillId="0" borderId="0" xfId="0" applyFont="1" applyAlignment="1">
      <alignment horizontal="center" vertical="center"/>
    </xf>
    <xf numFmtId="0" fontId="0" fillId="0" borderId="0" xfId="0" applyAlignment="1">
      <alignment vertical="center"/>
    </xf>
    <xf numFmtId="0" fontId="6" fillId="0" borderId="2" xfId="0" applyFont="1" applyBorder="1" applyAlignment="1">
      <alignment horizontal="left" vertical="center"/>
    </xf>
    <xf numFmtId="0" fontId="5" fillId="4" borderId="62" xfId="0" applyFont="1" applyFill="1" applyBorder="1" applyAlignment="1">
      <alignment horizontal="right" vertical="center"/>
    </xf>
    <xf numFmtId="0" fontId="5" fillId="4" borderId="63" xfId="0" applyFont="1" applyFill="1" applyBorder="1" applyAlignment="1">
      <alignment horizontal="right" vertical="center"/>
    </xf>
    <xf numFmtId="49" fontId="6" fillId="0" borderId="64" xfId="0" applyNumberFormat="1" applyFont="1" applyBorder="1" applyAlignment="1">
      <alignment horizontal="center" vertical="center"/>
    </xf>
    <xf numFmtId="0" fontId="6" fillId="0" borderId="0" xfId="0" applyFont="1" applyAlignment="1">
      <alignment horizontal="left" vertical="center"/>
    </xf>
    <xf numFmtId="0" fontId="5" fillId="4" borderId="11" xfId="0" applyFont="1" applyFill="1" applyBorder="1" applyAlignment="1">
      <alignment horizontal="right" vertical="center"/>
    </xf>
    <xf numFmtId="49" fontId="6" fillId="0" borderId="99" xfId="0" applyNumberFormat="1" applyFont="1" applyBorder="1" applyAlignment="1">
      <alignment horizontal="centerContinuous" vertical="center"/>
    </xf>
    <xf numFmtId="0" fontId="1" fillId="0" borderId="100" xfId="0" applyFont="1" applyBorder="1" applyAlignment="1">
      <alignment horizontal="centerContinuous" vertical="center"/>
    </xf>
    <xf numFmtId="0" fontId="6" fillId="0" borderId="12" xfId="0" applyFont="1" applyBorder="1" applyAlignment="1">
      <alignment horizontal="center" vertical="center"/>
    </xf>
    <xf numFmtId="0" fontId="7" fillId="2" borderId="13" xfId="0" applyFont="1" applyFill="1" applyBorder="1" applyAlignment="1">
      <alignment horizontal="right" vertical="center"/>
    </xf>
    <xf numFmtId="0" fontId="25" fillId="0" borderId="14" xfId="0" applyFont="1" applyBorder="1" applyAlignment="1">
      <alignment horizontal="center" vertical="center"/>
    </xf>
    <xf numFmtId="0" fontId="7" fillId="4" borderId="52" xfId="0" applyFont="1" applyFill="1" applyBorder="1" applyAlignment="1">
      <alignment horizontal="right" vertical="center"/>
    </xf>
    <xf numFmtId="0" fontId="12" fillId="2" borderId="4" xfId="0" applyFont="1" applyFill="1" applyBorder="1" applyAlignment="1">
      <alignment horizontal="right" vertical="center"/>
    </xf>
    <xf numFmtId="49" fontId="25" fillId="0" borderId="14" xfId="0" applyNumberFormat="1" applyFont="1" applyBorder="1" applyAlignment="1">
      <alignment horizontal="center" vertical="center"/>
    </xf>
    <xf numFmtId="0" fontId="7" fillId="4" borderId="50" xfId="0" applyFont="1" applyFill="1" applyBorder="1" applyAlignment="1">
      <alignment horizontal="right" vertical="center"/>
    </xf>
    <xf numFmtId="164" fontId="5" fillId="7" borderId="28" xfId="0" applyNumberFormat="1" applyFont="1" applyFill="1" applyBorder="1" applyAlignment="1">
      <alignment horizontal="center" vertical="center"/>
    </xf>
    <xf numFmtId="0" fontId="9" fillId="2" borderId="4" xfId="0" applyFont="1" applyFill="1" applyBorder="1" applyAlignment="1">
      <alignment horizontal="right" vertical="center"/>
    </xf>
    <xf numFmtId="49" fontId="25" fillId="0" borderId="3" xfId="0" applyNumberFormat="1" applyFont="1" applyBorder="1" applyAlignment="1">
      <alignment horizontal="center" vertical="center"/>
    </xf>
    <xf numFmtId="0" fontId="5" fillId="0" borderId="27" xfId="0" applyFont="1" applyBorder="1" applyAlignment="1">
      <alignment horizontal="center" vertical="center"/>
    </xf>
    <xf numFmtId="0" fontId="37" fillId="2" borderId="4" xfId="0" applyFont="1" applyFill="1" applyBorder="1" applyAlignment="1">
      <alignment horizontal="right" vertical="center"/>
    </xf>
    <xf numFmtId="0" fontId="10" fillId="4" borderId="50" xfId="0" applyFont="1" applyFill="1" applyBorder="1" applyAlignment="1">
      <alignment horizontal="right" vertical="center"/>
    </xf>
    <xf numFmtId="0" fontId="22" fillId="2" borderId="4" xfId="0" applyFont="1" applyFill="1" applyBorder="1" applyAlignment="1">
      <alignment horizontal="right" vertical="center"/>
    </xf>
    <xf numFmtId="0" fontId="13" fillId="2" borderId="15" xfId="0" applyFont="1" applyFill="1" applyBorder="1" applyAlignment="1">
      <alignment horizontal="right" vertical="center"/>
    </xf>
    <xf numFmtId="49" fontId="25" fillId="0" borderId="23" xfId="0" applyNumberFormat="1" applyFont="1" applyBorder="1" applyAlignment="1">
      <alignment horizontal="center" vertical="center"/>
    </xf>
    <xf numFmtId="0" fontId="10" fillId="4" borderId="51" xfId="0" applyFont="1" applyFill="1" applyBorder="1" applyAlignment="1">
      <alignment horizontal="right" vertical="center"/>
    </xf>
    <xf numFmtId="0" fontId="2" fillId="0" borderId="1" xfId="0" applyFont="1" applyBorder="1" applyAlignment="1">
      <alignment vertical="center"/>
    </xf>
    <xf numFmtId="0" fontId="14" fillId="0" borderId="0" xfId="0" applyFont="1" applyAlignment="1">
      <alignment vertical="center"/>
    </xf>
    <xf numFmtId="0" fontId="15" fillId="0" borderId="0" xfId="0" applyFont="1" applyAlignment="1">
      <alignment vertical="center"/>
    </xf>
    <xf numFmtId="0" fontId="15" fillId="0" borderId="2"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1" xfId="0" applyFont="1" applyBorder="1" applyAlignment="1">
      <alignment vertical="center"/>
    </xf>
    <xf numFmtId="0" fontId="6" fillId="0" borderId="0" xfId="0" applyFont="1" applyAlignment="1">
      <alignment vertical="center"/>
    </xf>
    <xf numFmtId="0" fontId="6" fillId="0" borderId="2"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3" fillId="0" borderId="0" xfId="0" applyFont="1" applyAlignment="1">
      <alignment horizontal="right" vertical="center"/>
    </xf>
    <xf numFmtId="0" fontId="4" fillId="0" borderId="0" xfId="0" applyFont="1" applyAlignment="1">
      <alignment horizontal="left" vertical="center"/>
    </xf>
    <xf numFmtId="0" fontId="50" fillId="0" borderId="22" xfId="0" applyFont="1" applyBorder="1" applyAlignment="1">
      <alignment horizontal="centerContinuous" vertical="center"/>
    </xf>
    <xf numFmtId="0" fontId="15" fillId="0" borderId="0" xfId="0" applyFont="1" applyAlignment="1">
      <alignment horizontal="centerContinuous" vertical="center"/>
    </xf>
    <xf numFmtId="0" fontId="40" fillId="0" borderId="1" xfId="0" applyFont="1" applyBorder="1" applyAlignment="1">
      <alignment vertical="center"/>
    </xf>
    <xf numFmtId="0" fontId="5" fillId="0" borderId="24" xfId="0" applyFont="1" applyBorder="1" applyAlignment="1">
      <alignment horizontal="center" vertical="center"/>
    </xf>
    <xf numFmtId="0" fontId="6" fillId="0" borderId="24" xfId="0" applyFont="1" applyBorder="1" applyAlignment="1">
      <alignment horizontal="center" vertical="center"/>
    </xf>
    <xf numFmtId="0" fontId="41" fillId="0" borderId="24" xfId="0" applyFont="1" applyBorder="1" applyAlignment="1">
      <alignment horizontal="center" vertical="center" wrapText="1"/>
    </xf>
    <xf numFmtId="0" fontId="6" fillId="0" borderId="24" xfId="0" applyFont="1" applyBorder="1" applyAlignment="1">
      <alignment horizontal="center" vertical="center" wrapText="1"/>
    </xf>
    <xf numFmtId="1" fontId="6" fillId="0" borderId="24" xfId="0" applyNumberFormat="1" applyFont="1" applyBorder="1" applyAlignment="1">
      <alignment horizontal="center" vertical="center" wrapText="1"/>
    </xf>
    <xf numFmtId="0" fontId="38" fillId="11" borderId="25" xfId="0" applyFont="1" applyFill="1" applyBorder="1" applyAlignment="1">
      <alignment horizontal="center" vertical="center"/>
    </xf>
    <xf numFmtId="0" fontId="6" fillId="0" borderId="2" xfId="0" quotePrefix="1" applyFont="1" applyBorder="1" applyAlignment="1">
      <alignment horizontal="center" vertical="center"/>
    </xf>
    <xf numFmtId="0" fontId="42" fillId="0" borderId="1" xfId="0" applyFont="1" applyBorder="1" applyAlignment="1">
      <alignment vertical="center"/>
    </xf>
    <xf numFmtId="0" fontId="12" fillId="0" borderId="25" xfId="0" applyFont="1" applyBorder="1" applyAlignment="1">
      <alignment horizontal="center" vertical="center"/>
    </xf>
    <xf numFmtId="0" fontId="41" fillId="0" borderId="31" xfId="0" applyFont="1" applyBorder="1" applyAlignment="1">
      <alignment vertical="center"/>
    </xf>
    <xf numFmtId="0" fontId="5" fillId="0" borderId="46" xfId="0" applyFont="1" applyBorder="1" applyAlignment="1">
      <alignment horizontal="center" vertical="center"/>
    </xf>
    <xf numFmtId="0" fontId="6" fillId="0" borderId="46" xfId="0" applyFont="1" applyBorder="1" applyAlignment="1">
      <alignment horizontal="center" vertical="center"/>
    </xf>
    <xf numFmtId="0" fontId="43" fillId="0" borderId="46" xfId="0" applyFont="1" applyBorder="1" applyAlignment="1">
      <alignment horizontal="center" vertical="center" wrapText="1"/>
    </xf>
    <xf numFmtId="0" fontId="6" fillId="0" borderId="46" xfId="0" applyFont="1" applyBorder="1" applyAlignment="1">
      <alignment horizontal="center" vertical="center" wrapText="1"/>
    </xf>
    <xf numFmtId="1" fontId="6" fillId="0" borderId="46" xfId="0" applyNumberFormat="1" applyFont="1" applyBorder="1" applyAlignment="1">
      <alignment horizontal="center" vertical="center" wrapText="1"/>
    </xf>
    <xf numFmtId="0" fontId="38" fillId="11" borderId="46" xfId="0" applyFont="1" applyFill="1" applyBorder="1" applyAlignment="1">
      <alignment horizontal="center" vertical="center"/>
    </xf>
    <xf numFmtId="0" fontId="6" fillId="0" borderId="32" xfId="0" quotePrefix="1" applyFont="1" applyBorder="1" applyAlignment="1">
      <alignment horizontal="center" vertical="center"/>
    </xf>
    <xf numFmtId="0" fontId="10" fillId="0" borderId="1" xfId="0" applyFont="1" applyBorder="1" applyAlignment="1">
      <alignment vertical="center"/>
    </xf>
    <xf numFmtId="49" fontId="16" fillId="0" borderId="24" xfId="0" applyNumberFormat="1" applyFont="1" applyBorder="1" applyAlignment="1">
      <alignment horizontal="center" vertical="center"/>
    </xf>
    <xf numFmtId="0" fontId="16" fillId="0" borderId="25" xfId="0" applyFont="1" applyBorder="1" applyAlignment="1">
      <alignment horizontal="center" vertical="center"/>
    </xf>
    <xf numFmtId="0" fontId="10" fillId="0" borderId="25" xfId="0" applyFont="1" applyBorder="1" applyAlignment="1">
      <alignment horizontal="center" vertical="center"/>
    </xf>
    <xf numFmtId="0" fontId="6" fillId="0" borderId="25" xfId="0" applyFont="1" applyBorder="1" applyAlignment="1">
      <alignment horizontal="center" vertical="center"/>
    </xf>
    <xf numFmtId="49" fontId="6" fillId="0" borderId="25" xfId="0" applyNumberFormat="1" applyFont="1" applyBorder="1" applyAlignment="1">
      <alignment horizontal="center" vertical="center"/>
    </xf>
    <xf numFmtId="0" fontId="6" fillId="0" borderId="26" xfId="0" applyFont="1" applyBorder="1" applyAlignment="1">
      <alignment horizontal="center" vertical="center"/>
    </xf>
    <xf numFmtId="0" fontId="19" fillId="0" borderId="0" xfId="0" applyFont="1" applyAlignment="1">
      <alignment vertical="center"/>
    </xf>
    <xf numFmtId="0" fontId="12" fillId="0" borderId="1" xfId="0" applyFont="1" applyBorder="1" applyAlignment="1">
      <alignment vertical="center"/>
    </xf>
    <xf numFmtId="49" fontId="24" fillId="0" borderId="24" xfId="0" applyNumberFormat="1" applyFont="1" applyBorder="1" applyAlignment="1">
      <alignment horizontal="center" vertical="center"/>
    </xf>
    <xf numFmtId="0" fontId="24" fillId="0" borderId="25" xfId="0" applyFont="1" applyBorder="1" applyAlignment="1">
      <alignment horizontal="center" vertical="center"/>
    </xf>
    <xf numFmtId="0" fontId="31" fillId="0" borderId="0" xfId="0" applyFont="1" applyAlignment="1">
      <alignment vertical="center"/>
    </xf>
    <xf numFmtId="0" fontId="13" fillId="0" borderId="1" xfId="0" applyFont="1" applyBorder="1" applyAlignment="1">
      <alignment vertical="center"/>
    </xf>
    <xf numFmtId="49" fontId="23" fillId="0" borderId="24" xfId="0" applyNumberFormat="1" applyFont="1" applyBorder="1" applyAlignment="1">
      <alignment horizontal="center" vertical="center"/>
    </xf>
    <xf numFmtId="0" fontId="23" fillId="0" borderId="25" xfId="0" applyFont="1" applyBorder="1" applyAlignment="1">
      <alignment horizontal="center" vertical="center"/>
    </xf>
    <xf numFmtId="0" fontId="13" fillId="0" borderId="25" xfId="0" applyFont="1" applyBorder="1" applyAlignment="1">
      <alignment horizontal="center" vertical="center"/>
    </xf>
    <xf numFmtId="0" fontId="29" fillId="0" borderId="0" xfId="0" applyFont="1" applyAlignment="1">
      <alignment vertical="center"/>
    </xf>
    <xf numFmtId="0" fontId="7" fillId="0" borderId="1" xfId="0" applyFont="1" applyBorder="1" applyAlignment="1">
      <alignment vertical="center"/>
    </xf>
    <xf numFmtId="49" fontId="17" fillId="0" borderId="24" xfId="0" applyNumberFormat="1" applyFont="1" applyBorder="1" applyAlignment="1">
      <alignment horizontal="center" vertical="center"/>
    </xf>
    <xf numFmtId="0" fontId="17" fillId="0" borderId="25" xfId="0" applyFont="1" applyBorder="1" applyAlignment="1">
      <alignment horizontal="center" vertical="center"/>
    </xf>
    <xf numFmtId="0" fontId="7" fillId="0" borderId="25" xfId="0" applyFont="1" applyBorder="1" applyAlignment="1">
      <alignment horizontal="center" vertical="center"/>
    </xf>
    <xf numFmtId="0" fontId="28" fillId="0" borderId="0" xfId="0" applyFont="1" applyAlignment="1">
      <alignment vertical="center"/>
    </xf>
    <xf numFmtId="0" fontId="10" fillId="5" borderId="1" xfId="0" applyFont="1" applyFill="1" applyBorder="1" applyAlignment="1">
      <alignment vertical="center"/>
    </xf>
    <xf numFmtId="0" fontId="6" fillId="5" borderId="24" xfId="0" applyFont="1" applyFill="1" applyBorder="1" applyAlignment="1">
      <alignment horizontal="center" vertical="center"/>
    </xf>
    <xf numFmtId="49" fontId="16" fillId="5" borderId="24" xfId="0" applyNumberFormat="1" applyFont="1" applyFill="1" applyBorder="1" applyAlignment="1">
      <alignment horizontal="center" vertical="center"/>
    </xf>
    <xf numFmtId="0" fontId="16" fillId="5" borderId="25" xfId="0" applyFont="1" applyFill="1" applyBorder="1" applyAlignment="1">
      <alignment horizontal="center" vertical="center"/>
    </xf>
    <xf numFmtId="0" fontId="10" fillId="5" borderId="25" xfId="0" applyFont="1" applyFill="1" applyBorder="1" applyAlignment="1">
      <alignment horizontal="center" vertical="center"/>
    </xf>
    <xf numFmtId="49" fontId="6" fillId="5" borderId="25" xfId="0" applyNumberFormat="1" applyFont="1" applyFill="1" applyBorder="1" applyAlignment="1">
      <alignment horizontal="center" vertical="center"/>
    </xf>
    <xf numFmtId="0" fontId="6" fillId="5" borderId="26" xfId="0" applyFont="1" applyFill="1" applyBorder="1" applyAlignment="1">
      <alignment horizontal="center" vertical="center"/>
    </xf>
    <xf numFmtId="0" fontId="30" fillId="0" borderId="0" xfId="0" applyFont="1" applyAlignment="1">
      <alignment vertical="center"/>
    </xf>
    <xf numFmtId="0" fontId="6" fillId="0" borderId="26" xfId="0" quotePrefix="1" applyFont="1" applyBorder="1" applyAlignment="1">
      <alignment horizontal="center" vertical="center"/>
    </xf>
    <xf numFmtId="0" fontId="10" fillId="6" borderId="1" xfId="0" applyFont="1" applyFill="1" applyBorder="1" applyAlignment="1">
      <alignment vertical="center"/>
    </xf>
    <xf numFmtId="0" fontId="6" fillId="6" borderId="24" xfId="0" applyFont="1" applyFill="1" applyBorder="1" applyAlignment="1">
      <alignment horizontal="center" vertical="center"/>
    </xf>
    <xf numFmtId="49" fontId="16" fillId="6" borderId="24" xfId="0" applyNumberFormat="1" applyFont="1" applyFill="1" applyBorder="1" applyAlignment="1">
      <alignment horizontal="center" vertical="center"/>
    </xf>
    <xf numFmtId="0" fontId="16" fillId="6" borderId="25" xfId="0" applyFont="1" applyFill="1" applyBorder="1" applyAlignment="1">
      <alignment horizontal="center" vertical="center"/>
    </xf>
    <xf numFmtId="0" fontId="10" fillId="6" borderId="25" xfId="0" applyFont="1" applyFill="1" applyBorder="1" applyAlignment="1">
      <alignment horizontal="center" vertical="center"/>
    </xf>
    <xf numFmtId="49" fontId="6" fillId="6" borderId="25" xfId="0" applyNumberFormat="1" applyFont="1" applyFill="1" applyBorder="1" applyAlignment="1">
      <alignment horizontal="center" vertical="center"/>
    </xf>
    <xf numFmtId="0" fontId="6" fillId="6" borderId="26" xfId="0" applyFont="1" applyFill="1" applyBorder="1" applyAlignment="1">
      <alignment horizontal="center" vertical="center"/>
    </xf>
    <xf numFmtId="0" fontId="6" fillId="8" borderId="24" xfId="0" applyFont="1" applyFill="1" applyBorder="1" applyAlignment="1">
      <alignment horizontal="center" vertical="center"/>
    </xf>
    <xf numFmtId="49" fontId="6" fillId="8" borderId="25" xfId="0" applyNumberFormat="1" applyFont="1" applyFill="1" applyBorder="1" applyAlignment="1">
      <alignment horizontal="center" vertical="center"/>
    </xf>
    <xf numFmtId="0" fontId="6" fillId="8" borderId="26" xfId="0" applyFont="1" applyFill="1" applyBorder="1" applyAlignment="1">
      <alignment horizontal="center" vertical="center"/>
    </xf>
    <xf numFmtId="0" fontId="22" fillId="0" borderId="1" xfId="0" applyFont="1" applyBorder="1" applyAlignment="1">
      <alignment vertical="center"/>
    </xf>
    <xf numFmtId="49" fontId="27" fillId="0" borderId="24" xfId="0" applyNumberFormat="1" applyFont="1" applyBorder="1" applyAlignment="1">
      <alignment horizontal="center" vertical="center"/>
    </xf>
    <xf numFmtId="0" fontId="27" fillId="0" borderId="25" xfId="0" applyFont="1" applyBorder="1" applyAlignment="1">
      <alignment horizontal="center" vertical="center"/>
    </xf>
    <xf numFmtId="0" fontId="22" fillId="0" borderId="25" xfId="0" applyFont="1" applyBorder="1" applyAlignment="1">
      <alignment horizontal="center" vertical="center"/>
    </xf>
    <xf numFmtId="0" fontId="12" fillId="5" borderId="1" xfId="0" applyFont="1" applyFill="1" applyBorder="1" applyAlignment="1">
      <alignment vertical="center"/>
    </xf>
    <xf numFmtId="49" fontId="24" fillId="5" borderId="24" xfId="0" applyNumberFormat="1" applyFont="1" applyFill="1" applyBorder="1" applyAlignment="1">
      <alignment horizontal="center" vertical="center"/>
    </xf>
    <xf numFmtId="0" fontId="24" fillId="5" borderId="25" xfId="0" applyFont="1" applyFill="1" applyBorder="1" applyAlignment="1">
      <alignment horizontal="center" vertical="center"/>
    </xf>
    <xf numFmtId="0" fontId="12" fillId="5" borderId="25" xfId="0" applyFont="1" applyFill="1" applyBorder="1" applyAlignment="1">
      <alignment horizontal="center" vertical="center"/>
    </xf>
    <xf numFmtId="0" fontId="13" fillId="9" borderId="1" xfId="0" applyFont="1" applyFill="1" applyBorder="1" applyAlignment="1">
      <alignment vertical="center"/>
    </xf>
    <xf numFmtId="0" fontId="6" fillId="9" borderId="24" xfId="0" applyFont="1" applyFill="1" applyBorder="1" applyAlignment="1">
      <alignment horizontal="center" vertical="center"/>
    </xf>
    <xf numFmtId="49" fontId="27" fillId="9" borderId="24" xfId="0" applyNumberFormat="1" applyFont="1" applyFill="1" applyBorder="1" applyAlignment="1">
      <alignment horizontal="center" vertical="center"/>
    </xf>
    <xf numFmtId="0" fontId="27" fillId="9" borderId="25" xfId="0" applyFont="1" applyFill="1" applyBorder="1" applyAlignment="1">
      <alignment horizontal="center" vertical="center"/>
    </xf>
    <xf numFmtId="0" fontId="22" fillId="9" borderId="25" xfId="0" applyFont="1" applyFill="1" applyBorder="1" applyAlignment="1">
      <alignment horizontal="center" vertical="center"/>
    </xf>
    <xf numFmtId="49" fontId="6" fillId="9" borderId="25" xfId="0" applyNumberFormat="1" applyFont="1" applyFill="1" applyBorder="1" applyAlignment="1">
      <alignment horizontal="center" vertical="center"/>
    </xf>
    <xf numFmtId="49" fontId="6" fillId="12" borderId="25" xfId="0" applyNumberFormat="1" applyFont="1" applyFill="1" applyBorder="1" applyAlignment="1">
      <alignment horizontal="center" vertical="center"/>
    </xf>
    <xf numFmtId="0" fontId="6" fillId="9" borderId="26" xfId="0" applyFont="1" applyFill="1" applyBorder="1" applyAlignment="1">
      <alignment horizontal="center" vertical="center"/>
    </xf>
    <xf numFmtId="0" fontId="10" fillId="9" borderId="1" xfId="0" applyFont="1" applyFill="1" applyBorder="1" applyAlignment="1">
      <alignment vertical="center"/>
    </xf>
    <xf numFmtId="49" fontId="16" fillId="9" borderId="24" xfId="0" applyNumberFormat="1" applyFont="1" applyFill="1" applyBorder="1" applyAlignment="1">
      <alignment horizontal="center" vertical="center"/>
    </xf>
    <xf numFmtId="0" fontId="16" fillId="9" borderId="25" xfId="0" applyFont="1" applyFill="1" applyBorder="1" applyAlignment="1">
      <alignment horizontal="center" vertical="center"/>
    </xf>
    <xf numFmtId="0" fontId="10" fillId="9" borderId="25" xfId="0" applyFont="1" applyFill="1" applyBorder="1" applyAlignment="1">
      <alignment horizontal="center" vertical="center"/>
    </xf>
    <xf numFmtId="0" fontId="6" fillId="9" borderId="26" xfId="0" quotePrefix="1" applyFont="1" applyFill="1" applyBorder="1" applyAlignment="1">
      <alignment horizontal="center" vertical="center"/>
    </xf>
    <xf numFmtId="0" fontId="12" fillId="4" borderId="1" xfId="0" applyFont="1" applyFill="1" applyBorder="1" applyAlignment="1">
      <alignment vertical="center"/>
    </xf>
    <xf numFmtId="0" fontId="6" fillId="4" borderId="24" xfId="0" applyFont="1" applyFill="1" applyBorder="1" applyAlignment="1">
      <alignment horizontal="center" vertical="center"/>
    </xf>
    <xf numFmtId="49" fontId="24" fillId="4" borderId="24" xfId="0" applyNumberFormat="1" applyFont="1" applyFill="1" applyBorder="1" applyAlignment="1">
      <alignment horizontal="center" vertical="center"/>
    </xf>
    <xf numFmtId="0" fontId="24" fillId="4" borderId="25" xfId="0" applyFont="1" applyFill="1" applyBorder="1" applyAlignment="1">
      <alignment horizontal="center" vertical="center"/>
    </xf>
    <xf numFmtId="0" fontId="12" fillId="4" borderId="25" xfId="0" applyFont="1" applyFill="1" applyBorder="1" applyAlignment="1">
      <alignment horizontal="center" vertical="center"/>
    </xf>
    <xf numFmtId="0" fontId="6" fillId="4" borderId="26" xfId="0" applyFont="1" applyFill="1" applyBorder="1" applyAlignment="1">
      <alignment horizontal="center" vertical="center"/>
    </xf>
    <xf numFmtId="0" fontId="13" fillId="5" borderId="1" xfId="0" applyFont="1" applyFill="1" applyBorder="1" applyAlignment="1">
      <alignment vertical="center"/>
    </xf>
    <xf numFmtId="49" fontId="23" fillId="5" borderId="24" xfId="0" applyNumberFormat="1" applyFont="1" applyFill="1" applyBorder="1" applyAlignment="1">
      <alignment horizontal="center" vertical="center"/>
    </xf>
    <xf numFmtId="0" fontId="23" fillId="5" borderId="25" xfId="0" applyFont="1" applyFill="1" applyBorder="1" applyAlignment="1">
      <alignment horizontal="center" vertical="center"/>
    </xf>
    <xf numFmtId="0" fontId="13" fillId="5" borderId="25" xfId="0" applyFont="1" applyFill="1" applyBorder="1" applyAlignment="1">
      <alignment horizontal="center" vertical="center"/>
    </xf>
    <xf numFmtId="0" fontId="12" fillId="0" borderId="8" xfId="0" applyFont="1" applyBorder="1" applyAlignment="1">
      <alignment vertical="center"/>
    </xf>
    <xf numFmtId="0" fontId="6" fillId="0" borderId="45" xfId="0" applyFont="1" applyBorder="1" applyAlignment="1">
      <alignment horizontal="center" vertical="center"/>
    </xf>
    <xf numFmtId="49" fontId="24" fillId="0" borderId="45" xfId="0" applyNumberFormat="1" applyFont="1" applyBorder="1" applyAlignment="1">
      <alignment horizontal="center" vertical="center"/>
    </xf>
    <xf numFmtId="0" fontId="24" fillId="0" borderId="47" xfId="0" applyFont="1" applyBorder="1" applyAlignment="1">
      <alignment horizontal="center" vertical="center"/>
    </xf>
    <xf numFmtId="0" fontId="12" fillId="0" borderId="47" xfId="0" applyFont="1" applyBorder="1" applyAlignment="1">
      <alignment horizontal="center" vertical="center"/>
    </xf>
    <xf numFmtId="49" fontId="6" fillId="0" borderId="47" xfId="0" applyNumberFormat="1" applyFont="1" applyBorder="1" applyAlignment="1">
      <alignment horizontal="center" vertical="center"/>
    </xf>
    <xf numFmtId="0" fontId="38" fillId="11" borderId="45" xfId="0" applyFont="1" applyFill="1" applyBorder="1" applyAlignment="1">
      <alignment horizontal="center" vertical="center"/>
    </xf>
    <xf numFmtId="0" fontId="6" fillId="0" borderId="34"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1" fillId="0" borderId="0" xfId="0" applyFont="1" applyAlignment="1">
      <alignment horizontal="left" vertical="center"/>
    </xf>
    <xf numFmtId="0" fontId="6" fillId="0" borderId="0" xfId="0" applyFont="1" applyAlignment="1">
      <alignment vertical="center" wrapText="1"/>
    </xf>
    <xf numFmtId="0" fontId="6" fillId="0" borderId="0" xfId="0" applyFont="1" applyAlignment="1">
      <alignment horizontal="left" vertical="center" wrapText="1"/>
    </xf>
    <xf numFmtId="0" fontId="5" fillId="0" borderId="0" xfId="0" applyFont="1" applyAlignment="1">
      <alignment horizontal="right" vertical="center" wrapText="1"/>
    </xf>
    <xf numFmtId="0" fontId="46" fillId="0" borderId="30" xfId="0" applyFont="1" applyBorder="1" applyAlignment="1">
      <alignment horizontal="centerContinuous" vertical="center"/>
    </xf>
    <xf numFmtId="0" fontId="6" fillId="0" borderId="0" xfId="0" applyFont="1" applyAlignment="1">
      <alignment horizontal="center" vertical="center" wrapText="1"/>
    </xf>
    <xf numFmtId="0" fontId="49" fillId="0" borderId="35" xfId="0" applyFont="1" applyBorder="1" applyAlignment="1">
      <alignment horizontal="centerContinuous" vertical="center"/>
    </xf>
    <xf numFmtId="0" fontId="6" fillId="0" borderId="53" xfId="0" applyFont="1" applyBorder="1" applyAlignment="1">
      <alignment horizontal="centerContinuous" vertical="center"/>
    </xf>
    <xf numFmtId="0" fontId="6" fillId="0" borderId="54" xfId="0" applyFont="1" applyBorder="1" applyAlignment="1">
      <alignment horizontal="centerContinuous" vertical="center"/>
    </xf>
    <xf numFmtId="0" fontId="6" fillId="0" borderId="48" xfId="0" applyFont="1" applyBorder="1" applyAlignment="1">
      <alignment horizontal="centerContinuous" vertical="center"/>
    </xf>
    <xf numFmtId="0" fontId="2" fillId="0" borderId="0" xfId="0" applyFont="1" applyAlignment="1">
      <alignment horizontal="centerContinuous" vertical="center"/>
    </xf>
    <xf numFmtId="0" fontId="4" fillId="0" borderId="0" xfId="0" applyFont="1" applyAlignment="1">
      <alignment horizontal="center" vertical="center"/>
    </xf>
    <xf numFmtId="0" fontId="21" fillId="10" borderId="16" xfId="0" applyFont="1" applyFill="1" applyBorder="1" applyAlignment="1">
      <alignment horizontal="center" vertical="center"/>
    </xf>
    <xf numFmtId="0" fontId="21" fillId="10" borderId="17" xfId="0" applyFont="1" applyFill="1" applyBorder="1" applyAlignment="1">
      <alignment horizontal="center" vertical="center"/>
    </xf>
    <xf numFmtId="49" fontId="21" fillId="10" borderId="17" xfId="0" applyNumberFormat="1" applyFont="1" applyFill="1" applyBorder="1" applyAlignment="1">
      <alignment horizontal="center" vertical="center"/>
    </xf>
    <xf numFmtId="0" fontId="21" fillId="10" borderId="21" xfId="0" applyFont="1" applyFill="1" applyBorder="1" applyAlignment="1">
      <alignment horizontal="center" vertical="center"/>
    </xf>
    <xf numFmtId="0" fontId="44" fillId="11" borderId="21" xfId="0" applyFont="1" applyFill="1" applyBorder="1" applyAlignment="1">
      <alignment horizontal="center" vertical="center"/>
    </xf>
    <xf numFmtId="0" fontId="21" fillId="10" borderId="18" xfId="0" applyFont="1" applyFill="1" applyBorder="1" applyAlignment="1">
      <alignment horizontal="center" vertical="center"/>
    </xf>
    <xf numFmtId="0" fontId="21" fillId="10" borderId="30" xfId="0" applyFont="1" applyFill="1" applyBorder="1" applyAlignment="1">
      <alignment horizontal="center" vertical="center"/>
    </xf>
    <xf numFmtId="0" fontId="1" fillId="0" borderId="101" xfId="0" applyFont="1" applyBorder="1" applyAlignment="1">
      <alignment horizontal="center" vertical="center"/>
    </xf>
    <xf numFmtId="0" fontId="1" fillId="0" borderId="102" xfId="0" applyFont="1" applyBorder="1" applyAlignment="1">
      <alignment horizontal="center" vertical="center"/>
    </xf>
    <xf numFmtId="0" fontId="1" fillId="0" borderId="102" xfId="0" quotePrefix="1" applyFont="1" applyBorder="1" applyAlignment="1">
      <alignment horizontal="center" vertical="center"/>
    </xf>
    <xf numFmtId="1" fontId="45" fillId="11" borderId="96" xfId="0" applyNumberFormat="1" applyFont="1" applyFill="1" applyBorder="1" applyAlignment="1">
      <alignment horizontal="center" vertical="center"/>
    </xf>
    <xf numFmtId="0" fontId="1" fillId="0" borderId="66" xfId="0" applyFont="1" applyBorder="1" applyAlignment="1">
      <alignment horizontal="center" vertical="center"/>
    </xf>
    <xf numFmtId="0" fontId="1" fillId="0" borderId="94" xfId="0" applyFont="1" applyBorder="1" applyAlignment="1">
      <alignment horizontal="center" vertical="center"/>
    </xf>
    <xf numFmtId="49" fontId="1" fillId="0" borderId="94" xfId="0" applyNumberFormat="1" applyFont="1" applyBorder="1" applyAlignment="1">
      <alignment horizontal="center" vertical="center"/>
    </xf>
    <xf numFmtId="1" fontId="1" fillId="13" borderId="72" xfId="0" applyNumberFormat="1" applyFont="1" applyFill="1" applyBorder="1" applyAlignment="1">
      <alignment horizontal="center" vertical="center"/>
    </xf>
    <xf numFmtId="0" fontId="4" fillId="13" borderId="80" xfId="0" applyFont="1" applyFill="1" applyBorder="1" applyAlignment="1">
      <alignment horizontal="center" vertical="center"/>
    </xf>
    <xf numFmtId="0" fontId="4" fillId="0" borderId="0" xfId="0" applyFont="1" applyAlignment="1">
      <alignment horizontal="centerContinuous" vertical="center"/>
    </xf>
    <xf numFmtId="164" fontId="4" fillId="0" borderId="0" xfId="0" applyNumberFormat="1" applyFont="1" applyAlignment="1">
      <alignment horizontal="center" vertical="center"/>
    </xf>
    <xf numFmtId="0" fontId="21" fillId="10" borderId="21" xfId="0" applyFont="1" applyFill="1" applyBorder="1" applyAlignment="1">
      <alignment horizontal="centerContinuous" vertical="center"/>
    </xf>
    <xf numFmtId="0" fontId="21" fillId="10" borderId="65" xfId="0" applyFont="1" applyFill="1" applyBorder="1" applyAlignment="1">
      <alignment horizontal="centerContinuous" vertical="center"/>
    </xf>
    <xf numFmtId="0" fontId="21" fillId="10" borderId="49" xfId="0" applyFont="1" applyFill="1" applyBorder="1" applyAlignment="1">
      <alignment horizontal="centerContinuous" vertical="center"/>
    </xf>
    <xf numFmtId="0" fontId="1" fillId="0" borderId="66" xfId="0" applyFont="1" applyBorder="1" applyAlignment="1">
      <alignment horizontal="center" vertical="center" shrinkToFit="1"/>
    </xf>
    <xf numFmtId="164" fontId="1" fillId="0" borderId="67" xfId="0" applyNumberFormat="1" applyFont="1" applyBorder="1" applyAlignment="1">
      <alignment horizontal="centerContinuous" vertical="center"/>
    </xf>
    <xf numFmtId="164" fontId="1" fillId="0" borderId="68" xfId="0" applyNumberFormat="1" applyFont="1" applyBorder="1" applyAlignment="1">
      <alignment horizontal="centerContinuous" vertical="center"/>
    </xf>
    <xf numFmtId="0" fontId="4" fillId="0" borderId="69" xfId="0" quotePrefix="1" applyFont="1" applyBorder="1" applyAlignment="1">
      <alignment horizontal="centerContinuous" vertical="center"/>
    </xf>
    <xf numFmtId="164" fontId="1" fillId="0" borderId="71" xfId="0" applyNumberFormat="1" applyFont="1" applyBorder="1" applyAlignment="1">
      <alignment horizontal="center" vertical="center"/>
    </xf>
    <xf numFmtId="0" fontId="1" fillId="0" borderId="74" xfId="0" applyFont="1" applyBorder="1" applyAlignment="1">
      <alignment horizontal="centerContinuous" vertical="center"/>
    </xf>
    <xf numFmtId="0" fontId="18" fillId="0" borderId="0" xfId="0" applyFont="1" applyAlignment="1">
      <alignment horizontal="right" vertical="center"/>
    </xf>
    <xf numFmtId="0" fontId="21" fillId="10" borderId="19" xfId="0" applyFont="1" applyFill="1" applyBorder="1" applyAlignment="1">
      <alignment horizontal="centerContinuous" vertical="center"/>
    </xf>
    <xf numFmtId="0" fontId="21" fillId="10" borderId="20" xfId="0" applyFont="1" applyFill="1" applyBorder="1" applyAlignment="1">
      <alignment horizontal="centerContinuous" vertical="center"/>
    </xf>
    <xf numFmtId="0" fontId="1" fillId="0" borderId="87" xfId="0" applyFont="1" applyBorder="1" applyAlignment="1">
      <alignment horizontal="centerContinuous" vertical="center"/>
    </xf>
    <xf numFmtId="0" fontId="1" fillId="0" borderId="91" xfId="0" applyFont="1" applyBorder="1" applyAlignment="1">
      <alignment horizontal="centerContinuous" vertical="center"/>
    </xf>
    <xf numFmtId="0" fontId="4" fillId="0" borderId="88" xfId="0" applyFont="1" applyBorder="1" applyAlignment="1">
      <alignment horizontal="centerContinuous" vertical="center"/>
    </xf>
    <xf numFmtId="164" fontId="1" fillId="0" borderId="90" xfId="0" applyNumberFormat="1" applyFont="1" applyBorder="1" applyAlignment="1">
      <alignment horizontal="center" vertical="center"/>
    </xf>
    <xf numFmtId="49" fontId="1" fillId="0" borderId="89" xfId="0" applyNumberFormat="1" applyFont="1" applyBorder="1" applyAlignment="1">
      <alignment horizontal="centerContinuous" vertical="center"/>
    </xf>
    <xf numFmtId="49" fontId="1" fillId="0" borderId="91" xfId="0" applyNumberFormat="1" applyFont="1" applyBorder="1" applyAlignment="1">
      <alignment horizontal="centerContinuous" vertical="center"/>
    </xf>
    <xf numFmtId="0" fontId="4" fillId="0" borderId="92" xfId="0" applyFont="1" applyBorder="1" applyAlignment="1">
      <alignment horizontal="centerContinuous" vertical="center"/>
    </xf>
    <xf numFmtId="164" fontId="1" fillId="0" borderId="94" xfId="0" applyNumberFormat="1" applyFont="1" applyBorder="1" applyAlignment="1">
      <alignment horizontal="center" vertical="center"/>
    </xf>
    <xf numFmtId="0" fontId="1" fillId="0" borderId="85" xfId="0" applyFont="1" applyBorder="1" applyAlignment="1">
      <alignment horizontal="centerContinuous" vertical="center"/>
    </xf>
    <xf numFmtId="0" fontId="1" fillId="0" borderId="68" xfId="0" applyFont="1" applyBorder="1" applyAlignment="1">
      <alignment horizontal="centerContinuous" vertical="center"/>
    </xf>
    <xf numFmtId="0" fontId="4" fillId="0" borderId="93" xfId="0" applyFont="1" applyBorder="1" applyAlignment="1">
      <alignment horizontal="centerContinuous" vertical="center"/>
    </xf>
    <xf numFmtId="49" fontId="1" fillId="0" borderId="67" xfId="0" applyNumberFormat="1" applyFont="1" applyBorder="1" applyAlignment="1">
      <alignment horizontal="centerContinuous" vertical="center"/>
    </xf>
    <xf numFmtId="49" fontId="1" fillId="0" borderId="68" xfId="0" applyNumberFormat="1" applyFont="1" applyBorder="1" applyAlignment="1">
      <alignment horizontal="centerContinuous" vertical="center"/>
    </xf>
    <xf numFmtId="0" fontId="4" fillId="0" borderId="69" xfId="0" applyFont="1" applyBorder="1" applyAlignment="1">
      <alignment horizontal="centerContinuous" vertical="center"/>
    </xf>
    <xf numFmtId="0" fontId="1" fillId="0" borderId="86" xfId="0" applyFont="1" applyBorder="1" applyAlignment="1">
      <alignment horizontal="centerContinuous" vertical="center"/>
    </xf>
    <xf numFmtId="0" fontId="1" fillId="0" borderId="73" xfId="0" applyFont="1" applyBorder="1" applyAlignment="1">
      <alignment horizontal="centerContinuous" vertical="center"/>
    </xf>
    <xf numFmtId="0" fontId="4" fillId="0" borderId="95" xfId="0" applyFont="1" applyBorder="1" applyAlignment="1">
      <alignment horizontal="centerContinuous" vertical="center"/>
    </xf>
    <xf numFmtId="49" fontId="1" fillId="0" borderId="72" xfId="0" applyNumberFormat="1" applyFont="1" applyBorder="1" applyAlignment="1">
      <alignment horizontal="centerContinuous" vertical="center"/>
    </xf>
    <xf numFmtId="49" fontId="1" fillId="0" borderId="73" xfId="0" applyNumberFormat="1" applyFont="1" applyBorder="1" applyAlignment="1">
      <alignment horizontal="centerContinuous" vertical="center"/>
    </xf>
    <xf numFmtId="0" fontId="4" fillId="0" borderId="74" xfId="0" applyFont="1" applyBorder="1" applyAlignment="1">
      <alignment horizontal="centerContinuous" vertical="center"/>
    </xf>
    <xf numFmtId="0" fontId="21" fillId="10" borderId="97" xfId="0" applyFont="1" applyFill="1" applyBorder="1" applyAlignment="1">
      <alignment horizontal="center" vertical="center"/>
    </xf>
    <xf numFmtId="0" fontId="1" fillId="0" borderId="85" xfId="0" applyFont="1" applyBorder="1" applyAlignment="1">
      <alignment horizontal="centerContinuous" vertical="center" shrinkToFit="1"/>
    </xf>
    <xf numFmtId="0" fontId="21" fillId="0" borderId="68" xfId="0" applyFont="1" applyBorder="1" applyAlignment="1">
      <alignment horizontal="centerContinuous" vertical="center"/>
    </xf>
    <xf numFmtId="0" fontId="1" fillId="0" borderId="69" xfId="0" applyFont="1" applyBorder="1" applyAlignment="1">
      <alignment horizontal="centerContinuous" vertical="center"/>
    </xf>
    <xf numFmtId="0" fontId="1" fillId="0" borderId="104" xfId="0" applyFont="1" applyBorder="1" applyAlignment="1">
      <alignment horizontal="centerContinuous" vertical="center" shrinkToFit="1"/>
    </xf>
    <xf numFmtId="0" fontId="21" fillId="0" borderId="105" xfId="0" applyFont="1" applyBorder="1" applyAlignment="1">
      <alignment horizontal="centerContinuous" vertical="center"/>
    </xf>
    <xf numFmtId="0" fontId="1" fillId="0" borderId="106" xfId="0" applyFont="1" applyBorder="1" applyAlignment="1">
      <alignment horizontal="center" vertical="center"/>
    </xf>
    <xf numFmtId="49" fontId="1" fillId="0" borderId="107" xfId="0" applyNumberFormat="1" applyFont="1" applyBorder="1" applyAlignment="1">
      <alignment horizontal="centerContinuous" vertical="center"/>
    </xf>
    <xf numFmtId="0" fontId="1" fillId="0" borderId="108" xfId="0" applyFont="1" applyBorder="1" applyAlignment="1">
      <alignment horizontal="centerContinuous" vertical="center"/>
    </xf>
    <xf numFmtId="0" fontId="1" fillId="0" borderId="86" xfId="0" applyFont="1" applyBorder="1" applyAlignment="1">
      <alignment horizontal="centerContinuous" vertical="center" shrinkToFit="1"/>
    </xf>
    <xf numFmtId="49" fontId="1" fillId="0" borderId="71" xfId="0" applyNumberFormat="1" applyFont="1" applyBorder="1" applyAlignment="1">
      <alignment horizontal="center" vertical="center"/>
    </xf>
    <xf numFmtId="0" fontId="1" fillId="0" borderId="0" xfId="0" applyFont="1" applyAlignment="1">
      <alignment vertical="center"/>
    </xf>
    <xf numFmtId="164" fontId="2" fillId="0" borderId="0" xfId="0" applyNumberFormat="1" applyFont="1" applyAlignment="1">
      <alignment horizontal="centerContinuous" vertical="center"/>
    </xf>
    <xf numFmtId="0" fontId="21" fillId="3" borderId="36" xfId="0" applyFont="1" applyFill="1" applyBorder="1" applyAlignment="1">
      <alignment horizontal="center" vertical="center"/>
    </xf>
    <xf numFmtId="164" fontId="21" fillId="3" borderId="37" xfId="0" applyNumberFormat="1" applyFont="1" applyFill="1" applyBorder="1" applyAlignment="1">
      <alignment horizontal="center" vertical="center"/>
    </xf>
    <xf numFmtId="0" fontId="21" fillId="3" borderId="36" xfId="0" applyFont="1" applyFill="1" applyBorder="1" applyAlignment="1">
      <alignment horizontal="right" vertical="center"/>
    </xf>
    <xf numFmtId="0" fontId="21" fillId="3" borderId="38" xfId="0" applyFont="1" applyFill="1" applyBorder="1" applyAlignment="1">
      <alignment vertical="center"/>
    </xf>
    <xf numFmtId="164" fontId="21" fillId="3" borderId="30" xfId="0" applyNumberFormat="1" applyFont="1" applyFill="1" applyBorder="1" applyAlignment="1">
      <alignment horizontal="center" vertical="center"/>
    </xf>
    <xf numFmtId="0" fontId="1" fillId="0" borderId="81" xfId="0" applyFont="1" applyBorder="1" applyAlignment="1">
      <alignment horizontal="center" vertical="center" shrinkToFit="1"/>
    </xf>
    <xf numFmtId="0" fontId="4" fillId="0" borderId="82" xfId="0" applyFont="1" applyBorder="1" applyAlignment="1">
      <alignment horizontal="center" vertical="center" shrinkToFit="1"/>
    </xf>
    <xf numFmtId="164" fontId="1" fillId="0" borderId="82" xfId="0" applyNumberFormat="1" applyFont="1" applyBorder="1" applyAlignment="1">
      <alignment horizontal="center" vertical="center" shrinkToFit="1"/>
    </xf>
    <xf numFmtId="0" fontId="4" fillId="0" borderId="83" xfId="0" applyFont="1" applyBorder="1" applyAlignment="1">
      <alignment horizontal="left" vertical="center" shrinkToFit="1"/>
    </xf>
    <xf numFmtId="164" fontId="4" fillId="0" borderId="82" xfId="0" applyNumberFormat="1" applyFont="1" applyBorder="1" applyAlignment="1">
      <alignment horizontal="center" vertical="center" shrinkToFit="1"/>
    </xf>
    <xf numFmtId="0" fontId="1" fillId="0" borderId="77" xfId="0" applyFont="1" applyBorder="1" applyAlignment="1">
      <alignment horizontal="center" vertical="center" shrinkToFit="1"/>
    </xf>
    <xf numFmtId="0" fontId="1" fillId="0" borderId="41" xfId="0" applyFont="1" applyBorder="1" applyAlignment="1">
      <alignment horizontal="center" vertical="center" shrinkToFit="1"/>
    </xf>
    <xf numFmtId="164" fontId="1" fillId="0" borderId="41" xfId="0" applyNumberFormat="1" applyFont="1" applyBorder="1" applyAlignment="1">
      <alignment horizontal="center" vertical="center" shrinkToFit="1"/>
    </xf>
    <xf numFmtId="0" fontId="4" fillId="0" borderId="41" xfId="0" applyFont="1" applyBorder="1" applyAlignment="1">
      <alignment horizontal="left" vertical="center"/>
    </xf>
    <xf numFmtId="0" fontId="4" fillId="0" borderId="42" xfId="0" applyFont="1" applyBorder="1" applyAlignment="1">
      <alignment horizontal="left" vertical="center" shrinkToFit="1"/>
    </xf>
    <xf numFmtId="164" fontId="2" fillId="0" borderId="0" xfId="0" applyNumberFormat="1" applyFont="1" applyAlignment="1">
      <alignment horizontal="centerContinuous" vertical="center" shrinkToFit="1"/>
    </xf>
    <xf numFmtId="0" fontId="2" fillId="0" borderId="0" xfId="0" applyFont="1" applyAlignment="1">
      <alignment horizontal="centerContinuous" vertical="center" shrinkToFit="1"/>
    </xf>
    <xf numFmtId="0" fontId="1" fillId="0" borderId="75" xfId="0" applyFont="1" applyBorder="1" applyAlignment="1">
      <alignment horizontal="center" vertical="center" shrinkToFit="1"/>
    </xf>
    <xf numFmtId="0" fontId="1" fillId="0" borderId="44" xfId="0" applyFont="1" applyBorder="1" applyAlignment="1">
      <alignment horizontal="center" vertical="center" shrinkToFit="1"/>
    </xf>
    <xf numFmtId="164" fontId="4" fillId="0" borderId="44" xfId="0" applyNumberFormat="1" applyFont="1" applyBorder="1" applyAlignment="1">
      <alignment horizontal="center" vertical="center" shrinkToFit="1"/>
    </xf>
    <xf numFmtId="0" fontId="4" fillId="0" borderId="44" xfId="0" applyFont="1" applyBorder="1" applyAlignment="1">
      <alignment horizontal="left" vertical="center"/>
    </xf>
    <xf numFmtId="0" fontId="4" fillId="0" borderId="43" xfId="0" applyFont="1" applyBorder="1" applyAlignment="1">
      <alignment horizontal="left" vertical="center" shrinkToFit="1"/>
    </xf>
    <xf numFmtId="0" fontId="1" fillId="0" borderId="0" xfId="0" applyFont="1" applyAlignment="1">
      <alignment horizontal="center" vertical="center"/>
    </xf>
    <xf numFmtId="0" fontId="1" fillId="0" borderId="76" xfId="0" applyFont="1" applyBorder="1" applyAlignment="1">
      <alignment horizontal="center" vertical="center" shrinkToFit="1"/>
    </xf>
    <xf numFmtId="0" fontId="1" fillId="0" borderId="39" xfId="0" applyFont="1" applyBorder="1" applyAlignment="1">
      <alignment horizontal="center" vertical="center" shrinkToFit="1"/>
    </xf>
    <xf numFmtId="164" fontId="1" fillId="0" borderId="39" xfId="0" applyNumberFormat="1" applyFont="1" applyBorder="1" applyAlignment="1">
      <alignment horizontal="center" vertical="center" shrinkToFit="1"/>
    </xf>
    <xf numFmtId="0" fontId="1" fillId="0" borderId="39" xfId="0" applyFont="1" applyBorder="1" applyAlignment="1">
      <alignment horizontal="left" vertical="center"/>
    </xf>
    <xf numFmtId="0" fontId="4" fillId="0" borderId="40" xfId="0" applyFont="1" applyBorder="1" applyAlignment="1">
      <alignment horizontal="left" vertical="center" shrinkToFit="1"/>
    </xf>
    <xf numFmtId="0" fontId="4" fillId="0" borderId="39" xfId="0" applyFont="1" applyBorder="1" applyAlignment="1">
      <alignment horizontal="left" vertical="center"/>
    </xf>
    <xf numFmtId="0" fontId="1" fillId="0" borderId="56" xfId="0" applyFont="1" applyBorder="1" applyAlignment="1">
      <alignment horizontal="center" vertical="center" shrinkToFit="1"/>
    </xf>
    <xf numFmtId="0" fontId="1" fillId="0" borderId="82" xfId="0" applyFont="1" applyBorder="1" applyAlignment="1">
      <alignment horizontal="left" vertical="center"/>
    </xf>
    <xf numFmtId="1" fontId="1" fillId="0" borderId="67" xfId="0" applyNumberFormat="1" applyFont="1" applyBorder="1" applyAlignment="1">
      <alignment horizontal="center" vertical="center"/>
    </xf>
    <xf numFmtId="1" fontId="45" fillId="11" borderId="67" xfId="0" applyNumberFormat="1" applyFont="1" applyFill="1" applyBorder="1" applyAlignment="1">
      <alignment horizontal="center" vertical="center"/>
    </xf>
    <xf numFmtId="0" fontId="51" fillId="2" borderId="58" xfId="0" applyFont="1" applyFill="1" applyBorder="1" applyAlignment="1">
      <alignment horizontal="left" vertical="center"/>
    </xf>
    <xf numFmtId="0" fontId="6" fillId="0" borderId="54" xfId="0" quotePrefix="1" applyFont="1" applyBorder="1" applyAlignment="1">
      <alignment horizontal="center" vertical="center" shrinkToFit="1"/>
    </xf>
    <xf numFmtId="0" fontId="7" fillId="8" borderId="1" xfId="0" applyFont="1" applyFill="1" applyBorder="1" applyAlignment="1">
      <alignment vertical="center"/>
    </xf>
    <xf numFmtId="49" fontId="17" fillId="8" borderId="24" xfId="0" applyNumberFormat="1" applyFont="1" applyFill="1" applyBorder="1" applyAlignment="1">
      <alignment horizontal="center" vertical="center"/>
    </xf>
    <xf numFmtId="0" fontId="17" fillId="8" borderId="25" xfId="0" applyFont="1" applyFill="1" applyBorder="1" applyAlignment="1">
      <alignment horizontal="center" vertical="center"/>
    </xf>
    <xf numFmtId="0" fontId="7" fillId="8" borderId="25" xfId="0" applyFont="1" applyFill="1" applyBorder="1" applyAlignment="1">
      <alignment horizontal="center" vertical="center"/>
    </xf>
    <xf numFmtId="0" fontId="9" fillId="0" borderId="1" xfId="0" applyFont="1" applyBorder="1" applyAlignment="1">
      <alignment vertical="center"/>
    </xf>
    <xf numFmtId="49" fontId="26" fillId="0" borderId="24" xfId="0" applyNumberFormat="1" applyFont="1" applyBorder="1" applyAlignment="1">
      <alignment horizontal="center" vertical="center"/>
    </xf>
    <xf numFmtId="0" fontId="26" fillId="0" borderId="25" xfId="0" applyFont="1" applyBorder="1" applyAlignment="1">
      <alignment horizontal="center" vertical="center"/>
    </xf>
    <xf numFmtId="0" fontId="9" fillId="0" borderId="25" xfId="0" applyFont="1" applyBorder="1" applyAlignment="1">
      <alignment horizontal="center" vertical="center"/>
    </xf>
    <xf numFmtId="0" fontId="1" fillId="0" borderId="15" xfId="0" applyFont="1" applyBorder="1" applyAlignment="1">
      <alignment horizontal="center" vertical="center"/>
    </xf>
    <xf numFmtId="0" fontId="1" fillId="0" borderId="45" xfId="0" applyFont="1" applyBorder="1" applyAlignment="1">
      <alignment horizontal="center" vertical="center"/>
    </xf>
    <xf numFmtId="49" fontId="1" fillId="0" borderId="45" xfId="2" applyNumberFormat="1" applyFont="1" applyBorder="1" applyAlignment="1">
      <alignment horizontal="center" vertical="center"/>
    </xf>
    <xf numFmtId="0" fontId="1" fillId="0" borderId="45" xfId="0" applyFont="1" applyBorder="1" applyAlignment="1">
      <alignment horizontal="center" vertical="center" shrinkToFit="1"/>
    </xf>
    <xf numFmtId="164" fontId="1" fillId="0" borderId="45" xfId="0" applyNumberFormat="1" applyFont="1" applyBorder="1" applyAlignment="1">
      <alignment horizontal="center" vertical="center"/>
    </xf>
    <xf numFmtId="0" fontId="1" fillId="13" borderId="15" xfId="0" applyFont="1" applyFill="1" applyBorder="1" applyAlignment="1">
      <alignment horizontal="center" vertical="center"/>
    </xf>
    <xf numFmtId="0" fontId="13" fillId="8" borderId="1" xfId="0" applyFont="1" applyFill="1" applyBorder="1" applyAlignment="1">
      <alignment vertical="center"/>
    </xf>
    <xf numFmtId="0" fontId="13" fillId="8" borderId="25" xfId="0" applyFont="1" applyFill="1" applyBorder="1" applyAlignment="1">
      <alignment horizontal="center" vertical="center"/>
    </xf>
    <xf numFmtId="0" fontId="10" fillId="8" borderId="1" xfId="0" applyFont="1" applyFill="1" applyBorder="1" applyAlignment="1">
      <alignment vertical="center"/>
    </xf>
    <xf numFmtId="49" fontId="16" fillId="8" borderId="24" xfId="0" applyNumberFormat="1" applyFont="1" applyFill="1" applyBorder="1" applyAlignment="1">
      <alignment horizontal="center" vertical="center"/>
    </xf>
    <xf numFmtId="0" fontId="16" fillId="8" borderId="25" xfId="0" applyFont="1" applyFill="1" applyBorder="1" applyAlignment="1">
      <alignment horizontal="center" vertical="center"/>
    </xf>
    <xf numFmtId="0" fontId="10" fillId="8" borderId="25" xfId="0" applyFont="1" applyFill="1" applyBorder="1" applyAlignment="1">
      <alignment horizontal="center" vertical="center"/>
    </xf>
    <xf numFmtId="1" fontId="1" fillId="0" borderId="96" xfId="0" applyNumberFormat="1" applyFont="1" applyBorder="1" applyAlignment="1">
      <alignment horizontal="center" vertical="center"/>
    </xf>
    <xf numFmtId="0" fontId="43" fillId="11" borderId="37" xfId="0" applyFont="1" applyFill="1" applyBorder="1" applyAlignment="1">
      <alignment horizontal="center" vertical="center" wrapText="1"/>
    </xf>
    <xf numFmtId="49" fontId="1" fillId="0" borderId="111" xfId="0" applyNumberFormat="1" applyFont="1" applyBorder="1" applyAlignment="1">
      <alignment horizontal="center" vertical="center"/>
    </xf>
    <xf numFmtId="49" fontId="1" fillId="0" borderId="68" xfId="0" applyNumberFormat="1" applyFont="1" applyBorder="1" applyAlignment="1">
      <alignment horizontal="center" vertical="center"/>
    </xf>
    <xf numFmtId="49" fontId="1" fillId="0" borderId="73" xfId="0" applyNumberFormat="1" applyFont="1" applyBorder="1" applyAlignment="1">
      <alignment horizontal="center" vertical="center"/>
    </xf>
    <xf numFmtId="0" fontId="1" fillId="0" borderId="112" xfId="0" applyFont="1" applyBorder="1" applyAlignment="1">
      <alignment horizontal="centerContinuous" vertical="center"/>
    </xf>
    <xf numFmtId="0" fontId="1" fillId="0" borderId="113" xfId="0" applyFont="1" applyBorder="1" applyAlignment="1">
      <alignment horizontal="centerContinuous" vertical="center"/>
    </xf>
    <xf numFmtId="0" fontId="4" fillId="0" borderId="114" xfId="0" applyFont="1" applyBorder="1" applyAlignment="1">
      <alignment horizontal="centerContinuous" vertical="center"/>
    </xf>
    <xf numFmtId="164" fontId="1" fillId="0" borderId="102" xfId="0" applyNumberFormat="1" applyFont="1" applyBorder="1" applyAlignment="1">
      <alignment horizontal="center" vertical="center"/>
    </xf>
    <xf numFmtId="49" fontId="1" fillId="0" borderId="113" xfId="0" applyNumberFormat="1" applyFont="1" applyBorder="1" applyAlignment="1">
      <alignment horizontal="center" vertical="center"/>
    </xf>
    <xf numFmtId="49" fontId="1" fillId="0" borderId="96" xfId="0" applyNumberFormat="1" applyFont="1" applyBorder="1" applyAlignment="1">
      <alignment horizontal="centerContinuous" vertical="center"/>
    </xf>
    <xf numFmtId="49" fontId="1" fillId="0" borderId="113" xfId="0" applyNumberFormat="1" applyFont="1" applyBorder="1" applyAlignment="1">
      <alignment horizontal="centerContinuous" vertical="center"/>
    </xf>
    <xf numFmtId="0" fontId="4" fillId="0" borderId="115" xfId="0" applyFont="1" applyBorder="1" applyAlignment="1">
      <alignment horizontal="centerContinuous" vertical="center"/>
    </xf>
    <xf numFmtId="49" fontId="23" fillId="14" borderId="24" xfId="0" applyNumberFormat="1" applyFont="1" applyFill="1" applyBorder="1" applyAlignment="1">
      <alignment horizontal="center" vertical="center"/>
    </xf>
    <xf numFmtId="0" fontId="23" fillId="14" borderId="25" xfId="0" applyFont="1" applyFill="1" applyBorder="1" applyAlignment="1">
      <alignment horizontal="center" vertical="center"/>
    </xf>
    <xf numFmtId="164" fontId="4" fillId="0" borderId="47" xfId="0" applyNumberFormat="1" applyFont="1" applyBorder="1" applyAlignment="1">
      <alignment horizontal="center" vertical="center"/>
    </xf>
    <xf numFmtId="1" fontId="45" fillId="11" borderId="47" xfId="0" applyNumberFormat="1" applyFont="1" applyFill="1" applyBorder="1" applyAlignment="1">
      <alignment horizontal="center" vertical="center"/>
    </xf>
    <xf numFmtId="1" fontId="4" fillId="0" borderId="47" xfId="0" applyNumberFormat="1" applyFont="1" applyBorder="1" applyAlignment="1">
      <alignment horizontal="center" vertical="center"/>
    </xf>
    <xf numFmtId="0" fontId="1" fillId="0" borderId="34" xfId="0" quotePrefix="1" applyFont="1" applyBorder="1" applyAlignment="1">
      <alignment horizontal="center" vertical="center"/>
    </xf>
    <xf numFmtId="49" fontId="1" fillId="0" borderId="94" xfId="2" applyNumberFormat="1" applyFont="1" applyBorder="1" applyAlignment="1">
      <alignment horizontal="center" vertical="center"/>
    </xf>
    <xf numFmtId="0" fontId="1" fillId="0" borderId="94" xfId="0" applyFont="1" applyBorder="1" applyAlignment="1">
      <alignment horizontal="center" vertical="center" shrinkToFit="1"/>
    </xf>
    <xf numFmtId="164" fontId="1" fillId="0" borderId="67" xfId="0" applyNumberFormat="1" applyFont="1" applyBorder="1" applyAlignment="1">
      <alignment horizontal="center" vertical="center"/>
    </xf>
    <xf numFmtId="0" fontId="1" fillId="0" borderId="110" xfId="0" applyFont="1" applyBorder="1" applyAlignment="1">
      <alignment horizontal="center" vertical="center"/>
    </xf>
    <xf numFmtId="0" fontId="1" fillId="0" borderId="113" xfId="0" applyFont="1" applyBorder="1" applyAlignment="1">
      <alignment horizontal="center" vertical="center"/>
    </xf>
    <xf numFmtId="0" fontId="4" fillId="0" borderId="67" xfId="0" applyFont="1" applyBorder="1" applyAlignment="1">
      <alignment horizontal="center" vertical="center"/>
    </xf>
    <xf numFmtId="0" fontId="4" fillId="0" borderId="72" xfId="0" applyFont="1" applyBorder="1" applyAlignment="1">
      <alignment horizontal="center" vertical="center"/>
    </xf>
    <xf numFmtId="0" fontId="1" fillId="0" borderId="82" xfId="0" quotePrefix="1" applyFont="1" applyBorder="1" applyAlignment="1">
      <alignment horizontal="left" vertical="center"/>
    </xf>
    <xf numFmtId="164" fontId="1" fillId="0" borderId="96" xfId="0" applyNumberFormat="1" applyFont="1" applyBorder="1" applyAlignment="1">
      <alignment horizontal="center" vertical="center"/>
    </xf>
    <xf numFmtId="0" fontId="1" fillId="0" borderId="103" xfId="0" quotePrefix="1" applyFont="1" applyBorder="1" applyAlignment="1">
      <alignment horizontal="center" vertical="center"/>
    </xf>
    <xf numFmtId="0" fontId="1" fillId="0" borderId="83" xfId="0" applyFont="1" applyBorder="1" applyAlignment="1">
      <alignment horizontal="left" vertical="center" shrinkToFit="1"/>
    </xf>
    <xf numFmtId="1" fontId="1" fillId="0" borderId="53" xfId="0" applyNumberFormat="1" applyFont="1" applyBorder="1" applyAlignment="1">
      <alignment horizontal="center" vertical="center"/>
    </xf>
    <xf numFmtId="1" fontId="1" fillId="9" borderId="48" xfId="0" applyNumberFormat="1" applyFont="1" applyFill="1" applyBorder="1" applyAlignment="1">
      <alignment horizontal="center" vertical="center"/>
    </xf>
    <xf numFmtId="1" fontId="4" fillId="0" borderId="0" xfId="0" applyNumberFormat="1" applyFont="1" applyAlignment="1">
      <alignment horizontal="center" vertical="center"/>
    </xf>
    <xf numFmtId="1" fontId="21" fillId="10" borderId="30" xfId="0" applyNumberFormat="1" applyFont="1" applyFill="1" applyBorder="1" applyAlignment="1">
      <alignment horizontal="center" vertical="center"/>
    </xf>
    <xf numFmtId="1" fontId="1" fillId="9" borderId="35" xfId="0" applyNumberFormat="1" applyFont="1" applyFill="1" applyBorder="1" applyAlignment="1">
      <alignment horizontal="center" vertical="center"/>
    </xf>
    <xf numFmtId="1" fontId="1" fillId="0" borderId="48" xfId="0" applyNumberFormat="1" applyFont="1" applyBorder="1" applyAlignment="1">
      <alignment horizontal="center" vertical="center"/>
    </xf>
    <xf numFmtId="1" fontId="1" fillId="0" borderId="55" xfId="0" applyNumberFormat="1" applyFont="1" applyBorder="1" applyAlignment="1">
      <alignment horizontal="center" vertical="center"/>
    </xf>
    <xf numFmtId="1" fontId="1" fillId="0" borderId="35" xfId="0" applyNumberFormat="1" applyFont="1" applyBorder="1" applyAlignment="1">
      <alignment horizontal="center" vertical="center"/>
    </xf>
    <xf numFmtId="1" fontId="1" fillId="0" borderId="84" xfId="0" applyNumberFormat="1" applyFont="1" applyBorder="1" applyAlignment="1">
      <alignment horizontal="center" vertical="center"/>
    </xf>
    <xf numFmtId="1" fontId="1" fillId="0" borderId="84" xfId="0" applyNumberFormat="1" applyFont="1" applyBorder="1" applyAlignment="1">
      <alignment horizontal="center" vertical="center" shrinkToFit="1"/>
    </xf>
    <xf numFmtId="1" fontId="4" fillId="0" borderId="84" xfId="0" applyNumberFormat="1" applyFont="1" applyBorder="1" applyAlignment="1">
      <alignment horizontal="center" vertical="center" shrinkToFit="1"/>
    </xf>
    <xf numFmtId="1" fontId="1" fillId="0" borderId="48" xfId="0" applyNumberFormat="1" applyFont="1" applyBorder="1" applyAlignment="1">
      <alignment horizontal="center" vertical="center" shrinkToFit="1"/>
    </xf>
    <xf numFmtId="1" fontId="2" fillId="0" borderId="0" xfId="0" applyNumberFormat="1" applyFont="1" applyAlignment="1">
      <alignment horizontal="centerContinuous" vertical="center" shrinkToFit="1"/>
    </xf>
    <xf numFmtId="1" fontId="21" fillId="3" borderId="30" xfId="0" applyNumberFormat="1" applyFont="1" applyFill="1" applyBorder="1" applyAlignment="1">
      <alignment horizontal="center" vertical="center"/>
    </xf>
    <xf numFmtId="1" fontId="4" fillId="0" borderId="53" xfId="0" applyNumberFormat="1" applyFont="1" applyBorder="1" applyAlignment="1">
      <alignment horizontal="center" vertical="center" shrinkToFit="1"/>
    </xf>
    <xf numFmtId="1" fontId="1" fillId="0" borderId="35" xfId="0" applyNumberFormat="1" applyFont="1" applyBorder="1" applyAlignment="1">
      <alignment horizontal="center" vertical="center" shrinkToFit="1"/>
    </xf>
    <xf numFmtId="0" fontId="1" fillId="0" borderId="0" xfId="0" applyFont="1"/>
    <xf numFmtId="0" fontId="1" fillId="0" borderId="82" xfId="0" applyFont="1" applyBorder="1" applyAlignment="1">
      <alignment horizontal="center" vertical="center" shrinkToFit="1"/>
    </xf>
    <xf numFmtId="0" fontId="1" fillId="0" borderId="41" xfId="0" applyFont="1" applyBorder="1" applyAlignment="1">
      <alignment horizontal="left" vertical="center"/>
    </xf>
    <xf numFmtId="0" fontId="1" fillId="0" borderId="42" xfId="0" applyFont="1" applyBorder="1" applyAlignment="1">
      <alignment horizontal="left" vertical="center" shrinkToFit="1"/>
    </xf>
    <xf numFmtId="0" fontId="3" fillId="0" borderId="0" xfId="0" applyFont="1" applyAlignment="1">
      <alignment horizontal="right"/>
    </xf>
    <xf numFmtId="9" fontId="1" fillId="0" borderId="0" xfId="2" applyFont="1" applyBorder="1" applyAlignment="1">
      <alignment horizontal="center"/>
    </xf>
    <xf numFmtId="0" fontId="1" fillId="0" borderId="98" xfId="0" quotePrefix="1" applyFont="1" applyBorder="1" applyAlignment="1">
      <alignment horizontal="center" vertical="center"/>
    </xf>
    <xf numFmtId="49" fontId="1" fillId="0" borderId="102" xfId="2" applyNumberFormat="1" applyFont="1" applyBorder="1" applyAlignment="1">
      <alignment horizontal="center" vertical="center"/>
    </xf>
    <xf numFmtId="0" fontId="1" fillId="0" borderId="102" xfId="0" applyFont="1" applyBorder="1" applyAlignment="1">
      <alignment horizontal="center" vertical="center" shrinkToFit="1"/>
    </xf>
    <xf numFmtId="0" fontId="1" fillId="0" borderId="109" xfId="0" applyFont="1" applyBorder="1" applyAlignment="1">
      <alignment horizontal="center" vertical="center" shrinkToFit="1"/>
    </xf>
    <xf numFmtId="0" fontId="1" fillId="0" borderId="90" xfId="0" applyFont="1" applyBorder="1" applyAlignment="1">
      <alignment horizontal="center" vertical="center"/>
    </xf>
    <xf numFmtId="9" fontId="1" fillId="0" borderId="90" xfId="0" applyNumberFormat="1" applyFont="1" applyBorder="1" applyAlignment="1">
      <alignment horizontal="center" vertical="center"/>
    </xf>
    <xf numFmtId="164" fontId="1" fillId="0" borderId="89" xfId="0" applyNumberFormat="1" applyFont="1" applyBorder="1" applyAlignment="1">
      <alignment horizontal="centerContinuous" vertical="center"/>
    </xf>
    <xf numFmtId="164" fontId="1" fillId="0" borderId="91" xfId="0" applyNumberFormat="1" applyFont="1" applyBorder="1" applyAlignment="1">
      <alignment horizontal="centerContinuous" vertical="center"/>
    </xf>
    <xf numFmtId="0" fontId="4" fillId="0" borderId="92" xfId="0" quotePrefix="1" applyFont="1" applyBorder="1" applyAlignment="1">
      <alignment horizontal="centerContinuous" vertical="center"/>
    </xf>
    <xf numFmtId="9" fontId="1" fillId="0" borderId="94" xfId="0" applyNumberFormat="1" applyFont="1" applyBorder="1" applyAlignment="1">
      <alignment horizontal="center" vertical="center"/>
    </xf>
    <xf numFmtId="1" fontId="3" fillId="0" borderId="0" xfId="0" applyNumberFormat="1" applyFont="1" applyAlignment="1">
      <alignment horizontal="center" vertical="center"/>
    </xf>
    <xf numFmtId="0" fontId="6" fillId="0" borderId="78" xfId="0" applyFont="1" applyBorder="1" applyAlignment="1">
      <alignment horizontal="centerContinuous" vertical="center"/>
    </xf>
    <xf numFmtId="0" fontId="1" fillId="0" borderId="79" xfId="0" applyFont="1" applyBorder="1" applyAlignment="1">
      <alignment horizontal="centerContinuous" vertical="center"/>
    </xf>
    <xf numFmtId="49" fontId="16" fillId="0" borderId="33" xfId="0" applyNumberFormat="1" applyFont="1" applyBorder="1" applyAlignment="1">
      <alignment horizontal="center" shrinkToFit="1"/>
    </xf>
    <xf numFmtId="164" fontId="1" fillId="9" borderId="102" xfId="0" applyNumberFormat="1" applyFont="1" applyFill="1" applyBorder="1" applyAlignment="1">
      <alignment horizontal="center" vertical="center"/>
    </xf>
    <xf numFmtId="0" fontId="1" fillId="0" borderId="116" xfId="0" applyFont="1" applyBorder="1" applyAlignment="1">
      <alignment horizontal="center" vertical="center" shrinkToFit="1"/>
    </xf>
    <xf numFmtId="9" fontId="1" fillId="0" borderId="106" xfId="0" applyNumberFormat="1" applyFont="1" applyBorder="1" applyAlignment="1">
      <alignment horizontal="center" vertical="center"/>
    </xf>
    <xf numFmtId="164" fontId="1" fillId="0" borderId="106" xfId="0" applyNumberFormat="1" applyFont="1" applyBorder="1" applyAlignment="1">
      <alignment horizontal="center" vertical="center"/>
    </xf>
    <xf numFmtId="164" fontId="1" fillId="0" borderId="107" xfId="0" applyNumberFormat="1" applyFont="1" applyBorder="1" applyAlignment="1">
      <alignment horizontal="centerContinuous" vertical="center"/>
    </xf>
    <xf numFmtId="164" fontId="1" fillId="0" borderId="105" xfId="0" applyNumberFormat="1" applyFont="1" applyBorder="1" applyAlignment="1">
      <alignment horizontal="centerContinuous" vertical="center"/>
    </xf>
    <xf numFmtId="0" fontId="4" fillId="0" borderId="108" xfId="0" quotePrefix="1" applyFont="1" applyBorder="1" applyAlignment="1">
      <alignment horizontal="centerContinuous" vertical="center"/>
    </xf>
    <xf numFmtId="0" fontId="53" fillId="15" borderId="70" xfId="0" applyFont="1" applyFill="1" applyBorder="1" applyAlignment="1">
      <alignment horizontal="center" vertical="center"/>
    </xf>
    <xf numFmtId="0" fontId="53" fillId="15" borderId="71" xfId="0" applyFont="1" applyFill="1" applyBorder="1" applyAlignment="1">
      <alignment horizontal="center" vertical="center"/>
    </xf>
    <xf numFmtId="0" fontId="53" fillId="15" borderId="71" xfId="0" quotePrefix="1" applyFont="1" applyFill="1" applyBorder="1" applyAlignment="1">
      <alignment horizontal="center" vertical="center"/>
    </xf>
    <xf numFmtId="164" fontId="53" fillId="15" borderId="71" xfId="0" quotePrefix="1" applyNumberFormat="1" applyFont="1" applyFill="1" applyBorder="1" applyAlignment="1">
      <alignment horizontal="center" vertical="center"/>
    </xf>
    <xf numFmtId="164" fontId="53" fillId="15" borderId="72" xfId="0" applyNumberFormat="1" applyFont="1" applyFill="1" applyBorder="1" applyAlignment="1">
      <alignment horizontal="centerContinuous" vertical="center"/>
    </xf>
    <xf numFmtId="164" fontId="53" fillId="15" borderId="73" xfId="0" applyNumberFormat="1" applyFont="1" applyFill="1" applyBorder="1" applyAlignment="1">
      <alignment horizontal="centerContinuous" vertical="center"/>
    </xf>
    <xf numFmtId="0" fontId="53" fillId="15" borderId="74" xfId="0" applyFont="1" applyFill="1" applyBorder="1" applyAlignment="1">
      <alignment horizontal="centerContinuous" vertical="center"/>
    </xf>
    <xf numFmtId="1" fontId="6" fillId="0" borderId="0" xfId="0" applyNumberFormat="1" applyFont="1" applyAlignment="1">
      <alignment horizontal="left" vertical="center"/>
    </xf>
    <xf numFmtId="1" fontId="6" fillId="0" borderId="12" xfId="0" applyNumberFormat="1" applyFont="1" applyBorder="1" applyAlignment="1">
      <alignment horizontal="center" vertical="center"/>
    </xf>
    <xf numFmtId="1" fontId="6" fillId="16" borderId="27" xfId="0" applyNumberFormat="1" applyFont="1" applyFill="1" applyBorder="1" applyAlignment="1">
      <alignment horizontal="center" vertical="center"/>
    </xf>
    <xf numFmtId="0" fontId="49" fillId="0" borderId="35" xfId="0" applyFont="1" applyBorder="1" applyAlignment="1">
      <alignment horizontal="center" vertical="center" shrinkToFit="1"/>
    </xf>
    <xf numFmtId="0" fontId="49" fillId="0" borderId="48" xfId="0" applyFont="1" applyBorder="1" applyAlignment="1">
      <alignment horizontal="centerContinuous" vertical="center"/>
    </xf>
    <xf numFmtId="0" fontId="1" fillId="0" borderId="117" xfId="0" applyFont="1" applyBorder="1" applyAlignment="1">
      <alignment horizontal="center" vertical="center"/>
    </xf>
    <xf numFmtId="0" fontId="1" fillId="0" borderId="118" xfId="0" applyFont="1" applyBorder="1" applyAlignment="1">
      <alignment horizontal="center" vertical="center"/>
    </xf>
    <xf numFmtId="0" fontId="1" fillId="0" borderId="118" xfId="0" quotePrefix="1" applyFont="1" applyBorder="1" applyAlignment="1">
      <alignment horizontal="center" vertical="center"/>
    </xf>
    <xf numFmtId="49" fontId="1" fillId="0" borderId="118" xfId="0" applyNumberFormat="1" applyFont="1" applyBorder="1" applyAlignment="1">
      <alignment horizontal="center" vertical="center"/>
    </xf>
    <xf numFmtId="164" fontId="1" fillId="0" borderId="118" xfId="0" applyNumberFormat="1" applyFont="1" applyBorder="1" applyAlignment="1">
      <alignment horizontal="center" vertical="center"/>
    </xf>
    <xf numFmtId="164" fontId="1" fillId="0" borderId="119" xfId="0" applyNumberFormat="1" applyFont="1" applyBorder="1" applyAlignment="1">
      <alignment horizontal="center" vertical="center"/>
    </xf>
    <xf numFmtId="1" fontId="45" fillId="11" borderId="119" xfId="0" applyNumberFormat="1" applyFont="1" applyFill="1" applyBorder="1" applyAlignment="1">
      <alignment horizontal="center" vertical="center"/>
    </xf>
    <xf numFmtId="1" fontId="1" fillId="0" borderId="119" xfId="0" applyNumberFormat="1" applyFont="1" applyBorder="1" applyAlignment="1">
      <alignment horizontal="center" vertical="center"/>
    </xf>
    <xf numFmtId="0" fontId="1" fillId="0" borderId="120" xfId="0" quotePrefix="1" applyFont="1" applyBorder="1" applyAlignment="1">
      <alignment horizontal="center" vertical="center"/>
    </xf>
    <xf numFmtId="49" fontId="1" fillId="0" borderId="102" xfId="0" applyNumberFormat="1" applyFont="1" applyBorder="1" applyAlignment="1">
      <alignment horizontal="center" vertical="center"/>
    </xf>
    <xf numFmtId="49" fontId="1" fillId="0" borderId="118" xfId="2" applyNumberFormat="1" applyFont="1" applyBorder="1" applyAlignment="1">
      <alignment horizontal="center" vertical="center"/>
    </xf>
    <xf numFmtId="0" fontId="1" fillId="0" borderId="118" xfId="0" applyFont="1" applyBorder="1" applyAlignment="1">
      <alignment horizontal="center" vertical="center" shrinkToFit="1"/>
    </xf>
    <xf numFmtId="0" fontId="5" fillId="4" borderId="29" xfId="0" applyFont="1" applyFill="1" applyBorder="1" applyAlignment="1">
      <alignment horizontal="right" vertical="center"/>
    </xf>
    <xf numFmtId="0" fontId="55" fillId="2" borderId="57" xfId="0" applyFont="1" applyFill="1" applyBorder="1" applyAlignment="1">
      <alignment horizontal="right" vertical="center"/>
    </xf>
    <xf numFmtId="1" fontId="6" fillId="17" borderId="27" xfId="0" applyNumberFormat="1" applyFont="1" applyFill="1" applyBorder="1" applyAlignment="1">
      <alignment horizontal="center" vertical="center"/>
    </xf>
    <xf numFmtId="0" fontId="8" fillId="0" borderId="3" xfId="0" quotePrefix="1" applyFont="1" applyBorder="1" applyAlignment="1">
      <alignment horizontal="center" vertical="center"/>
    </xf>
    <xf numFmtId="0" fontId="6" fillId="0" borderId="23" xfId="0" quotePrefix="1" applyFont="1" applyBorder="1" applyAlignment="1">
      <alignment horizontal="center" vertical="center"/>
    </xf>
    <xf numFmtId="0" fontId="22" fillId="8" borderId="1" xfId="0" applyFont="1" applyFill="1" applyBorder="1" applyAlignment="1">
      <alignment vertical="center"/>
    </xf>
    <xf numFmtId="49" fontId="27" fillId="8" borderId="24" xfId="0" applyNumberFormat="1" applyFont="1" applyFill="1" applyBorder="1" applyAlignment="1">
      <alignment horizontal="center" vertical="center"/>
    </xf>
    <xf numFmtId="0" fontId="27" fillId="8" borderId="25" xfId="0" applyFont="1" applyFill="1" applyBorder="1" applyAlignment="1">
      <alignment horizontal="center" vertical="center"/>
    </xf>
    <xf numFmtId="0" fontId="22" fillId="8" borderId="25" xfId="0" applyFont="1" applyFill="1" applyBorder="1" applyAlignment="1">
      <alignment horizontal="center" vertical="center"/>
    </xf>
    <xf numFmtId="49" fontId="23" fillId="8" borderId="24" xfId="0" applyNumberFormat="1" applyFont="1" applyFill="1" applyBorder="1" applyAlignment="1">
      <alignment horizontal="center" vertical="center"/>
    </xf>
    <xf numFmtId="0" fontId="23" fillId="8" borderId="25" xfId="0" applyFont="1" applyFill="1" applyBorder="1" applyAlignment="1">
      <alignment horizontal="center" vertical="center"/>
    </xf>
    <xf numFmtId="0" fontId="56" fillId="18" borderId="66" xfId="0" applyFont="1" applyFill="1" applyBorder="1" applyAlignment="1">
      <alignment horizontal="center" vertical="center"/>
    </xf>
    <xf numFmtId="0" fontId="56" fillId="18" borderId="94" xfId="0" applyFont="1" applyFill="1" applyBorder="1" applyAlignment="1">
      <alignment horizontal="center" vertical="center"/>
    </xf>
    <xf numFmtId="0" fontId="56" fillId="18" borderId="94" xfId="0" quotePrefix="1" applyFont="1" applyFill="1" applyBorder="1" applyAlignment="1">
      <alignment horizontal="center" vertical="center"/>
    </xf>
    <xf numFmtId="0" fontId="56" fillId="18" borderId="102" xfId="0" applyFont="1" applyFill="1" applyBorder="1" applyAlignment="1">
      <alignment horizontal="center" vertical="center"/>
    </xf>
    <xf numFmtId="49" fontId="56" fillId="18" borderId="94" xfId="0" applyNumberFormat="1" applyFont="1" applyFill="1" applyBorder="1" applyAlignment="1">
      <alignment horizontal="center" vertical="center"/>
    </xf>
    <xf numFmtId="164" fontId="56" fillId="18" borderId="94" xfId="0" applyNumberFormat="1" applyFont="1" applyFill="1" applyBorder="1" applyAlignment="1">
      <alignment horizontal="center" vertical="center"/>
    </xf>
    <xf numFmtId="1" fontId="56" fillId="18" borderId="67" xfId="0" applyNumberFormat="1" applyFont="1" applyFill="1" applyBorder="1" applyAlignment="1">
      <alignment horizontal="center" vertical="center"/>
    </xf>
    <xf numFmtId="0" fontId="56" fillId="18" borderId="98" xfId="0" applyFont="1" applyFill="1" applyBorder="1" applyAlignment="1">
      <alignment horizontal="center" vertical="center"/>
    </xf>
    <xf numFmtId="0" fontId="6" fillId="17" borderId="3" xfId="0" quotePrefix="1" applyFont="1" applyFill="1" applyBorder="1" applyAlignment="1">
      <alignment horizontal="center" vertical="center"/>
    </xf>
  </cellXfs>
  <cellStyles count="9">
    <cellStyle name="Excel Built-in Normal" xfId="6" xr:uid="{00000000-0005-0000-0000-000000000000}"/>
    <cellStyle name="Hyperlink" xfId="1" builtinId="8"/>
    <cellStyle name="Normal" xfId="0" builtinId="0"/>
    <cellStyle name="Normal 2" xfId="4" xr:uid="{00000000-0005-0000-0000-000003000000}"/>
    <cellStyle name="Normal 2 2" xfId="5" xr:uid="{00000000-0005-0000-0000-000004000000}"/>
    <cellStyle name="Normal 3" xfId="8" xr:uid="{00000000-0005-0000-0000-000005000000}"/>
    <cellStyle name="Normal 4" xfId="7" xr:uid="{00000000-0005-0000-0000-000006000000}"/>
    <cellStyle name="Percent" xfId="2" builtinId="5"/>
    <cellStyle name="Percent 2" xfId="3" xr:uid="{00000000-0005-0000-0000-000008000000}"/>
  </cellStyles>
  <dxfs count="9">
    <dxf>
      <fill>
        <patternFill>
          <bgColor rgb="FF00FF00"/>
        </patternFill>
      </fill>
    </dxf>
    <dxf>
      <fill>
        <patternFill>
          <bgColor rgb="FFFFC000"/>
        </patternFill>
      </fill>
    </dxf>
    <dxf>
      <fill>
        <patternFill>
          <bgColor rgb="FFFF00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CCFFCC"/>
      <color rgb="FF9999FF"/>
      <color rgb="FF00FF00"/>
      <color rgb="FF0000FF"/>
      <color rgb="FF00FFFF"/>
      <color rgb="FF009900"/>
      <color rgb="FFFF66FF"/>
      <color rgb="FFFF33CC"/>
      <color rgb="FFCCCC00"/>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67348</xdr:colOff>
      <xdr:row>1</xdr:row>
      <xdr:rowOff>68581</xdr:rowOff>
    </xdr:from>
    <xdr:to>
      <xdr:col>6</xdr:col>
      <xdr:colOff>1021983</xdr:colOff>
      <xdr:row>15</xdr:row>
      <xdr:rowOff>205741</xdr:rowOff>
    </xdr:to>
    <xdr:pic>
      <xdr:nvPicPr>
        <xdr:cNvPr id="2" name="Picture 1">
          <a:extLst>
            <a:ext uri="{FF2B5EF4-FFF2-40B4-BE49-F238E27FC236}">
              <a16:creationId xmlns:a16="http://schemas.microsoft.com/office/drawing/2014/main" id="{F85C1023-B1D3-E5E4-3BBB-6D5CDAB7838C}"/>
            </a:ext>
          </a:extLst>
        </xdr:cNvPr>
        <xdr:cNvPicPr>
          <a:picLocks noChangeAspect="1"/>
        </xdr:cNvPicPr>
      </xdr:nvPicPr>
      <xdr:blipFill>
        <a:blip xmlns:r="http://schemas.openxmlformats.org/officeDocument/2006/relationships" r:embed="rId1"/>
        <a:stretch>
          <a:fillRect/>
        </a:stretch>
      </xdr:blipFill>
      <xdr:spPr>
        <a:xfrm>
          <a:off x="4669828" y="441961"/>
          <a:ext cx="2044295" cy="3268980"/>
        </a:xfrm>
        <a:prstGeom prst="rect">
          <a:avLst/>
        </a:prstGeom>
      </xdr:spPr>
    </xdr:pic>
    <xdr:clientData/>
  </xdr:twoCellAnchor>
  <xdr:twoCellAnchor>
    <xdr:from>
      <xdr:col>0</xdr:col>
      <xdr:colOff>59055</xdr:colOff>
      <xdr:row>14</xdr:row>
      <xdr:rowOff>49528</xdr:rowOff>
    </xdr:from>
    <xdr:to>
      <xdr:col>6</xdr:col>
      <xdr:colOff>1045845</xdr:colOff>
      <xdr:row>21</xdr:row>
      <xdr:rowOff>160019</xdr:rowOff>
    </xdr:to>
    <xdr:sp macro="" textlink="">
      <xdr:nvSpPr>
        <xdr:cNvPr id="1084" name="Text Box 60">
          <a:extLst>
            <a:ext uri="{FF2B5EF4-FFF2-40B4-BE49-F238E27FC236}">
              <a16:creationId xmlns:a16="http://schemas.microsoft.com/office/drawing/2014/main" id="{00000000-0008-0000-0000-00003C040000}"/>
            </a:ext>
          </a:extLst>
        </xdr:cNvPr>
        <xdr:cNvSpPr txBox="1">
          <a:spLocks noChangeArrowheads="1"/>
        </xdr:cNvSpPr>
      </xdr:nvSpPr>
      <xdr:spPr bwMode="auto">
        <a:xfrm>
          <a:off x="59055" y="3120388"/>
          <a:ext cx="6678930" cy="1611631"/>
        </a:xfrm>
        <a:prstGeom prst="rect">
          <a:avLst/>
        </a:prstGeom>
        <a:solidFill>
          <a:srgbClr xmlns:mc="http://schemas.openxmlformats.org/markup-compatibility/2006" xmlns:a14="http://schemas.microsoft.com/office/drawing/2010/main" val="CCFFFF" mc:Ignorable="a14" a14:legacySpreadsheetColorIndex="41">
            <a:alpha val="38000"/>
          </a:srgbClr>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t" upright="1"/>
        <a:lstStyle/>
        <a:p>
          <a:pPr algn="ctr" rtl="0">
            <a:defRPr sz="1000"/>
          </a:pPr>
          <a:r>
            <a:rPr lang="en-US" sz="1200" b="1" i="0" u="none" strike="noStrike" baseline="0">
              <a:solidFill>
                <a:srgbClr val="000000"/>
              </a:solidFill>
              <a:latin typeface="Times New Roman"/>
              <a:cs typeface="Times New Roman"/>
            </a:rPr>
            <a:t>Auras and Effects:</a:t>
          </a:r>
        </a:p>
        <a:p>
          <a:pPr algn="ctr" rtl="0">
            <a:defRPr sz="1000"/>
          </a:pPr>
          <a:endParaRPr lang="en-US" sz="1200" b="1" i="0" u="none" strike="noStrike" baseline="0">
            <a:solidFill>
              <a:srgbClr val="000000"/>
            </a:solidFill>
            <a:latin typeface="Times New Roman"/>
            <a:cs typeface="Times New Roman"/>
          </a:endParaRPr>
        </a:p>
        <a:p>
          <a:pPr algn="ctr" rtl="0">
            <a:defRPr sz="1000"/>
          </a:pPr>
          <a:r>
            <a:rPr lang="en-US" sz="1200" b="0" i="0" u="none" strike="noStrike" baseline="0">
              <a:solidFill>
                <a:srgbClr val="000000"/>
              </a:solidFill>
              <a:latin typeface="Times New Roman"/>
              <a:cs typeface="Times New Roman"/>
            </a:rPr>
            <a:t>Resistance to Acid (15) [active aura]</a:t>
          </a:r>
        </a:p>
        <a:p>
          <a:pPr algn="ctr" rtl="0">
            <a:defRPr sz="1000"/>
          </a:pPr>
          <a:endParaRPr lang="en-US" sz="1200" b="0" i="0" u="none" strike="noStrike" baseline="0">
            <a:solidFill>
              <a:srgbClr val="000000"/>
            </a:solidFill>
            <a:latin typeface="Times New Roman"/>
            <a:cs typeface="Times New Roman"/>
          </a:endParaRPr>
        </a:p>
        <a:p>
          <a:pPr algn="ctr" rtl="0">
            <a:defRPr sz="1000"/>
          </a:pPr>
          <a:r>
            <a:rPr lang="en-US" sz="1200" b="0" i="0" u="none" strike="noStrike" baseline="0">
              <a:solidFill>
                <a:srgbClr val="000000"/>
              </a:solidFill>
              <a:latin typeface="Times New Roman"/>
              <a:cs typeface="Times New Roman"/>
            </a:rPr>
            <a:t>Dragonborn features inactive; functionally human</a:t>
          </a:r>
          <a:endParaRPr lang="en-US" sz="1200" b="0" i="1" u="none" strike="noStrike" baseline="0">
            <a:solidFill>
              <a:srgbClr val="99FF99"/>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a:extLst>
            <a:ext uri="{FF2B5EF4-FFF2-40B4-BE49-F238E27FC236}">
              <a16:creationId xmlns:a16="http://schemas.microsoft.com/office/drawing/2014/main" id="{00000000-0008-0000-0100-000054340000}"/>
            </a:ext>
          </a:extLst>
        </xdr:cNvPr>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228600</xdr:colOff>
      <xdr:row>0</xdr:row>
      <xdr:rowOff>0</xdr:rowOff>
    </xdr:from>
    <xdr:to>
      <xdr:col>2</xdr:col>
      <xdr:colOff>0</xdr:colOff>
      <xdr:row>0</xdr:row>
      <xdr:rowOff>0</xdr:rowOff>
    </xdr:to>
    <xdr:sp macro="" textlink="">
      <xdr:nvSpPr>
        <xdr:cNvPr id="19460" name="Rectangle 1">
          <a:extLst>
            <a:ext uri="{FF2B5EF4-FFF2-40B4-BE49-F238E27FC236}">
              <a16:creationId xmlns:a16="http://schemas.microsoft.com/office/drawing/2014/main" id="{00000000-0008-0000-0200-0000044C0000}"/>
            </a:ext>
          </a:extLst>
        </xdr:cNvPr>
        <xdr:cNvSpPr>
          <a:spLocks noChangeArrowheads="1"/>
        </xdr:cNvSpPr>
      </xdr:nvSpPr>
      <xdr:spPr bwMode="auto">
        <a:xfrm>
          <a:off x="50006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1</xdr:col>
      <xdr:colOff>428625</xdr:colOff>
      <xdr:row>1</xdr:row>
      <xdr:rowOff>123825</xdr:rowOff>
    </xdr:from>
    <xdr:to>
      <xdr:col>2</xdr:col>
      <xdr:colOff>466725</xdr:colOff>
      <xdr:row>2</xdr:row>
      <xdr:rowOff>66675</xdr:rowOff>
    </xdr:to>
    <xdr:sp macro="" textlink="">
      <xdr:nvSpPr>
        <xdr:cNvPr id="3078" name="Text Box 6" hidden="1">
          <a:extLst>
            <a:ext uri="{FF2B5EF4-FFF2-40B4-BE49-F238E27FC236}">
              <a16:creationId xmlns:a16="http://schemas.microsoft.com/office/drawing/2014/main" id="{00000000-0008-0000-0300-0000060C0000}"/>
            </a:ext>
          </a:extLst>
        </xdr:cNvPr>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3"/>
  <sheetViews>
    <sheetView showGridLines="0" tabSelected="1" zoomScaleNormal="100" workbookViewId="0"/>
  </sheetViews>
  <sheetFormatPr defaultColWidth="13" defaultRowHeight="15.6" x14ac:dyDescent="0.3"/>
  <cols>
    <col min="1" max="1" width="16.296875" style="61" customWidth="1"/>
    <col min="2" max="2" width="11" style="62" customWidth="1"/>
    <col min="3" max="3" width="6" style="62" customWidth="1"/>
    <col min="4" max="4" width="14.69921875" style="61" bestFit="1" customWidth="1"/>
    <col min="5" max="5" width="13.3984375" style="62" bestFit="1" customWidth="1"/>
    <col min="6" max="6" width="14.296875" style="61" customWidth="1"/>
    <col min="7" max="7" width="14.296875" style="62" customWidth="1"/>
    <col min="8" max="16384" width="13" style="17"/>
  </cols>
  <sheetData>
    <row r="1" spans="1:7" ht="29.4" thickTop="1" thickBot="1" x14ac:dyDescent="0.35">
      <c r="A1" s="393" t="s">
        <v>204</v>
      </c>
      <c r="B1" s="273" t="s">
        <v>205</v>
      </c>
      <c r="C1" s="13"/>
      <c r="D1" s="14"/>
      <c r="E1" s="15"/>
      <c r="F1" s="14"/>
      <c r="G1" s="16" t="s">
        <v>90</v>
      </c>
    </row>
    <row r="2" spans="1:7" ht="17.399999999999999" thickTop="1" x14ac:dyDescent="0.3">
      <c r="A2" s="18" t="s">
        <v>180</v>
      </c>
      <c r="B2" s="19" t="s">
        <v>206</v>
      </c>
      <c r="C2" s="19"/>
      <c r="D2" s="20" t="s">
        <v>207</v>
      </c>
      <c r="E2" s="21" t="s">
        <v>208</v>
      </c>
      <c r="F2" s="22"/>
      <c r="G2" s="23"/>
    </row>
    <row r="3" spans="1:7" ht="16.8" x14ac:dyDescent="0.3">
      <c r="A3" s="18" t="s">
        <v>182</v>
      </c>
      <c r="B3" s="19" t="s">
        <v>100</v>
      </c>
      <c r="C3" s="19"/>
      <c r="D3" s="20" t="s">
        <v>0</v>
      </c>
      <c r="E3" s="21">
        <v>12</v>
      </c>
      <c r="F3" s="20"/>
      <c r="G3" s="23"/>
    </row>
    <row r="4" spans="1:7" ht="16.8" x14ac:dyDescent="0.3">
      <c r="A4" s="18" t="s">
        <v>209</v>
      </c>
      <c r="B4" s="19" t="s">
        <v>210</v>
      </c>
      <c r="C4" s="19"/>
      <c r="D4" s="20" t="s">
        <v>181</v>
      </c>
      <c r="E4" s="21" t="s">
        <v>91</v>
      </c>
      <c r="F4" s="20"/>
      <c r="G4" s="23"/>
    </row>
    <row r="5" spans="1:7" ht="17.399999999999999" thickBot="1" x14ac:dyDescent="0.35">
      <c r="A5" s="18" t="s">
        <v>183</v>
      </c>
      <c r="B5" s="19" t="s">
        <v>215</v>
      </c>
      <c r="C5" s="19"/>
      <c r="D5" s="20" t="s">
        <v>184</v>
      </c>
      <c r="E5" s="21" t="s">
        <v>199</v>
      </c>
      <c r="F5" s="20"/>
      <c r="G5" s="23"/>
    </row>
    <row r="6" spans="1:7" ht="17.399999999999999" thickTop="1" x14ac:dyDescent="0.3">
      <c r="A6" s="24" t="s">
        <v>185</v>
      </c>
      <c r="B6" s="358">
        <f>9</f>
        <v>9</v>
      </c>
      <c r="C6" s="359"/>
      <c r="D6" s="25" t="s">
        <v>213</v>
      </c>
      <c r="E6" s="26" t="s">
        <v>211</v>
      </c>
      <c r="F6" s="27"/>
      <c r="G6" s="23"/>
    </row>
    <row r="7" spans="1:7" ht="17.399999999999999" thickBot="1" x14ac:dyDescent="0.35">
      <c r="A7" s="28" t="s">
        <v>186</v>
      </c>
      <c r="B7" s="29" t="str">
        <f>C9</f>
        <v>+2</v>
      </c>
      <c r="C7" s="30"/>
      <c r="D7" s="392" t="s">
        <v>212</v>
      </c>
      <c r="E7" s="31" t="s">
        <v>90</v>
      </c>
      <c r="F7" s="27"/>
      <c r="G7" s="23"/>
    </row>
    <row r="8" spans="1:7" ht="17.399999999999999" thickTop="1" x14ac:dyDescent="0.3">
      <c r="A8" s="32" t="s">
        <v>187</v>
      </c>
      <c r="B8" s="411">
        <f>12+4</f>
        <v>16</v>
      </c>
      <c r="C8" s="33" t="str">
        <f t="shared" ref="C8:C13" si="0">IF(B8&gt;9.9,CONCATENATE("+",ROUNDDOWN((B8-10)/2,0)),ROUNDUP((B8-10)/2,0))</f>
        <v>+3</v>
      </c>
      <c r="D8" s="34" t="s">
        <v>188</v>
      </c>
      <c r="E8" s="360" t="s">
        <v>161</v>
      </c>
      <c r="F8" s="27"/>
      <c r="G8" s="23"/>
    </row>
    <row r="9" spans="1:7" ht="16.8" x14ac:dyDescent="0.3">
      <c r="A9" s="35" t="s">
        <v>189</v>
      </c>
      <c r="B9" s="395">
        <v>14</v>
      </c>
      <c r="C9" s="36" t="str">
        <f t="shared" si="0"/>
        <v>+2</v>
      </c>
      <c r="D9" s="37" t="s">
        <v>190</v>
      </c>
      <c r="E9" s="38">
        <f>SUM(Martial!G7:G24)+SUM(Equipment!C3:C10)</f>
        <v>31</v>
      </c>
      <c r="F9" s="27"/>
      <c r="G9" s="23"/>
    </row>
    <row r="10" spans="1:7" ht="16.8" x14ac:dyDescent="0.3">
      <c r="A10" s="39" t="s">
        <v>191</v>
      </c>
      <c r="B10" s="395">
        <v>13</v>
      </c>
      <c r="C10" s="40" t="str">
        <f t="shared" si="0"/>
        <v>+1</v>
      </c>
      <c r="D10" s="37" t="s">
        <v>192</v>
      </c>
      <c r="E10" s="41">
        <f>ROUNDUP(((E3*10)*0.75)+(E3*C10),0)</f>
        <v>102</v>
      </c>
      <c r="F10" s="27"/>
      <c r="G10" s="23"/>
    </row>
    <row r="11" spans="1:7" ht="16.8" x14ac:dyDescent="0.3">
      <c r="A11" s="42" t="s">
        <v>193</v>
      </c>
      <c r="B11" s="395">
        <f>10</f>
        <v>10</v>
      </c>
      <c r="C11" s="36" t="str">
        <f t="shared" si="0"/>
        <v>+0</v>
      </c>
      <c r="D11" s="43" t="s">
        <v>194</v>
      </c>
      <c r="E11" s="394">
        <f>10+C9+3</f>
        <v>15</v>
      </c>
      <c r="F11" s="18"/>
      <c r="G11" s="23"/>
    </row>
    <row r="12" spans="1:7" ht="16.8" x14ac:dyDescent="0.3">
      <c r="A12" s="44" t="s">
        <v>195</v>
      </c>
      <c r="B12" s="395">
        <v>7</v>
      </c>
      <c r="C12" s="36">
        <f t="shared" si="0"/>
        <v>-2</v>
      </c>
      <c r="D12" s="43" t="s">
        <v>196</v>
      </c>
      <c r="E12" s="377">
        <f>E13-C9</f>
        <v>23</v>
      </c>
      <c r="F12" s="375"/>
      <c r="G12" s="23"/>
    </row>
    <row r="13" spans="1:7" ht="17.399999999999999" thickBot="1" x14ac:dyDescent="0.35">
      <c r="A13" s="45" t="s">
        <v>197</v>
      </c>
      <c r="B13" s="396">
        <f>19</f>
        <v>19</v>
      </c>
      <c r="C13" s="46" t="str">
        <f t="shared" si="0"/>
        <v>+4</v>
      </c>
      <c r="D13" s="47" t="s">
        <v>198</v>
      </c>
      <c r="E13" s="376">
        <f>E11+SUM(Martial!B17:B21)</f>
        <v>25</v>
      </c>
      <c r="F13" s="27"/>
      <c r="G13" s="23"/>
    </row>
    <row r="14" spans="1:7" ht="24" thickTop="1" thickBot="1" x14ac:dyDescent="0.35">
      <c r="A14" s="48" t="s">
        <v>17</v>
      </c>
      <c r="B14" s="49"/>
      <c r="C14" s="49"/>
      <c r="D14" s="50"/>
      <c r="E14" s="50"/>
      <c r="F14" s="50"/>
      <c r="G14" s="51"/>
    </row>
    <row r="15" spans="1:7" s="5" customFormat="1" ht="17.399999999999999" thickTop="1" x14ac:dyDescent="0.3">
      <c r="A15" s="52"/>
      <c r="B15" s="53"/>
      <c r="C15" s="53"/>
      <c r="D15" s="53"/>
      <c r="E15" s="53"/>
      <c r="F15" s="53"/>
      <c r="G15" s="54"/>
    </row>
    <row r="16" spans="1:7" s="5" customFormat="1" ht="16.8" x14ac:dyDescent="0.3">
      <c r="A16" s="55"/>
      <c r="B16" s="56"/>
      <c r="C16" s="56"/>
      <c r="D16" s="56"/>
      <c r="E16" s="56"/>
      <c r="F16" s="56"/>
      <c r="G16" s="57"/>
    </row>
    <row r="17" spans="1:7" s="5" customFormat="1" ht="16.8" x14ac:dyDescent="0.3">
      <c r="A17" s="55"/>
      <c r="B17" s="56"/>
      <c r="C17" s="56"/>
      <c r="D17" s="56"/>
      <c r="E17" s="56"/>
      <c r="F17" s="56"/>
      <c r="G17" s="57"/>
    </row>
    <row r="18" spans="1:7" s="5" customFormat="1" ht="16.8" x14ac:dyDescent="0.3">
      <c r="A18" s="55"/>
      <c r="B18" s="56"/>
      <c r="C18" s="56"/>
      <c r="D18" s="56"/>
      <c r="E18" s="56"/>
      <c r="F18" s="56"/>
      <c r="G18" s="57"/>
    </row>
    <row r="19" spans="1:7" s="5" customFormat="1" ht="16.8" x14ac:dyDescent="0.3">
      <c r="A19" s="55"/>
      <c r="B19" s="56"/>
      <c r="C19" s="56"/>
      <c r="D19" s="56"/>
      <c r="E19" s="56"/>
      <c r="F19" s="56"/>
      <c r="G19" s="57"/>
    </row>
    <row r="20" spans="1:7" s="5" customFormat="1" ht="16.8" x14ac:dyDescent="0.3">
      <c r="A20" s="55"/>
      <c r="B20" s="56"/>
      <c r="C20" s="56"/>
      <c r="D20" s="56"/>
      <c r="E20" s="56"/>
      <c r="F20" s="56"/>
      <c r="G20" s="57"/>
    </row>
    <row r="21" spans="1:7" s="5" customFormat="1" ht="16.8" x14ac:dyDescent="0.3">
      <c r="A21" s="55"/>
      <c r="B21" s="56"/>
      <c r="C21" s="56"/>
      <c r="D21" s="56"/>
      <c r="E21" s="56"/>
      <c r="F21" s="56"/>
      <c r="G21" s="57"/>
    </row>
    <row r="22" spans="1:7" ht="17.399999999999999" thickBot="1" x14ac:dyDescent="0.35">
      <c r="A22" s="58"/>
      <c r="B22" s="59"/>
      <c r="C22" s="59"/>
      <c r="D22" s="59"/>
      <c r="E22" s="59"/>
      <c r="F22" s="59"/>
      <c r="G22" s="60"/>
    </row>
    <row r="23" spans="1:7" ht="16.2" thickTop="1" x14ac:dyDescent="0.3"/>
  </sheetData>
  <phoneticPr fontId="0" type="noConversion"/>
  <conditionalFormatting sqref="E9">
    <cfRule type="cellIs" dxfId="8" priority="4" stopIfTrue="1" operator="greaterThan">
      <formula>116</formula>
    </cfRule>
    <cfRule type="cellIs" dxfId="7" priority="5" stopIfTrue="1" operator="between">
      <formula>58</formula>
      <formula>116</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5"/>
  <sheetViews>
    <sheetView showGridLines="0" workbookViewId="0">
      <pane ySplit="2" topLeftCell="A3" activePane="bottomLeft" state="frozen"/>
      <selection pane="bottomLeft" activeCell="A3" sqref="A3"/>
    </sheetView>
  </sheetViews>
  <sheetFormatPr defaultColWidth="13" defaultRowHeight="15.6" x14ac:dyDescent="0.3"/>
  <cols>
    <col min="1" max="1" width="20.09765625" style="61" bestFit="1" customWidth="1"/>
    <col min="2" max="2" width="5.8984375" style="61" bestFit="1" customWidth="1"/>
    <col min="3" max="3" width="7.59765625" style="62" hidden="1" customWidth="1"/>
    <col min="4" max="4" width="5.8984375" style="62" hidden="1" customWidth="1"/>
    <col min="5" max="5" width="9.19921875" style="62" bestFit="1" customWidth="1"/>
    <col min="6" max="6" width="6.69921875" style="62" bestFit="1" customWidth="1"/>
    <col min="7" max="7" width="6" style="62" bestFit="1" customWidth="1"/>
    <col min="8" max="8" width="5.19921875" style="62" bestFit="1" customWidth="1"/>
    <col min="9" max="9" width="6.8984375" style="62" bestFit="1" customWidth="1"/>
    <col min="10" max="10" width="41.5" style="61" customWidth="1"/>
    <col min="11" max="16384" width="13" style="17"/>
  </cols>
  <sheetData>
    <row r="1" spans="1:11" ht="25.8" thickBot="1" x14ac:dyDescent="0.35">
      <c r="A1" s="63" t="s">
        <v>7</v>
      </c>
      <c r="B1" s="64"/>
      <c r="C1" s="64"/>
      <c r="D1" s="64"/>
      <c r="E1" s="64"/>
      <c r="F1" s="64"/>
      <c r="G1" s="64"/>
      <c r="H1" s="64"/>
      <c r="I1" s="64"/>
      <c r="J1" s="64"/>
      <c r="K1" s="238"/>
    </row>
    <row r="2" spans="1:11" s="5" customFormat="1" ht="34.200000000000003" thickBot="1" x14ac:dyDescent="0.35">
      <c r="A2" s="1" t="s">
        <v>81</v>
      </c>
      <c r="B2" s="2" t="s">
        <v>22</v>
      </c>
      <c r="C2" s="2" t="s">
        <v>29</v>
      </c>
      <c r="D2" s="2" t="s">
        <v>21</v>
      </c>
      <c r="E2" s="3" t="s">
        <v>54</v>
      </c>
      <c r="F2" s="3" t="s">
        <v>30</v>
      </c>
      <c r="G2" s="3" t="s">
        <v>56</v>
      </c>
      <c r="H2" s="296" t="s">
        <v>80</v>
      </c>
      <c r="I2" s="2" t="s">
        <v>69</v>
      </c>
      <c r="J2" s="4" t="s">
        <v>67</v>
      </c>
      <c r="K2" s="238"/>
    </row>
    <row r="3" spans="1:11" s="5" customFormat="1" ht="16.8" x14ac:dyDescent="0.3">
      <c r="A3" s="65" t="s">
        <v>58</v>
      </c>
      <c r="B3" s="66">
        <f>8</f>
        <v>8</v>
      </c>
      <c r="C3" s="67" t="s">
        <v>24</v>
      </c>
      <c r="D3" s="67" t="str">
        <f>IF(C3="Str",'Personal File'!$C$8,IF(C3="Dex",'Personal File'!$C$9,IF(C3="Con",'Personal File'!$C$10,IF(C3="Int",'Personal File'!$C$11,IF(C3="Wis",'Personal File'!$C$12,IF(C3="Cha",'Personal File'!$C$13))))))</f>
        <v>+1</v>
      </c>
      <c r="E3" s="68" t="str">
        <f t="shared" ref="E3:E5" si="0">CONCATENATE(C3," (",D3,")")</f>
        <v>Con (+1)</v>
      </c>
      <c r="F3" s="69">
        <v>0</v>
      </c>
      <c r="G3" s="70">
        <f t="shared" ref="G3:G41" si="1">B3+D3+F3</f>
        <v>9</v>
      </c>
      <c r="H3" s="71">
        <f t="shared" ref="H3:H5" ca="1" si="2">RANDBETWEEN(1,20)</f>
        <v>18</v>
      </c>
      <c r="I3" s="70">
        <f t="shared" ref="I3:I41" ca="1" si="3">SUM(G3:H3)</f>
        <v>27</v>
      </c>
      <c r="J3" s="72" t="s">
        <v>121</v>
      </c>
      <c r="K3" s="238"/>
    </row>
    <row r="4" spans="1:11" s="5" customFormat="1" ht="16.8" x14ac:dyDescent="0.3">
      <c r="A4" s="73" t="s">
        <v>59</v>
      </c>
      <c r="B4" s="66">
        <f>4</f>
        <v>4</v>
      </c>
      <c r="C4" s="67" t="s">
        <v>27</v>
      </c>
      <c r="D4" s="67" t="str">
        <f>IF(C4="Str",'Personal File'!$C$8,IF(C4="Dex",'Personal File'!$C$9,IF(C4="Con",'Personal File'!$C$10,IF(C4="Int",'Personal File'!$C$11,IF(C4="Wis",'Personal File'!$C$12,IF(C4="Cha",'Personal File'!$C$13))))))</f>
        <v>+2</v>
      </c>
      <c r="E4" s="74" t="str">
        <f t="shared" si="0"/>
        <v>Dex (+2)</v>
      </c>
      <c r="F4" s="88" t="s">
        <v>55</v>
      </c>
      <c r="G4" s="70">
        <f t="shared" si="1"/>
        <v>6</v>
      </c>
      <c r="H4" s="71">
        <f t="shared" ca="1" si="2"/>
        <v>17</v>
      </c>
      <c r="I4" s="70">
        <f t="shared" ca="1" si="3"/>
        <v>23</v>
      </c>
      <c r="J4" s="72" t="s">
        <v>121</v>
      </c>
      <c r="K4" s="238"/>
    </row>
    <row r="5" spans="1:11" s="5" customFormat="1" ht="16.8" x14ac:dyDescent="0.3">
      <c r="A5" s="75" t="s">
        <v>60</v>
      </c>
      <c r="B5" s="76">
        <f>8</f>
        <v>8</v>
      </c>
      <c r="C5" s="77" t="s">
        <v>26</v>
      </c>
      <c r="D5" s="77">
        <f>IF(C5="Str",'Personal File'!$C$8,IF(C5="Dex",'Personal File'!$C$9,IF(C5="Con",'Personal File'!$C$10,IF(C5="Int",'Personal File'!$C$11,IF(C5="Wis",'Personal File'!$C$12,IF(C5="Cha",'Personal File'!$C$13))))))</f>
        <v>-2</v>
      </c>
      <c r="E5" s="78" t="str">
        <f t="shared" si="0"/>
        <v>Wis (-2)</v>
      </c>
      <c r="F5" s="79">
        <v>0</v>
      </c>
      <c r="G5" s="80">
        <f t="shared" si="1"/>
        <v>6</v>
      </c>
      <c r="H5" s="81">
        <f t="shared" ca="1" si="2"/>
        <v>5</v>
      </c>
      <c r="I5" s="80">
        <f t="shared" ca="1" si="3"/>
        <v>11</v>
      </c>
      <c r="J5" s="82" t="s">
        <v>121</v>
      </c>
      <c r="K5" s="238"/>
    </row>
    <row r="6" spans="1:11" s="90" customFormat="1" ht="16.8" x14ac:dyDescent="0.3">
      <c r="A6" s="83" t="s">
        <v>31</v>
      </c>
      <c r="B6" s="67">
        <v>0</v>
      </c>
      <c r="C6" s="84" t="s">
        <v>25</v>
      </c>
      <c r="D6" s="85" t="str">
        <f>IF(C6="Str",'Personal File'!$C$8,IF(C6="Dex",'Personal File'!$C$9,IF(C6="Con",'Personal File'!$C$10,IF(C6="Int",'Personal File'!$C$11,IF(C6="Wis",'Personal File'!$C$12,IF(C6="Cha",'Personal File'!$C$13))))))</f>
        <v>+0</v>
      </c>
      <c r="E6" s="86" t="str">
        <f t="shared" ref="E6:E41" si="4">CONCATENATE(C6," (",D6,")")</f>
        <v>Int (+0)</v>
      </c>
      <c r="F6" s="87" t="s">
        <v>55</v>
      </c>
      <c r="G6" s="88">
        <f t="shared" si="1"/>
        <v>0</v>
      </c>
      <c r="H6" s="71">
        <f ca="1">RANDBETWEEN(1,20)</f>
        <v>19</v>
      </c>
      <c r="I6" s="88">
        <f t="shared" ca="1" si="3"/>
        <v>19</v>
      </c>
      <c r="J6" s="89"/>
      <c r="K6" s="238"/>
    </row>
    <row r="7" spans="1:11" s="94" customFormat="1" ht="16.8" x14ac:dyDescent="0.3">
      <c r="A7" s="91" t="s">
        <v>32</v>
      </c>
      <c r="B7" s="67">
        <v>0</v>
      </c>
      <c r="C7" s="92" t="s">
        <v>27</v>
      </c>
      <c r="D7" s="93" t="str">
        <f>IF(C7="Str",'Personal File'!$C$8,IF(C7="Dex",'Personal File'!$C$9,IF(C7="Con",'Personal File'!$C$10,IF(C7="Int",'Personal File'!$C$11,IF(C7="Wis",'Personal File'!$C$12,IF(C7="Cha",'Personal File'!$C$13))))))</f>
        <v>+2</v>
      </c>
      <c r="E7" s="74" t="str">
        <f t="shared" si="4"/>
        <v>Dex (+2)</v>
      </c>
      <c r="F7" s="87">
        <f>SUM(Martial!$D$17:$D$21)</f>
        <v>-2</v>
      </c>
      <c r="G7" s="88">
        <f t="shared" si="1"/>
        <v>0</v>
      </c>
      <c r="H7" s="71">
        <f t="shared" ref="H7:H41" ca="1" si="5">RANDBETWEEN(1,20)</f>
        <v>18</v>
      </c>
      <c r="I7" s="88">
        <f t="shared" ca="1" si="3"/>
        <v>18</v>
      </c>
      <c r="J7" s="89"/>
      <c r="K7" s="238"/>
    </row>
    <row r="8" spans="1:11" s="99" customFormat="1" ht="16.8" x14ac:dyDescent="0.3">
      <c r="A8" s="289" t="s">
        <v>33</v>
      </c>
      <c r="B8" s="121">
        <v>0</v>
      </c>
      <c r="C8" s="401" t="s">
        <v>23</v>
      </c>
      <c r="D8" s="402" t="str">
        <f>IF(C8="Str",'Personal File'!$C$8,IF(C8="Dex",'Personal File'!$C$9,IF(C8="Con",'Personal File'!$C$10,IF(C8="Int",'Personal File'!$C$11,IF(C8="Wis",'Personal File'!$C$12,IF(C8="Cha",'Personal File'!$C$13))))))</f>
        <v>+4</v>
      </c>
      <c r="E8" s="290" t="str">
        <f t="shared" si="4"/>
        <v>Cha (+4)</v>
      </c>
      <c r="F8" s="122" t="s">
        <v>55</v>
      </c>
      <c r="G8" s="122">
        <f t="shared" si="1"/>
        <v>4</v>
      </c>
      <c r="H8" s="71">
        <f t="shared" ca="1" si="5"/>
        <v>18</v>
      </c>
      <c r="I8" s="122">
        <f t="shared" ca="1" si="3"/>
        <v>22</v>
      </c>
      <c r="J8" s="123" t="s">
        <v>156</v>
      </c>
      <c r="K8" s="238"/>
    </row>
    <row r="9" spans="1:11" s="104" customFormat="1" ht="16.8" x14ac:dyDescent="0.3">
      <c r="A9" s="275" t="s">
        <v>34</v>
      </c>
      <c r="B9" s="121">
        <v>3</v>
      </c>
      <c r="C9" s="276" t="s">
        <v>28</v>
      </c>
      <c r="D9" s="277" t="str">
        <f>IF(C9="Str",'Personal File'!$C$8,IF(C9="Dex",'Personal File'!$C$9,IF(C9="Con",'Personal File'!$C$10,IF(C9="Int",'Personal File'!$C$11,IF(C9="Wis",'Personal File'!$C$12,IF(C9="Cha",'Personal File'!$C$13))))))</f>
        <v>+3</v>
      </c>
      <c r="E9" s="278" t="str">
        <f t="shared" si="4"/>
        <v>Str (+3)</v>
      </c>
      <c r="F9" s="122">
        <f>SUM(Martial!$D$17:$D$21)</f>
        <v>-2</v>
      </c>
      <c r="G9" s="122">
        <f t="shared" si="1"/>
        <v>4</v>
      </c>
      <c r="H9" s="71">
        <f t="shared" ca="1" si="5"/>
        <v>5</v>
      </c>
      <c r="I9" s="122">
        <f t="shared" ca="1" si="3"/>
        <v>9</v>
      </c>
      <c r="J9" s="123"/>
      <c r="K9" s="238"/>
    </row>
    <row r="10" spans="1:11" s="104" customFormat="1" ht="16.8" x14ac:dyDescent="0.3">
      <c r="A10" s="279" t="s">
        <v>8</v>
      </c>
      <c r="B10" s="67">
        <v>0</v>
      </c>
      <c r="C10" s="280" t="s">
        <v>24</v>
      </c>
      <c r="D10" s="281" t="str">
        <f>IF(C10="Str",'Personal File'!$C$8,IF(C10="Dex",'Personal File'!$C$9,IF(C10="Con",'Personal File'!$C$10,IF(C10="Int",'Personal File'!$C$11,IF(C10="Wis",'Personal File'!$C$12,IF(C10="Cha",'Personal File'!$C$13))))))</f>
        <v>+1</v>
      </c>
      <c r="E10" s="282" t="str">
        <f t="shared" si="4"/>
        <v>Con (+1)</v>
      </c>
      <c r="F10" s="88" t="s">
        <v>55</v>
      </c>
      <c r="G10" s="88">
        <f t="shared" si="1"/>
        <v>1</v>
      </c>
      <c r="H10" s="71">
        <f t="shared" ca="1" si="5"/>
        <v>11</v>
      </c>
      <c r="I10" s="88">
        <f t="shared" ca="1" si="3"/>
        <v>12</v>
      </c>
      <c r="J10" s="89"/>
      <c r="K10" s="238"/>
    </row>
    <row r="11" spans="1:11" s="90" customFormat="1" ht="16.8" x14ac:dyDescent="0.3">
      <c r="A11" s="83" t="s">
        <v>129</v>
      </c>
      <c r="B11" s="67">
        <v>0</v>
      </c>
      <c r="C11" s="84" t="s">
        <v>25</v>
      </c>
      <c r="D11" s="85" t="str">
        <f>IF(C11="Str",'Personal File'!$C$8,IF(C11="Dex",'Personal File'!$C$9,IF(C11="Con",'Personal File'!$C$10,IF(C11="Int",'Personal File'!$C$11,IF(C11="Wis",'Personal File'!$C$12,IF(C11="Cha",'Personal File'!$C$13))))))</f>
        <v>+0</v>
      </c>
      <c r="E11" s="86" t="str">
        <f t="shared" si="4"/>
        <v>Int (+0)</v>
      </c>
      <c r="F11" s="88" t="s">
        <v>55</v>
      </c>
      <c r="G11" s="88">
        <f t="shared" si="1"/>
        <v>0</v>
      </c>
      <c r="H11" s="71">
        <f t="shared" ca="1" si="5"/>
        <v>8</v>
      </c>
      <c r="I11" s="88">
        <f t="shared" ca="1" si="3"/>
        <v>8</v>
      </c>
      <c r="J11" s="89"/>
      <c r="K11" s="238"/>
    </row>
    <row r="12" spans="1:11" s="112" customFormat="1" ht="16.8" x14ac:dyDescent="0.3">
      <c r="A12" s="105" t="s">
        <v>35</v>
      </c>
      <c r="B12" s="106">
        <v>0</v>
      </c>
      <c r="C12" s="107" t="s">
        <v>25</v>
      </c>
      <c r="D12" s="108" t="str">
        <f>IF(C12="Str",'Personal File'!$C$8,IF(C12="Dex",'Personal File'!$C$9,IF(C12="Con",'Personal File'!$C$10,IF(C12="Int",'Personal File'!$C$11,IF(C12="Wis",'Personal File'!$C$12,IF(C12="Cha",'Personal File'!$C$13))))))</f>
        <v>+0</v>
      </c>
      <c r="E12" s="109" t="str">
        <f t="shared" si="4"/>
        <v>Int (+0)</v>
      </c>
      <c r="F12" s="110" t="s">
        <v>55</v>
      </c>
      <c r="G12" s="110">
        <f t="shared" si="1"/>
        <v>0</v>
      </c>
      <c r="H12" s="71">
        <f t="shared" ca="1" si="5"/>
        <v>15</v>
      </c>
      <c r="I12" s="110">
        <f t="shared" ca="1" si="3"/>
        <v>15</v>
      </c>
      <c r="J12" s="111"/>
      <c r="K12" s="238"/>
    </row>
    <row r="13" spans="1:11" s="94" customFormat="1" ht="16.8" x14ac:dyDescent="0.3">
      <c r="A13" s="95" t="s">
        <v>36</v>
      </c>
      <c r="B13" s="67">
        <v>0</v>
      </c>
      <c r="C13" s="96" t="s">
        <v>23</v>
      </c>
      <c r="D13" s="97" t="str">
        <f>IF(C13="Str",'Personal File'!$C$8,IF(C13="Dex",'Personal File'!$C$9,IF(C13="Con",'Personal File'!$C$10,IF(C13="Int",'Personal File'!$C$11,IF(C13="Wis",'Personal File'!$C$12,IF(C13="Cha",'Personal File'!$C$13))))))</f>
        <v>+4</v>
      </c>
      <c r="E13" s="98" t="str">
        <f t="shared" si="4"/>
        <v>Cha (+4)</v>
      </c>
      <c r="F13" s="88" t="s">
        <v>55</v>
      </c>
      <c r="G13" s="88">
        <f t="shared" si="1"/>
        <v>4</v>
      </c>
      <c r="H13" s="71">
        <f t="shared" ca="1" si="5"/>
        <v>4</v>
      </c>
      <c r="I13" s="88">
        <f t="shared" ca="1" si="3"/>
        <v>8</v>
      </c>
      <c r="J13" s="113"/>
      <c r="K13" s="238"/>
    </row>
    <row r="14" spans="1:11" s="94" customFormat="1" ht="16.8" x14ac:dyDescent="0.3">
      <c r="A14" s="105" t="s">
        <v>37</v>
      </c>
      <c r="B14" s="106">
        <v>0</v>
      </c>
      <c r="C14" s="107" t="s">
        <v>25</v>
      </c>
      <c r="D14" s="108" t="str">
        <f>IF(C14="Str",'Personal File'!$C$8,IF(C14="Dex",'Personal File'!$C$9,IF(C14="Con",'Personal File'!$C$10,IF(C14="Int",'Personal File'!$C$11,IF(C14="Wis",'Personal File'!$C$12,IF(C14="Cha",'Personal File'!$C$13))))))</f>
        <v>+0</v>
      </c>
      <c r="E14" s="109" t="str">
        <f t="shared" si="4"/>
        <v>Int (+0)</v>
      </c>
      <c r="F14" s="110" t="s">
        <v>55</v>
      </c>
      <c r="G14" s="110">
        <f t="shared" si="1"/>
        <v>0</v>
      </c>
      <c r="H14" s="71">
        <f t="shared" ca="1" si="5"/>
        <v>12</v>
      </c>
      <c r="I14" s="110">
        <f t="shared" ca="1" si="3"/>
        <v>12</v>
      </c>
      <c r="J14" s="111"/>
      <c r="K14" s="238"/>
    </row>
    <row r="15" spans="1:11" s="94" customFormat="1" ht="16.8" x14ac:dyDescent="0.3">
      <c r="A15" s="95" t="s">
        <v>38</v>
      </c>
      <c r="B15" s="67">
        <v>0</v>
      </c>
      <c r="C15" s="96" t="s">
        <v>23</v>
      </c>
      <c r="D15" s="97" t="str">
        <f>IF(C15="Str",'Personal File'!$C$8,IF(C15="Dex",'Personal File'!$C$9,IF(C15="Con",'Personal File'!$C$10,IF(C15="Int",'Personal File'!$C$11,IF(C15="Wis",'Personal File'!$C$12,IF(C15="Cha",'Personal File'!$C$13))))))</f>
        <v>+4</v>
      </c>
      <c r="E15" s="98" t="str">
        <f t="shared" si="4"/>
        <v>Cha (+4)</v>
      </c>
      <c r="F15" s="88" t="s">
        <v>55</v>
      </c>
      <c r="G15" s="88">
        <f t="shared" si="1"/>
        <v>4</v>
      </c>
      <c r="H15" s="71">
        <f t="shared" ca="1" si="5"/>
        <v>2</v>
      </c>
      <c r="I15" s="88">
        <f t="shared" ca="1" si="3"/>
        <v>6</v>
      </c>
      <c r="J15" s="89"/>
      <c r="K15" s="238"/>
    </row>
    <row r="16" spans="1:11" s="94" customFormat="1" ht="16.8" x14ac:dyDescent="0.3">
      <c r="A16" s="91" t="s">
        <v>39</v>
      </c>
      <c r="B16" s="67">
        <v>0</v>
      </c>
      <c r="C16" s="92" t="s">
        <v>27</v>
      </c>
      <c r="D16" s="93" t="str">
        <f>IF(C16="Str",'Personal File'!$C$8,IF(C16="Dex",'Personal File'!$C$9,IF(C16="Con",'Personal File'!$C$10,IF(C16="Int",'Personal File'!$C$11,IF(C16="Wis",'Personal File'!$C$12,IF(C16="Cha",'Personal File'!$C$13))))))</f>
        <v>+2</v>
      </c>
      <c r="E16" s="74" t="str">
        <f t="shared" si="4"/>
        <v>Dex (+2)</v>
      </c>
      <c r="F16" s="87">
        <f>SUM(Martial!$D$17:$D$21)</f>
        <v>-2</v>
      </c>
      <c r="G16" s="88">
        <f t="shared" si="1"/>
        <v>0</v>
      </c>
      <c r="H16" s="71">
        <f t="shared" ca="1" si="5"/>
        <v>16</v>
      </c>
      <c r="I16" s="88">
        <f t="shared" ca="1" si="3"/>
        <v>16</v>
      </c>
      <c r="J16" s="89"/>
      <c r="K16" s="238"/>
    </row>
    <row r="17" spans="1:11" s="94" customFormat="1" ht="16.8" x14ac:dyDescent="0.3">
      <c r="A17" s="114" t="s">
        <v>40</v>
      </c>
      <c r="B17" s="115">
        <v>0</v>
      </c>
      <c r="C17" s="116" t="s">
        <v>25</v>
      </c>
      <c r="D17" s="117" t="str">
        <f>IF(C17="Str",'Personal File'!$C$8,IF(C17="Dex",'Personal File'!$C$9,IF(C17="Con",'Personal File'!$C$10,IF(C17="Int",'Personal File'!$C$11,IF(C17="Wis",'Personal File'!$C$12,IF(C17="Cha",'Personal File'!$C$13))))))</f>
        <v>+0</v>
      </c>
      <c r="E17" s="118" t="str">
        <f t="shared" si="4"/>
        <v>Int (+0)</v>
      </c>
      <c r="F17" s="119" t="s">
        <v>55</v>
      </c>
      <c r="G17" s="119">
        <f t="shared" si="1"/>
        <v>0</v>
      </c>
      <c r="H17" s="71">
        <f t="shared" ca="1" si="5"/>
        <v>19</v>
      </c>
      <c r="I17" s="119">
        <f t="shared" ca="1" si="3"/>
        <v>19</v>
      </c>
      <c r="J17" s="120"/>
      <c r="K17" s="238"/>
    </row>
    <row r="18" spans="1:11" s="94" customFormat="1" ht="16.8" x14ac:dyDescent="0.3">
      <c r="A18" s="289" t="s">
        <v>41</v>
      </c>
      <c r="B18" s="121">
        <v>0</v>
      </c>
      <c r="C18" s="401" t="s">
        <v>23</v>
      </c>
      <c r="D18" s="402" t="str">
        <f>IF(C18="Str",'Personal File'!$C$8,IF(C18="Dex",'Personal File'!$C$9,IF(C18="Con",'Personal File'!$C$10,IF(C18="Int",'Personal File'!$C$11,IF(C18="Wis",'Personal File'!$C$12,IF(C18="Cha",'Personal File'!$C$13))))))</f>
        <v>+4</v>
      </c>
      <c r="E18" s="290" t="str">
        <f t="shared" si="4"/>
        <v>Cha (+4)</v>
      </c>
      <c r="F18" s="122" t="s">
        <v>55</v>
      </c>
      <c r="G18" s="122">
        <f t="shared" si="1"/>
        <v>4</v>
      </c>
      <c r="H18" s="71">
        <f t="shared" ca="1" si="5"/>
        <v>17</v>
      </c>
      <c r="I18" s="122">
        <f t="shared" ca="1" si="3"/>
        <v>21</v>
      </c>
      <c r="J18" s="123" t="s">
        <v>156</v>
      </c>
      <c r="K18" s="238"/>
    </row>
    <row r="19" spans="1:11" s="94" customFormat="1" ht="16.8" x14ac:dyDescent="0.3">
      <c r="A19" s="95" t="s">
        <v>10</v>
      </c>
      <c r="B19" s="67">
        <v>0</v>
      </c>
      <c r="C19" s="96" t="s">
        <v>23</v>
      </c>
      <c r="D19" s="97" t="str">
        <f>IF(C19="Str",'Personal File'!$C$8,IF(C19="Dex",'Personal File'!$C$9,IF(C19="Con",'Personal File'!$C$10,IF(C19="Int",'Personal File'!$C$11,IF(C19="Wis",'Personal File'!$C$12,IF(C19="Cha",'Personal File'!$C$13))))))</f>
        <v>+4</v>
      </c>
      <c r="E19" s="98" t="str">
        <f t="shared" si="4"/>
        <v>Cha (+4)</v>
      </c>
      <c r="F19" s="88" t="s">
        <v>55</v>
      </c>
      <c r="G19" s="88">
        <f t="shared" si="1"/>
        <v>4</v>
      </c>
      <c r="H19" s="71">
        <f t="shared" ca="1" si="5"/>
        <v>2</v>
      </c>
      <c r="I19" s="88">
        <f t="shared" ca="1" si="3"/>
        <v>6</v>
      </c>
      <c r="J19" s="89"/>
      <c r="K19" s="238"/>
    </row>
    <row r="20" spans="1:11" s="94" customFormat="1" ht="16.8" x14ac:dyDescent="0.3">
      <c r="A20" s="124" t="s">
        <v>42</v>
      </c>
      <c r="B20" s="67">
        <v>0</v>
      </c>
      <c r="C20" s="125" t="s">
        <v>26</v>
      </c>
      <c r="D20" s="126">
        <f>IF(C20="Str",'Personal File'!$C$8,IF(C20="Dex",'Personal File'!$C$9,IF(C20="Con",'Personal File'!$C$10,IF(C20="Int",'Personal File'!$C$11,IF(C20="Wis",'Personal File'!$C$12,IF(C20="Cha",'Personal File'!$C$13))))))</f>
        <v>-2</v>
      </c>
      <c r="E20" s="127" t="str">
        <f t="shared" si="4"/>
        <v>Wis (-2)</v>
      </c>
      <c r="F20" s="88" t="s">
        <v>55</v>
      </c>
      <c r="G20" s="88">
        <f t="shared" si="1"/>
        <v>-2</v>
      </c>
      <c r="H20" s="71">
        <f t="shared" ca="1" si="5"/>
        <v>15</v>
      </c>
      <c r="I20" s="88">
        <f t="shared" ca="1" si="3"/>
        <v>13</v>
      </c>
      <c r="J20" s="89"/>
      <c r="K20" s="238"/>
    </row>
    <row r="21" spans="1:11" s="94" customFormat="1" ht="16.8" x14ac:dyDescent="0.3">
      <c r="A21" s="91" t="s">
        <v>43</v>
      </c>
      <c r="B21" s="67">
        <v>3</v>
      </c>
      <c r="C21" s="92" t="s">
        <v>27</v>
      </c>
      <c r="D21" s="93" t="str">
        <f>IF(C21="Str",'Personal File'!$C$8,IF(C21="Dex",'Personal File'!$C$9,IF(C21="Con",'Personal File'!$C$10,IF(C21="Int",'Personal File'!$C$11,IF(C21="Wis",'Personal File'!$C$12,IF(C21="Cha",'Personal File'!$C$13))))))</f>
        <v>+2</v>
      </c>
      <c r="E21" s="74" t="str">
        <f t="shared" si="4"/>
        <v>Dex (+2)</v>
      </c>
      <c r="F21" s="87">
        <f>SUM(Martial!$D$17:$D$21)+3</f>
        <v>1</v>
      </c>
      <c r="G21" s="88">
        <f t="shared" si="1"/>
        <v>6</v>
      </c>
      <c r="H21" s="71">
        <f t="shared" ca="1" si="5"/>
        <v>8</v>
      </c>
      <c r="I21" s="88">
        <f t="shared" ca="1" si="3"/>
        <v>14</v>
      </c>
      <c r="J21" s="89"/>
      <c r="K21" s="238"/>
    </row>
    <row r="22" spans="1:11" s="94" customFormat="1" ht="16.8" x14ac:dyDescent="0.3">
      <c r="A22" s="289" t="s">
        <v>44</v>
      </c>
      <c r="B22" s="121">
        <v>5</v>
      </c>
      <c r="C22" s="308" t="s">
        <v>23</v>
      </c>
      <c r="D22" s="309" t="str">
        <f>IF(C22="Str",'Personal File'!$C$8,IF(C22="Dex",'Personal File'!$C$9,IF(C22="Con",'Personal File'!$C$10,IF(C22="Int",'Personal File'!$C$11,IF(C22="Wis",'Personal File'!$C$12,IF(C22="Cha",'Personal File'!$C$13))))))</f>
        <v>+4</v>
      </c>
      <c r="E22" s="290" t="str">
        <f t="shared" si="4"/>
        <v>Cha (+4)</v>
      </c>
      <c r="F22" s="122" t="s">
        <v>55</v>
      </c>
      <c r="G22" s="122">
        <f t="shared" si="1"/>
        <v>9</v>
      </c>
      <c r="H22" s="71">
        <f t="shared" ca="1" si="5"/>
        <v>7</v>
      </c>
      <c r="I22" s="122">
        <f t="shared" ca="1" si="3"/>
        <v>16</v>
      </c>
      <c r="J22" s="123"/>
      <c r="K22" s="238"/>
    </row>
    <row r="23" spans="1:11" s="94" customFormat="1" ht="16.8" x14ac:dyDescent="0.3">
      <c r="A23" s="100" t="s">
        <v>45</v>
      </c>
      <c r="B23" s="67">
        <v>0</v>
      </c>
      <c r="C23" s="101" t="s">
        <v>28</v>
      </c>
      <c r="D23" s="102" t="str">
        <f>IF(C23="Str",'Personal File'!$C$8,IF(C23="Dex",'Personal File'!$C$9,IF(C23="Con",'Personal File'!$C$10,IF(C23="Int",'Personal File'!$C$11,IF(C23="Wis",'Personal File'!$C$12,IF(C23="Cha",'Personal File'!$C$13))))))</f>
        <v>+3</v>
      </c>
      <c r="E23" s="103" t="str">
        <f t="shared" si="4"/>
        <v>Str (+3)</v>
      </c>
      <c r="F23" s="88">
        <f>SUM(Martial!$D$17:$D$21)</f>
        <v>-2</v>
      </c>
      <c r="G23" s="88">
        <f t="shared" si="1"/>
        <v>1</v>
      </c>
      <c r="H23" s="71">
        <f t="shared" ca="1" si="5"/>
        <v>4</v>
      </c>
      <c r="I23" s="88">
        <f t="shared" ca="1" si="3"/>
        <v>5</v>
      </c>
      <c r="J23" s="89"/>
      <c r="K23" s="238"/>
    </row>
    <row r="24" spans="1:11" s="94" customFormat="1" ht="16.8" x14ac:dyDescent="0.3">
      <c r="A24" s="291" t="s">
        <v>163</v>
      </c>
      <c r="B24" s="121">
        <v>2</v>
      </c>
      <c r="C24" s="292" t="s">
        <v>25</v>
      </c>
      <c r="D24" s="293" t="str">
        <f>IF(C24="Str",'Personal File'!$C$8,IF(C24="Dex",'Personal File'!$C$9,IF(C24="Con",'Personal File'!$C$10,IF(C24="Int",'Personal File'!$C$11,IF(C24="Wis",'Personal File'!$C$12,IF(C24="Cha",'Personal File'!$C$13))))))</f>
        <v>+0</v>
      </c>
      <c r="E24" s="294" t="str">
        <f>CONCATENATE(C24," (",D24,")")</f>
        <v>Int (+0)</v>
      </c>
      <c r="F24" s="122" t="s">
        <v>55</v>
      </c>
      <c r="G24" s="122">
        <f t="shared" si="1"/>
        <v>2</v>
      </c>
      <c r="H24" s="71">
        <f t="shared" ca="1" si="5"/>
        <v>10</v>
      </c>
      <c r="I24" s="122">
        <f t="shared" ca="1" si="3"/>
        <v>12</v>
      </c>
      <c r="J24" s="123"/>
      <c r="K24" s="238"/>
    </row>
    <row r="25" spans="1:11" s="94" customFormat="1" ht="16.8" x14ac:dyDescent="0.3">
      <c r="A25" s="124" t="s">
        <v>46</v>
      </c>
      <c r="B25" s="67">
        <v>0</v>
      </c>
      <c r="C25" s="125" t="s">
        <v>26</v>
      </c>
      <c r="D25" s="126">
        <f>IF(C25="Str",'Personal File'!$C$8,IF(C25="Dex",'Personal File'!$C$9,IF(C25="Con",'Personal File'!$C$10,IF(C25="Int",'Personal File'!$C$11,IF(C25="Wis",'Personal File'!$C$12,IF(C25="Cha",'Personal File'!$C$13))))))</f>
        <v>-2</v>
      </c>
      <c r="E25" s="127" t="str">
        <f t="shared" si="4"/>
        <v>Wis (-2)</v>
      </c>
      <c r="F25" s="88" t="s">
        <v>55</v>
      </c>
      <c r="G25" s="88">
        <f t="shared" si="1"/>
        <v>-2</v>
      </c>
      <c r="H25" s="71">
        <f t="shared" ca="1" si="5"/>
        <v>5</v>
      </c>
      <c r="I25" s="88">
        <f t="shared" ca="1" si="3"/>
        <v>3</v>
      </c>
      <c r="J25" s="89" t="s">
        <v>116</v>
      </c>
      <c r="K25" s="238"/>
    </row>
    <row r="26" spans="1:11" s="94" customFormat="1" ht="16.8" x14ac:dyDescent="0.3">
      <c r="A26" s="91" t="s">
        <v>11</v>
      </c>
      <c r="B26" s="67">
        <v>0</v>
      </c>
      <c r="C26" s="92" t="s">
        <v>27</v>
      </c>
      <c r="D26" s="93" t="str">
        <f>IF(C26="Str",'Personal File'!$C$8,IF(C26="Dex",'Personal File'!$C$9,IF(C26="Con",'Personal File'!$C$10,IF(C26="Int",'Personal File'!$C$11,IF(C26="Wis",'Personal File'!$C$12,IF(C26="Cha",'Personal File'!$C$13))))))</f>
        <v>+2</v>
      </c>
      <c r="E26" s="74" t="str">
        <f t="shared" si="4"/>
        <v>Dex (+2)</v>
      </c>
      <c r="F26" s="87">
        <f>SUM(Martial!$D$17:$D$21)</f>
        <v>-2</v>
      </c>
      <c r="G26" s="88">
        <f t="shared" si="1"/>
        <v>0</v>
      </c>
      <c r="H26" s="71">
        <f t="shared" ca="1" si="5"/>
        <v>7</v>
      </c>
      <c r="I26" s="88">
        <f t="shared" ca="1" si="3"/>
        <v>7</v>
      </c>
      <c r="J26" s="89"/>
      <c r="K26" s="238"/>
    </row>
    <row r="27" spans="1:11" s="94" customFormat="1" ht="16.8" x14ac:dyDescent="0.3">
      <c r="A27" s="128" t="s">
        <v>47</v>
      </c>
      <c r="B27" s="106">
        <v>0</v>
      </c>
      <c r="C27" s="129" t="s">
        <v>27</v>
      </c>
      <c r="D27" s="130" t="str">
        <f>IF(C27="Str",'Personal File'!$C$8,IF(C27="Dex",'Personal File'!$C$9,IF(C27="Con",'Personal File'!$C$10,IF(C27="Int",'Personal File'!$C$11,IF(C27="Wis",'Personal File'!$C$12,IF(C27="Cha",'Personal File'!$C$13))))))</f>
        <v>+2</v>
      </c>
      <c r="E27" s="131" t="str">
        <f t="shared" si="4"/>
        <v>Dex (+2)</v>
      </c>
      <c r="F27" s="110" t="s">
        <v>55</v>
      </c>
      <c r="G27" s="110">
        <f t="shared" si="1"/>
        <v>2</v>
      </c>
      <c r="H27" s="71">
        <f t="shared" ca="1" si="5"/>
        <v>20</v>
      </c>
      <c r="I27" s="110">
        <f t="shared" ca="1" si="3"/>
        <v>22</v>
      </c>
      <c r="J27" s="111"/>
      <c r="K27" s="238"/>
    </row>
    <row r="28" spans="1:11" ht="16.8" x14ac:dyDescent="0.3">
      <c r="A28" s="95" t="s">
        <v>83</v>
      </c>
      <c r="B28" s="67">
        <v>0</v>
      </c>
      <c r="C28" s="96" t="s">
        <v>23</v>
      </c>
      <c r="D28" s="97" t="str">
        <f>IF(C28="Str",'Personal File'!$C$8,IF(C28="Dex",'Personal File'!$C$9,IF(C28="Con",'Personal File'!$C$10,IF(C28="Int",'Personal File'!$C$11,IF(C28="Wis",'Personal File'!$C$12,IF(C28="Cha",'Personal File'!$C$13))))))</f>
        <v>+4</v>
      </c>
      <c r="E28" s="98" t="str">
        <f t="shared" si="4"/>
        <v>Cha (+4)</v>
      </c>
      <c r="F28" s="88" t="s">
        <v>55</v>
      </c>
      <c r="G28" s="88">
        <f t="shared" si="1"/>
        <v>4</v>
      </c>
      <c r="H28" s="71">
        <f t="shared" ca="1" si="5"/>
        <v>11</v>
      </c>
      <c r="I28" s="88">
        <f t="shared" ca="1" si="3"/>
        <v>15</v>
      </c>
      <c r="J28" s="89"/>
      <c r="K28" s="238"/>
    </row>
    <row r="29" spans="1:11" ht="16.8" x14ac:dyDescent="0.3">
      <c r="A29" s="132" t="s">
        <v>84</v>
      </c>
      <c r="B29" s="133">
        <v>0</v>
      </c>
      <c r="C29" s="134" t="s">
        <v>26</v>
      </c>
      <c r="D29" s="135">
        <f>IF(C29="Str",'Personal File'!$C$8,IF(C29="Dex",'Personal File'!$C$9,IF(C29="Con",'Personal File'!$C$10,IF(C29="Int",'Personal File'!$C$11,IF(C29="Wis",'Personal File'!$C$12,IF(C29="Cha",'Personal File'!$C$13))))))</f>
        <v>-2</v>
      </c>
      <c r="E29" s="136" t="str">
        <f t="shared" ref="E29" si="6">CONCATENATE(C29," (",D29,")")</f>
        <v>Wis (-2)</v>
      </c>
      <c r="F29" s="137" t="s">
        <v>55</v>
      </c>
      <c r="G29" s="138">
        <f t="shared" si="1"/>
        <v>-2</v>
      </c>
      <c r="H29" s="71">
        <f t="shared" ca="1" si="5"/>
        <v>11</v>
      </c>
      <c r="I29" s="138">
        <f t="shared" ca="1" si="3"/>
        <v>9</v>
      </c>
      <c r="J29" s="139"/>
      <c r="K29" s="238"/>
    </row>
    <row r="30" spans="1:11" ht="16.8" x14ac:dyDescent="0.3">
      <c r="A30" s="91" t="s">
        <v>12</v>
      </c>
      <c r="B30" s="67">
        <v>0</v>
      </c>
      <c r="C30" s="92" t="s">
        <v>27</v>
      </c>
      <c r="D30" s="93" t="str">
        <f>IF(C30="Str",'Personal File'!$C$8,IF(C30="Dex",'Personal File'!$C$9,IF(C30="Con",'Personal File'!$C$10,IF(C30="Int",'Personal File'!$C$11,IF(C30="Wis",'Personal File'!$C$12,IF(C30="Cha",'Personal File'!$C$13))))))</f>
        <v>+2</v>
      </c>
      <c r="E30" s="74" t="str">
        <f t="shared" si="4"/>
        <v>Dex (+2)</v>
      </c>
      <c r="F30" s="88" t="s">
        <v>55</v>
      </c>
      <c r="G30" s="88">
        <f t="shared" si="1"/>
        <v>2</v>
      </c>
      <c r="H30" s="71">
        <f t="shared" ca="1" si="5"/>
        <v>1</v>
      </c>
      <c r="I30" s="88">
        <f t="shared" ca="1" si="3"/>
        <v>3</v>
      </c>
      <c r="J30" s="89"/>
      <c r="K30" s="238"/>
    </row>
    <row r="31" spans="1:11" ht="16.8" x14ac:dyDescent="0.3">
      <c r="A31" s="291" t="s">
        <v>13</v>
      </c>
      <c r="B31" s="121">
        <v>8</v>
      </c>
      <c r="C31" s="292" t="s">
        <v>25</v>
      </c>
      <c r="D31" s="293" t="str">
        <f>IF(C31="Str",'Personal File'!$C$8,IF(C31="Dex",'Personal File'!$C$9,IF(C31="Con",'Personal File'!$C$10,IF(C31="Int",'Personal File'!$C$11,IF(C31="Wis",'Personal File'!$C$12,IF(C31="Cha",'Personal File'!$C$13))))))</f>
        <v>+0</v>
      </c>
      <c r="E31" s="294" t="str">
        <f t="shared" si="4"/>
        <v>Int (+0)</v>
      </c>
      <c r="F31" s="122" t="s">
        <v>55</v>
      </c>
      <c r="G31" s="122">
        <f t="shared" si="1"/>
        <v>8</v>
      </c>
      <c r="H31" s="71">
        <f t="shared" ca="1" si="5"/>
        <v>13</v>
      </c>
      <c r="I31" s="122">
        <f t="shared" ca="1" si="3"/>
        <v>21</v>
      </c>
      <c r="J31" s="123"/>
      <c r="K31" s="238"/>
    </row>
    <row r="32" spans="1:11" ht="16.8" x14ac:dyDescent="0.3">
      <c r="A32" s="124" t="s">
        <v>48</v>
      </c>
      <c r="B32" s="67">
        <v>0</v>
      </c>
      <c r="C32" s="125" t="s">
        <v>26</v>
      </c>
      <c r="D32" s="126">
        <f>IF(C32="Str",'Personal File'!$C$8,IF(C32="Dex",'Personal File'!$C$9,IF(C32="Con",'Personal File'!$C$10,IF(C32="Int",'Personal File'!$C$11,IF(C32="Wis",'Personal File'!$C$12,IF(C32="Cha",'Personal File'!$C$13))))))</f>
        <v>-2</v>
      </c>
      <c r="E32" s="127" t="str">
        <f t="shared" si="4"/>
        <v>Wis (-2)</v>
      </c>
      <c r="F32" s="88" t="s">
        <v>55</v>
      </c>
      <c r="G32" s="88">
        <f t="shared" si="1"/>
        <v>-2</v>
      </c>
      <c r="H32" s="71">
        <f t="shared" ca="1" si="5"/>
        <v>3</v>
      </c>
      <c r="I32" s="88">
        <f t="shared" ca="1" si="3"/>
        <v>1</v>
      </c>
      <c r="J32" s="89"/>
      <c r="K32" s="238"/>
    </row>
    <row r="33" spans="1:11" ht="16.8" x14ac:dyDescent="0.3">
      <c r="A33" s="128" t="s">
        <v>73</v>
      </c>
      <c r="B33" s="106">
        <v>0</v>
      </c>
      <c r="C33" s="129" t="s">
        <v>27</v>
      </c>
      <c r="D33" s="130" t="str">
        <f>IF(C33="Str",'Personal File'!$C$8,IF(C33="Dex",'Personal File'!$C$9,IF(C33="Con",'Personal File'!$C$10,IF(C33="Int",'Personal File'!$C$11,IF(C33="Wis",'Personal File'!$C$12,IF(C33="Cha",'Personal File'!$C$13))))))</f>
        <v>+2</v>
      </c>
      <c r="E33" s="131" t="str">
        <f t="shared" si="4"/>
        <v>Dex (+2)</v>
      </c>
      <c r="F33" s="137">
        <f>SUM(Martial!$D$17:$D$21)</f>
        <v>-2</v>
      </c>
      <c r="G33" s="110">
        <f t="shared" si="1"/>
        <v>0</v>
      </c>
      <c r="H33" s="71">
        <f t="shared" ca="1" si="5"/>
        <v>10</v>
      </c>
      <c r="I33" s="110">
        <f t="shared" ca="1" si="3"/>
        <v>10</v>
      </c>
      <c r="J33" s="111"/>
      <c r="K33" s="238"/>
    </row>
    <row r="34" spans="1:11" ht="16.8" x14ac:dyDescent="0.3">
      <c r="A34" s="140" t="s">
        <v>72</v>
      </c>
      <c r="B34" s="133">
        <v>0</v>
      </c>
      <c r="C34" s="141" t="s">
        <v>25</v>
      </c>
      <c r="D34" s="142" t="str">
        <f>IF(C34="Str",'Personal File'!$C$8,IF(C34="Dex",'Personal File'!$C$9,IF(C34="Con",'Personal File'!$C$10,IF(C34="Int",'Personal File'!$C$11,IF(C34="Wis",'Personal File'!$C$12,IF(C34="Cha",'Personal File'!$C$13))))))</f>
        <v>+0</v>
      </c>
      <c r="E34" s="143" t="str">
        <f t="shared" si="4"/>
        <v>Int (+0)</v>
      </c>
      <c r="F34" s="137" t="s">
        <v>55</v>
      </c>
      <c r="G34" s="110">
        <f t="shared" si="1"/>
        <v>0</v>
      </c>
      <c r="H34" s="71">
        <f t="shared" ca="1" si="5"/>
        <v>4</v>
      </c>
      <c r="I34" s="110">
        <f t="shared" ca="1" si="3"/>
        <v>4</v>
      </c>
      <c r="J34" s="144"/>
      <c r="K34" s="238"/>
    </row>
    <row r="35" spans="1:11" ht="16.8" x14ac:dyDescent="0.3">
      <c r="A35" s="140" t="s">
        <v>49</v>
      </c>
      <c r="B35" s="133">
        <v>0</v>
      </c>
      <c r="C35" s="141" t="s">
        <v>25</v>
      </c>
      <c r="D35" s="142" t="str">
        <f>IF(C35="Str",'Personal File'!$C$8,IF(C35="Dex",'Personal File'!$C$9,IF(C35="Con",'Personal File'!$C$10,IF(C35="Int",'Personal File'!$C$11,IF(C35="Wis",'Personal File'!$C$12,IF(C35="Cha",'Personal File'!$C$13))))))</f>
        <v>+0</v>
      </c>
      <c r="E35" s="143" t="str">
        <f t="shared" si="4"/>
        <v>Int (+0)</v>
      </c>
      <c r="F35" s="137" t="s">
        <v>55</v>
      </c>
      <c r="G35" s="137">
        <f t="shared" si="1"/>
        <v>0</v>
      </c>
      <c r="H35" s="71">
        <f t="shared" ca="1" si="5"/>
        <v>17</v>
      </c>
      <c r="I35" s="137">
        <f t="shared" ca="1" si="3"/>
        <v>17</v>
      </c>
      <c r="J35" s="144"/>
      <c r="K35" s="238"/>
    </row>
    <row r="36" spans="1:11" ht="16.8" x14ac:dyDescent="0.3">
      <c r="A36" s="124" t="s">
        <v>50</v>
      </c>
      <c r="B36" s="67">
        <v>0</v>
      </c>
      <c r="C36" s="125" t="s">
        <v>26</v>
      </c>
      <c r="D36" s="126">
        <f>IF(C36="Str",'Personal File'!$C$8,IF(C36="Dex",'Personal File'!$C$9,IF(C36="Con",'Personal File'!$C$10,IF(C36="Int",'Personal File'!$C$11,IF(C36="Wis",'Personal File'!$C$12,IF(C36="Cha",'Personal File'!$C$13))))))</f>
        <v>-2</v>
      </c>
      <c r="E36" s="127" t="str">
        <f t="shared" si="4"/>
        <v>Wis (-2)</v>
      </c>
      <c r="F36" s="88" t="s">
        <v>55</v>
      </c>
      <c r="G36" s="88">
        <f t="shared" si="1"/>
        <v>-2</v>
      </c>
      <c r="H36" s="71">
        <f t="shared" ca="1" si="5"/>
        <v>16</v>
      </c>
      <c r="I36" s="88">
        <f t="shared" ca="1" si="3"/>
        <v>14</v>
      </c>
      <c r="J36" s="89" t="s">
        <v>116</v>
      </c>
      <c r="K36" s="238"/>
    </row>
    <row r="37" spans="1:11" ht="16.8" x14ac:dyDescent="0.3">
      <c r="A37" s="397" t="s">
        <v>74</v>
      </c>
      <c r="B37" s="121">
        <v>0</v>
      </c>
      <c r="C37" s="398" t="s">
        <v>26</v>
      </c>
      <c r="D37" s="399">
        <f>IF(C37="Str",'Personal File'!$C$8,IF(C37="Dex",'Personal File'!$C$9,IF(C37="Con",'Personal File'!$C$10,IF(C37="Int",'Personal File'!$C$11,IF(C37="Wis",'Personal File'!$C$12,IF(C37="Cha",'Personal File'!$C$13))))))</f>
        <v>-2</v>
      </c>
      <c r="E37" s="400" t="str">
        <f t="shared" si="4"/>
        <v>Wis (-2)</v>
      </c>
      <c r="F37" s="122" t="s">
        <v>55</v>
      </c>
      <c r="G37" s="122">
        <f t="shared" si="1"/>
        <v>-2</v>
      </c>
      <c r="H37" s="71">
        <f t="shared" ca="1" si="5"/>
        <v>2</v>
      </c>
      <c r="I37" s="122">
        <f t="shared" ca="1" si="3"/>
        <v>0</v>
      </c>
      <c r="J37" s="123" t="s">
        <v>156</v>
      </c>
      <c r="K37" s="238"/>
    </row>
    <row r="38" spans="1:11" ht="16.8" x14ac:dyDescent="0.3">
      <c r="A38" s="100" t="s">
        <v>14</v>
      </c>
      <c r="B38" s="67">
        <v>9</v>
      </c>
      <c r="C38" s="101" t="s">
        <v>28</v>
      </c>
      <c r="D38" s="102" t="str">
        <f>IF(C38="Str",'Personal File'!$C$8,IF(C38="Dex",'Personal File'!$C$9,IF(C38="Con",'Personal File'!$C$10,IF(C38="Int",'Personal File'!$C$11,IF(C38="Wis",'Personal File'!$C$12,IF(C38="Cha",'Personal File'!$C$13))))))</f>
        <v>+3</v>
      </c>
      <c r="E38" s="103" t="str">
        <f t="shared" si="4"/>
        <v>Str (+3)</v>
      </c>
      <c r="F38" s="88" t="s">
        <v>111</v>
      </c>
      <c r="G38" s="88">
        <f t="shared" si="1"/>
        <v>15</v>
      </c>
      <c r="H38" s="71">
        <f t="shared" ca="1" si="5"/>
        <v>9</v>
      </c>
      <c r="I38" s="88">
        <f t="shared" ca="1" si="3"/>
        <v>24</v>
      </c>
      <c r="J38" s="113"/>
      <c r="K38" s="238"/>
    </row>
    <row r="39" spans="1:11" ht="16.8" x14ac:dyDescent="0.3">
      <c r="A39" s="145" t="s">
        <v>51</v>
      </c>
      <c r="B39" s="146">
        <v>0</v>
      </c>
      <c r="C39" s="147" t="s">
        <v>27</v>
      </c>
      <c r="D39" s="148" t="str">
        <f>IF(C39="Str",'Personal File'!$C$8,IF(C39="Dex",'Personal File'!$C$9,IF(C39="Con",'Personal File'!$C$10,IF(C39="Int",'Personal File'!$C$11,IF(C39="Wis",'Personal File'!$C$12,IF(C39="Cha",'Personal File'!$C$13))))))</f>
        <v>+2</v>
      </c>
      <c r="E39" s="149" t="str">
        <f t="shared" si="4"/>
        <v>Dex (+2)</v>
      </c>
      <c r="F39" s="137">
        <f>SUM(Martial!$D$17:$D$21)</f>
        <v>-2</v>
      </c>
      <c r="G39" s="110">
        <f t="shared" si="1"/>
        <v>0</v>
      </c>
      <c r="H39" s="71">
        <f t="shared" ca="1" si="5"/>
        <v>1</v>
      </c>
      <c r="I39" s="110">
        <f t="shared" ca="1" si="3"/>
        <v>1</v>
      </c>
      <c r="J39" s="150"/>
      <c r="K39" s="238"/>
    </row>
    <row r="40" spans="1:11" ht="16.8" x14ac:dyDescent="0.3">
      <c r="A40" s="151" t="s">
        <v>52</v>
      </c>
      <c r="B40" s="106">
        <v>0</v>
      </c>
      <c r="C40" s="152" t="s">
        <v>23</v>
      </c>
      <c r="D40" s="153" t="str">
        <f>IF(C40="Str",'Personal File'!$C$8,IF(C40="Dex",'Personal File'!$C$9,IF(C40="Con",'Personal File'!$C$10,IF(C40="Int",'Personal File'!$C$11,IF(C40="Wis",'Personal File'!$C$12,IF(C40="Cha",'Personal File'!$C$13))))))</f>
        <v>+4</v>
      </c>
      <c r="E40" s="154" t="str">
        <f t="shared" si="4"/>
        <v>Cha (+4)</v>
      </c>
      <c r="F40" s="110" t="s">
        <v>55</v>
      </c>
      <c r="G40" s="110">
        <f t="shared" si="1"/>
        <v>4</v>
      </c>
      <c r="H40" s="71">
        <f t="shared" ca="1" si="5"/>
        <v>11</v>
      </c>
      <c r="I40" s="110">
        <f t="shared" ca="1" si="3"/>
        <v>15</v>
      </c>
      <c r="J40" s="111"/>
      <c r="K40" s="238"/>
    </row>
    <row r="41" spans="1:11" ht="17.399999999999999" thickBot="1" x14ac:dyDescent="0.35">
      <c r="A41" s="155" t="s">
        <v>53</v>
      </c>
      <c r="B41" s="156">
        <v>0</v>
      </c>
      <c r="C41" s="157" t="s">
        <v>27</v>
      </c>
      <c r="D41" s="158" t="str">
        <f>IF(C41="Str",'Personal File'!$C$8,IF(C41="Dex",'Personal File'!$C$9,IF(C41="Con",'Personal File'!$C$10,IF(C41="Int",'Personal File'!$C$11,IF(C41="Wis",'Personal File'!$C$12,IF(C41="Cha",'Personal File'!$C$13))))))</f>
        <v>+2</v>
      </c>
      <c r="E41" s="159" t="str">
        <f t="shared" si="4"/>
        <v>Dex (+2)</v>
      </c>
      <c r="F41" s="160" t="s">
        <v>55</v>
      </c>
      <c r="G41" s="160">
        <f t="shared" si="1"/>
        <v>2</v>
      </c>
      <c r="H41" s="161">
        <f t="shared" ca="1" si="5"/>
        <v>15</v>
      </c>
      <c r="I41" s="160">
        <f t="shared" ca="1" si="3"/>
        <v>17</v>
      </c>
      <c r="J41" s="162"/>
      <c r="K41" s="238"/>
    </row>
    <row r="42" spans="1:11" ht="16.2" thickTop="1" x14ac:dyDescent="0.3">
      <c r="B42" s="163">
        <f>SUM(B6:B41)</f>
        <v>30</v>
      </c>
      <c r="E42" s="357">
        <f>SUM(E43:E55)</f>
        <v>30</v>
      </c>
      <c r="F42" s="164" t="s">
        <v>56</v>
      </c>
    </row>
    <row r="43" spans="1:11" x14ac:dyDescent="0.3">
      <c r="B43" s="163"/>
      <c r="E43" s="357">
        <f>4*(2+'Personal File'!$C$11)</f>
        <v>8</v>
      </c>
      <c r="F43" s="165" t="s">
        <v>96</v>
      </c>
    </row>
    <row r="44" spans="1:11" x14ac:dyDescent="0.3">
      <c r="E44" s="357">
        <f>2+'Personal File'!$C$11</f>
        <v>2</v>
      </c>
      <c r="F44" s="165" t="s">
        <v>102</v>
      </c>
    </row>
    <row r="45" spans="1:11" x14ac:dyDescent="0.3">
      <c r="E45" s="357">
        <f>2+'Personal File'!$C$11</f>
        <v>2</v>
      </c>
      <c r="F45" s="165" t="s">
        <v>103</v>
      </c>
    </row>
    <row r="46" spans="1:11" x14ac:dyDescent="0.3">
      <c r="E46" s="357">
        <f>2+'Personal File'!$C$11</f>
        <v>2</v>
      </c>
      <c r="F46" s="165" t="s">
        <v>104</v>
      </c>
    </row>
    <row r="47" spans="1:11" x14ac:dyDescent="0.3">
      <c r="E47" s="357">
        <f>2+'Personal File'!$C$11</f>
        <v>2</v>
      </c>
      <c r="F47" s="165" t="s">
        <v>105</v>
      </c>
    </row>
    <row r="48" spans="1:11" x14ac:dyDescent="0.3">
      <c r="E48" s="357">
        <f>2+'Personal File'!$C$11</f>
        <v>2</v>
      </c>
      <c r="F48" s="165" t="s">
        <v>106</v>
      </c>
    </row>
    <row r="49" spans="5:6" x14ac:dyDescent="0.3">
      <c r="E49" s="357">
        <f>2+'Personal File'!$C$11</f>
        <v>2</v>
      </c>
      <c r="F49" s="165" t="s">
        <v>107</v>
      </c>
    </row>
    <row r="50" spans="5:6" x14ac:dyDescent="0.3">
      <c r="E50" s="357">
        <f>2+'Personal File'!$C$11</f>
        <v>2</v>
      </c>
      <c r="F50" s="165" t="s">
        <v>108</v>
      </c>
    </row>
    <row r="51" spans="5:6" x14ac:dyDescent="0.3">
      <c r="E51" s="357">
        <f>2+'Personal File'!$C$11</f>
        <v>2</v>
      </c>
      <c r="F51" s="165" t="s">
        <v>109</v>
      </c>
    </row>
    <row r="52" spans="5:6" x14ac:dyDescent="0.3">
      <c r="E52" s="357">
        <f>2+'Personal File'!$C$11</f>
        <v>2</v>
      </c>
      <c r="F52" s="165" t="s">
        <v>110</v>
      </c>
    </row>
    <row r="53" spans="5:6" x14ac:dyDescent="0.3">
      <c r="E53" s="357">
        <f>2+'Personal File'!$C$11</f>
        <v>2</v>
      </c>
      <c r="F53" s="165" t="s">
        <v>149</v>
      </c>
    </row>
    <row r="54" spans="5:6" x14ac:dyDescent="0.3">
      <c r="E54" s="357">
        <f>2+'Personal File'!$C$11</f>
        <v>2</v>
      </c>
      <c r="F54" s="165" t="s">
        <v>151</v>
      </c>
    </row>
    <row r="55" spans="5:6" x14ac:dyDescent="0.3">
      <c r="E55" s="163">
        <v>0</v>
      </c>
      <c r="F55" s="165" t="s">
        <v>214</v>
      </c>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1"/>
  <sheetViews>
    <sheetView showGridLines="0" zoomScaleNormal="100" workbookViewId="0"/>
  </sheetViews>
  <sheetFormatPr defaultColWidth="8.59765625" defaultRowHeight="16.8" x14ac:dyDescent="0.3"/>
  <cols>
    <col min="1" max="1" width="35.5" style="167" bestFit="1" customWidth="1"/>
    <col min="2" max="2" width="1.8984375" style="168" customWidth="1"/>
    <col min="3" max="3" width="35.796875" style="166" bestFit="1" customWidth="1"/>
    <col min="4" max="4" width="8.59765625" style="170"/>
    <col min="5" max="16384" width="8.59765625" style="166"/>
  </cols>
  <sheetData>
    <row r="1" spans="1:3" ht="24" thickTop="1" thickBot="1" x14ac:dyDescent="0.35">
      <c r="A1" s="169" t="s">
        <v>79</v>
      </c>
      <c r="B1" s="166"/>
      <c r="C1" s="169" t="s">
        <v>75</v>
      </c>
    </row>
    <row r="2" spans="1:3" x14ac:dyDescent="0.3">
      <c r="A2" s="171" t="s">
        <v>97</v>
      </c>
      <c r="B2" s="166"/>
      <c r="C2" s="11" t="s">
        <v>220</v>
      </c>
    </row>
    <row r="3" spans="1:3" x14ac:dyDescent="0.3">
      <c r="A3" s="171" t="s">
        <v>164</v>
      </c>
      <c r="B3" s="166"/>
      <c r="C3" s="11" t="str">
        <f>CONCATENATE("Touch of Vitality:  Heal ",2*'Personal File'!$E$3*'Personal File'!$C$13)</f>
        <v>Touch of Vitality:  Heal 96</v>
      </c>
    </row>
    <row r="4" spans="1:3" x14ac:dyDescent="0.3">
      <c r="A4" s="171" t="s">
        <v>118</v>
      </c>
      <c r="B4" s="166"/>
      <c r="C4" s="11" t="s">
        <v>150</v>
      </c>
    </row>
    <row r="5" spans="1:3" x14ac:dyDescent="0.3">
      <c r="A5" s="378" t="s">
        <v>170</v>
      </c>
      <c r="B5" s="166"/>
      <c r="C5" s="11" t="s">
        <v>217</v>
      </c>
    </row>
    <row r="6" spans="1:3" x14ac:dyDescent="0.3">
      <c r="A6" s="171" t="s">
        <v>165</v>
      </c>
      <c r="B6" s="166"/>
      <c r="C6" s="11" t="s">
        <v>162</v>
      </c>
    </row>
    <row r="7" spans="1:3" ht="17.399999999999999" thickBot="1" x14ac:dyDescent="0.35">
      <c r="A7" s="379" t="s">
        <v>171</v>
      </c>
      <c r="B7" s="166"/>
      <c r="C7" s="11" t="s">
        <v>218</v>
      </c>
    </row>
    <row r="8" spans="1:3" ht="18" thickTop="1" thickBot="1" x14ac:dyDescent="0.35">
      <c r="B8" s="166"/>
      <c r="C8" s="11" t="s">
        <v>219</v>
      </c>
    </row>
    <row r="9" spans="1:3" ht="24" thickTop="1" thickBot="1" x14ac:dyDescent="0.35">
      <c r="A9" s="6" t="s">
        <v>76</v>
      </c>
      <c r="B9" s="166"/>
      <c r="C9" s="11" t="s">
        <v>120</v>
      </c>
    </row>
    <row r="10" spans="1:3" x14ac:dyDescent="0.3">
      <c r="A10" s="172" t="s">
        <v>77</v>
      </c>
      <c r="B10" s="166"/>
      <c r="C10" s="11" t="s">
        <v>148</v>
      </c>
    </row>
    <row r="11" spans="1:3" x14ac:dyDescent="0.3">
      <c r="A11" s="11" t="s">
        <v>88</v>
      </c>
      <c r="B11" s="166"/>
      <c r="C11" s="11" t="s">
        <v>144</v>
      </c>
    </row>
    <row r="12" spans="1:3" ht="17.399999999999999" thickBot="1" x14ac:dyDescent="0.35">
      <c r="A12" s="174" t="s">
        <v>92</v>
      </c>
      <c r="B12" s="166"/>
      <c r="C12" s="11" t="s">
        <v>93</v>
      </c>
    </row>
    <row r="13" spans="1:3" ht="18" thickTop="1" thickBot="1" x14ac:dyDescent="0.35">
      <c r="A13" s="27"/>
      <c r="B13" s="166"/>
      <c r="C13" s="11" t="s">
        <v>130</v>
      </c>
    </row>
    <row r="14" spans="1:3" ht="24" thickTop="1" thickBot="1" x14ac:dyDescent="0.35">
      <c r="A14" s="7" t="s">
        <v>63</v>
      </c>
      <c r="B14" s="166"/>
      <c r="C14" s="11" t="str">
        <f>CONCATENATE("Aura:  Resistance, ",(RIGHT(C10,1)*5)," acid")</f>
        <v>Aura:  Resistance, 15 acid</v>
      </c>
    </row>
    <row r="15" spans="1:3" ht="17.399999999999999" thickBot="1" x14ac:dyDescent="0.35">
      <c r="A15" s="173" t="s">
        <v>135</v>
      </c>
      <c r="C15" s="11" t="s">
        <v>115</v>
      </c>
    </row>
    <row r="16" spans="1:3" ht="17.399999999999999" thickTop="1" x14ac:dyDescent="0.3">
      <c r="C16" s="11" t="s">
        <v>95</v>
      </c>
    </row>
    <row r="17" spans="3:4" ht="17.399999999999999" thickBot="1" x14ac:dyDescent="0.35">
      <c r="C17" s="274" t="s">
        <v>94</v>
      </c>
    </row>
    <row r="18" spans="3:4" ht="17.399999999999999" thickTop="1" x14ac:dyDescent="0.3"/>
    <row r="21" spans="3:4" x14ac:dyDescent="0.3">
      <c r="D21" s="166"/>
    </row>
  </sheetData>
  <sortState xmlns:xlrd2="http://schemas.microsoft.com/office/spreadsheetml/2017/richdata2" ref="A2:A7">
    <sortCondition ref="A2:A7"/>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42"/>
  <sheetViews>
    <sheetView showGridLines="0" zoomScaleNormal="100" workbookViewId="0"/>
  </sheetViews>
  <sheetFormatPr defaultColWidth="13" defaultRowHeight="15.6" x14ac:dyDescent="0.3"/>
  <cols>
    <col min="1" max="1" width="26.8984375" style="176" bestFit="1" customWidth="1"/>
    <col min="2" max="2" width="8.59765625" style="176" customWidth="1"/>
    <col min="3" max="3" width="11.19921875" style="176" customWidth="1"/>
    <col min="4" max="4" width="6.19921875" style="176" bestFit="1" customWidth="1"/>
    <col min="5" max="5" width="8.5" style="176" bestFit="1" customWidth="1"/>
    <col min="6" max="6" width="8" style="176" bestFit="1" customWidth="1"/>
    <col min="7" max="7" width="4.5" style="176" bestFit="1" customWidth="1"/>
    <col min="8" max="8" width="5.59765625" style="176" customWidth="1"/>
    <col min="9" max="9" width="5.5" style="176" bestFit="1" customWidth="1"/>
    <col min="10" max="10" width="7.3984375" style="176" customWidth="1"/>
    <col min="11" max="11" width="21.19921875" style="176" bestFit="1" customWidth="1"/>
    <col min="12" max="12" width="2.19921875" style="176" customWidth="1"/>
    <col min="13" max="13" width="5.8984375" style="17" bestFit="1" customWidth="1"/>
    <col min="14" max="16384" width="13" style="17"/>
  </cols>
  <sheetData>
    <row r="1" spans="1:13" ht="23.4" thickBot="1" x14ac:dyDescent="0.35">
      <c r="A1" s="175" t="s">
        <v>15</v>
      </c>
      <c r="B1" s="175"/>
      <c r="C1" s="175"/>
      <c r="D1" s="175"/>
      <c r="E1" s="175"/>
      <c r="F1" s="175"/>
      <c r="G1" s="175"/>
      <c r="H1" s="175"/>
      <c r="I1" s="175"/>
      <c r="J1" s="175"/>
      <c r="K1" s="175"/>
      <c r="M1" s="175"/>
    </row>
    <row r="2" spans="1:13" ht="16.8" thickTop="1" thickBot="1" x14ac:dyDescent="0.35">
      <c r="A2" s="177" t="s">
        <v>1</v>
      </c>
      <c r="B2" s="178" t="s">
        <v>2</v>
      </c>
      <c r="C2" s="178" t="s">
        <v>18</v>
      </c>
      <c r="D2" s="178" t="s">
        <v>19</v>
      </c>
      <c r="E2" s="179" t="s">
        <v>57</v>
      </c>
      <c r="F2" s="178" t="s">
        <v>16</v>
      </c>
      <c r="G2" s="178" t="s">
        <v>20</v>
      </c>
      <c r="H2" s="180" t="s">
        <v>78</v>
      </c>
      <c r="I2" s="181" t="s">
        <v>80</v>
      </c>
      <c r="J2" s="180" t="s">
        <v>69</v>
      </c>
      <c r="K2" s="182" t="s">
        <v>67</v>
      </c>
      <c r="M2" s="183" t="s">
        <v>87</v>
      </c>
    </row>
    <row r="3" spans="1:13" x14ac:dyDescent="0.3">
      <c r="A3" s="380" t="s">
        <v>166</v>
      </c>
      <c r="B3" s="381" t="s">
        <v>158</v>
      </c>
      <c r="C3" s="381" t="str">
        <f>CONCATENATE('Personal File'!$C$8," +2 +2")</f>
        <v>+3 +2 +2</v>
      </c>
      <c r="D3" s="390" t="s">
        <v>82</v>
      </c>
      <c r="E3" s="390" t="s">
        <v>98</v>
      </c>
      <c r="F3" s="391" t="s">
        <v>99</v>
      </c>
      <c r="G3" s="384">
        <v>9</v>
      </c>
      <c r="H3" s="385" t="str">
        <f>CONCATENATE('Personal File'!$B$6+'Personal File'!$C$8+D3+1)</f>
        <v>15</v>
      </c>
      <c r="I3" s="386">
        <f t="shared" ref="I3:I7" ca="1" si="0">RANDBETWEEN(1,20)</f>
        <v>8</v>
      </c>
      <c r="J3" s="387">
        <f t="shared" ref="J3:J7" ca="1" si="1">I3+H3</f>
        <v>23</v>
      </c>
      <c r="K3" s="388"/>
      <c r="L3" s="262"/>
      <c r="M3" s="325">
        <v>18000</v>
      </c>
    </row>
    <row r="4" spans="1:13" x14ac:dyDescent="0.3">
      <c r="A4" s="184" t="s">
        <v>167</v>
      </c>
      <c r="B4" s="185" t="s">
        <v>158</v>
      </c>
      <c r="C4" s="185" t="str">
        <f>CONCATENATE('Personal File'!$C$8," +2 +2")</f>
        <v>+3 +2 +2</v>
      </c>
      <c r="D4" s="348" t="s">
        <v>82</v>
      </c>
      <c r="E4" s="348" t="s">
        <v>98</v>
      </c>
      <c r="F4" s="349" t="s">
        <v>99</v>
      </c>
      <c r="G4" s="361" t="s">
        <v>101</v>
      </c>
      <c r="H4" s="322" t="str">
        <f>CONCATENATE('Personal File'!$B$6+'Personal File'!$C$8+D4+1-5)</f>
        <v>10</v>
      </c>
      <c r="I4" s="187">
        <f t="shared" ca="1" si="0"/>
        <v>1</v>
      </c>
      <c r="J4" s="295">
        <f t="shared" ca="1" si="1"/>
        <v>11</v>
      </c>
      <c r="K4" s="323"/>
      <c r="L4" s="262"/>
      <c r="M4" s="329" t="s">
        <v>101</v>
      </c>
    </row>
    <row r="5" spans="1:13" x14ac:dyDescent="0.3">
      <c r="A5" s="188" t="s">
        <v>168</v>
      </c>
      <c r="B5" s="189" t="s">
        <v>132</v>
      </c>
      <c r="C5" s="189">
        <v>0</v>
      </c>
      <c r="D5" s="314" t="s">
        <v>131</v>
      </c>
      <c r="E5" s="314" t="s">
        <v>133</v>
      </c>
      <c r="F5" s="315" t="s">
        <v>134</v>
      </c>
      <c r="G5" s="214">
        <v>1</v>
      </c>
      <c r="H5" s="316" t="str">
        <f>CONCATENATE('Personal File'!$B$6+'Personal File'!$C$8+D5)</f>
        <v>13</v>
      </c>
      <c r="I5" s="272">
        <f t="shared" ca="1" si="0"/>
        <v>13</v>
      </c>
      <c r="J5" s="271">
        <f t="shared" ref="J5" ca="1" si="2">I5+H5</f>
        <v>26</v>
      </c>
      <c r="K5" s="347"/>
      <c r="L5" s="262"/>
      <c r="M5" s="332">
        <v>2000</v>
      </c>
    </row>
    <row r="6" spans="1:13" x14ac:dyDescent="0.3">
      <c r="A6" s="188" t="s">
        <v>177</v>
      </c>
      <c r="B6" s="189" t="s">
        <v>132</v>
      </c>
      <c r="C6" s="189">
        <v>0</v>
      </c>
      <c r="D6" s="314" t="s">
        <v>131</v>
      </c>
      <c r="E6" s="314" t="s">
        <v>113</v>
      </c>
      <c r="F6" s="315" t="s">
        <v>114</v>
      </c>
      <c r="G6" s="214">
        <v>2</v>
      </c>
      <c r="H6" s="316" t="str">
        <f>CONCATENATE('Personal File'!$B$6+'Personal File'!$C$8+D6)</f>
        <v>13</v>
      </c>
      <c r="I6" s="272">
        <f t="shared" ca="1" si="0"/>
        <v>18</v>
      </c>
      <c r="J6" s="271">
        <f t="shared" ref="J6" ca="1" si="3">I6+H6</f>
        <v>31</v>
      </c>
      <c r="K6" s="347"/>
      <c r="L6" s="262"/>
      <c r="M6" s="332">
        <v>300</v>
      </c>
    </row>
    <row r="7" spans="1:13" ht="16.2" thickBot="1" x14ac:dyDescent="0.35">
      <c r="A7" s="283" t="s">
        <v>112</v>
      </c>
      <c r="B7" s="284" t="s">
        <v>132</v>
      </c>
      <c r="C7" s="284">
        <v>0</v>
      </c>
      <c r="D7" s="285" t="s">
        <v>55</v>
      </c>
      <c r="E7" s="285" t="s">
        <v>113</v>
      </c>
      <c r="F7" s="286" t="s">
        <v>114</v>
      </c>
      <c r="G7" s="287">
        <v>0</v>
      </c>
      <c r="H7" s="310" t="str">
        <f>CONCATENATE('Personal File'!$B$6+'Personal File'!$C$8+D7)</f>
        <v>12</v>
      </c>
      <c r="I7" s="311">
        <f t="shared" ca="1" si="0"/>
        <v>9</v>
      </c>
      <c r="J7" s="312">
        <f t="shared" ca="1" si="1"/>
        <v>21</v>
      </c>
      <c r="K7" s="313"/>
      <c r="M7" s="326" t="s">
        <v>101</v>
      </c>
    </row>
    <row r="8" spans="1:13" ht="6" customHeight="1" thickTop="1" thickBot="1" x14ac:dyDescent="0.35">
      <c r="M8" s="327"/>
    </row>
    <row r="9" spans="1:13" ht="16.8" thickTop="1" thickBot="1" x14ac:dyDescent="0.35">
      <c r="A9" s="177" t="s">
        <v>4</v>
      </c>
      <c r="B9" s="178" t="s">
        <v>5</v>
      </c>
      <c r="C9" s="178" t="s">
        <v>18</v>
      </c>
      <c r="D9" s="178" t="s">
        <v>19</v>
      </c>
      <c r="E9" s="179" t="s">
        <v>57</v>
      </c>
      <c r="F9" s="178" t="s">
        <v>6</v>
      </c>
      <c r="G9" s="178" t="s">
        <v>20</v>
      </c>
      <c r="H9" s="180" t="s">
        <v>78</v>
      </c>
      <c r="I9" s="181" t="s">
        <v>80</v>
      </c>
      <c r="J9" s="180" t="s">
        <v>69</v>
      </c>
      <c r="K9" s="182" t="s">
        <v>67</v>
      </c>
      <c r="M9" s="328" t="s">
        <v>87</v>
      </c>
    </row>
    <row r="10" spans="1:13" x14ac:dyDescent="0.3">
      <c r="A10" s="380" t="s">
        <v>172</v>
      </c>
      <c r="B10" s="381" t="s">
        <v>158</v>
      </c>
      <c r="C10" s="382" t="s">
        <v>55</v>
      </c>
      <c r="D10" s="381">
        <v>1</v>
      </c>
      <c r="E10" s="381" t="s">
        <v>122</v>
      </c>
      <c r="F10" s="383" t="s">
        <v>117</v>
      </c>
      <c r="G10" s="384">
        <v>1</v>
      </c>
      <c r="H10" s="385" t="str">
        <f>CONCATENATE('Personal File'!$B$6+'Personal File'!$C$9+D10)</f>
        <v>12</v>
      </c>
      <c r="I10" s="386">
        <f t="shared" ref="I10:I14" ca="1" si="4">RANDBETWEEN(1,20)</f>
        <v>17</v>
      </c>
      <c r="J10" s="387">
        <f t="shared" ref="J10:J14" ca="1" si="5">I10+H10</f>
        <v>29</v>
      </c>
      <c r="K10" s="388"/>
      <c r="M10" s="325">
        <v>2000</v>
      </c>
    </row>
    <row r="11" spans="1:13" x14ac:dyDescent="0.3">
      <c r="A11" s="184" t="s">
        <v>173</v>
      </c>
      <c r="B11" s="185" t="s">
        <v>158</v>
      </c>
      <c r="C11" s="186" t="s">
        <v>55</v>
      </c>
      <c r="D11" s="185">
        <v>1</v>
      </c>
      <c r="E11" s="185" t="s">
        <v>122</v>
      </c>
      <c r="F11" s="389" t="s">
        <v>117</v>
      </c>
      <c r="G11" s="361" t="s">
        <v>101</v>
      </c>
      <c r="H11" s="322" t="str">
        <f>CONCATENATE('Personal File'!$B$6+'Personal File'!$C$9+D11-5)</f>
        <v>7</v>
      </c>
      <c r="I11" s="187">
        <f t="shared" ca="1" si="4"/>
        <v>6</v>
      </c>
      <c r="J11" s="295">
        <f t="shared" ca="1" si="5"/>
        <v>13</v>
      </c>
      <c r="K11" s="323"/>
      <c r="M11" s="329" t="s">
        <v>101</v>
      </c>
    </row>
    <row r="12" spans="1:13" x14ac:dyDescent="0.3">
      <c r="A12" s="184" t="s">
        <v>166</v>
      </c>
      <c r="B12" s="185" t="s">
        <v>158</v>
      </c>
      <c r="C12" s="185" t="str">
        <f>CONCATENATE('Personal File'!$C$8," +2 +2")</f>
        <v>+3 +2 +2</v>
      </c>
      <c r="D12" s="185">
        <v>2</v>
      </c>
      <c r="E12" s="189" t="s">
        <v>98</v>
      </c>
      <c r="F12" s="190" t="s">
        <v>143</v>
      </c>
      <c r="G12" s="214">
        <v>9</v>
      </c>
      <c r="H12" s="322" t="str">
        <f>CONCATENATE('Personal File'!$B$6+'Personal File'!$C$9+D12+1)</f>
        <v>14</v>
      </c>
      <c r="I12" s="187">
        <f t="shared" ca="1" si="4"/>
        <v>2</v>
      </c>
      <c r="J12" s="295">
        <f t="shared" ref="J12" ca="1" si="6">I12+H12</f>
        <v>16</v>
      </c>
      <c r="K12" s="323"/>
      <c r="M12" s="329" t="s">
        <v>101</v>
      </c>
    </row>
    <row r="13" spans="1:13" x14ac:dyDescent="0.3">
      <c r="A13" s="403" t="s">
        <v>216</v>
      </c>
      <c r="B13" s="404" t="str">
        <f>CONCATENATE(2+ROUNDUP(('Personal File'!E3-4)/2,0),"d6")</f>
        <v>6d6</v>
      </c>
      <c r="C13" s="405" t="s">
        <v>157</v>
      </c>
      <c r="D13" s="406" t="s">
        <v>101</v>
      </c>
      <c r="E13" s="404" t="s">
        <v>101</v>
      </c>
      <c r="F13" s="407" t="s">
        <v>201</v>
      </c>
      <c r="G13" s="408" t="s">
        <v>101</v>
      </c>
      <c r="H13" s="409" t="s">
        <v>101</v>
      </c>
      <c r="I13" s="409" t="s">
        <v>101</v>
      </c>
      <c r="J13" s="409" t="s">
        <v>101</v>
      </c>
      <c r="K13" s="410" t="str">
        <f>CONCATENATE("DC 10 + 2 focus + ",ROUNDDOWN('Personal File'!E3/2,0))</f>
        <v>DC 10 + 2 focus + 6</v>
      </c>
      <c r="M13" s="329" t="s">
        <v>101</v>
      </c>
    </row>
    <row r="14" spans="1:13" ht="16.2" thickBot="1" x14ac:dyDescent="0.35">
      <c r="A14" s="288" t="s">
        <v>169</v>
      </c>
      <c r="B14" s="9" t="s">
        <v>101</v>
      </c>
      <c r="C14" s="12" t="s">
        <v>101</v>
      </c>
      <c r="D14" s="9">
        <v>0</v>
      </c>
      <c r="E14" s="9" t="s">
        <v>101</v>
      </c>
      <c r="F14" s="9" t="s">
        <v>101</v>
      </c>
      <c r="G14" s="10" t="s">
        <v>101</v>
      </c>
      <c r="H14" s="191" t="str">
        <f>CONCATENATE('Personal File'!$B$6+'Personal File'!$C$9+D14)</f>
        <v>11</v>
      </c>
      <c r="I14" s="8">
        <f t="shared" ca="1" si="4"/>
        <v>9</v>
      </c>
      <c r="J14" s="191">
        <f t="shared" ca="1" si="5"/>
        <v>20</v>
      </c>
      <c r="K14" s="192"/>
      <c r="M14" s="326" t="s">
        <v>101</v>
      </c>
    </row>
    <row r="15" spans="1:13" ht="6" customHeight="1" thickTop="1" thickBot="1" x14ac:dyDescent="0.35">
      <c r="D15" s="193"/>
      <c r="E15" s="193"/>
      <c r="G15" s="194"/>
      <c r="H15" s="194"/>
      <c r="I15" s="194"/>
      <c r="J15" s="194"/>
      <c r="M15" s="327"/>
    </row>
    <row r="16" spans="1:13" ht="16.8" thickTop="1" thickBot="1" x14ac:dyDescent="0.35">
      <c r="A16" s="177" t="s">
        <v>61</v>
      </c>
      <c r="B16" s="178" t="s">
        <v>9</v>
      </c>
      <c r="C16" s="178" t="s">
        <v>27</v>
      </c>
      <c r="D16" s="178" t="s">
        <v>69</v>
      </c>
      <c r="E16" s="178" t="s">
        <v>70</v>
      </c>
      <c r="F16" s="178" t="s">
        <v>71</v>
      </c>
      <c r="G16" s="178" t="s">
        <v>20</v>
      </c>
      <c r="H16" s="195" t="s">
        <v>67</v>
      </c>
      <c r="I16" s="196"/>
      <c r="J16" s="196"/>
      <c r="K16" s="197"/>
      <c r="M16" s="328" t="s">
        <v>87</v>
      </c>
    </row>
    <row r="17" spans="1:13" x14ac:dyDescent="0.3">
      <c r="A17" s="350" t="s">
        <v>202</v>
      </c>
      <c r="B17" s="351">
        <v>6</v>
      </c>
      <c r="C17" s="351">
        <v>3</v>
      </c>
      <c r="D17" s="351">
        <v>-2</v>
      </c>
      <c r="E17" s="352">
        <v>0.25</v>
      </c>
      <c r="F17" s="351" t="s">
        <v>152</v>
      </c>
      <c r="G17" s="210">
        <v>12.5</v>
      </c>
      <c r="H17" s="353"/>
      <c r="I17" s="354"/>
      <c r="J17" s="354"/>
      <c r="K17" s="355"/>
      <c r="M17" s="325">
        <v>18000</v>
      </c>
    </row>
    <row r="18" spans="1:13" x14ac:dyDescent="0.3">
      <c r="A18" s="198" t="s">
        <v>203</v>
      </c>
      <c r="B18" s="189">
        <v>1</v>
      </c>
      <c r="C18" s="189" t="s">
        <v>101</v>
      </c>
      <c r="D18" s="189" t="s">
        <v>101</v>
      </c>
      <c r="E18" s="356" t="s">
        <v>101</v>
      </c>
      <c r="F18" s="189" t="s">
        <v>101</v>
      </c>
      <c r="G18" s="214">
        <v>1</v>
      </c>
      <c r="H18" s="199"/>
      <c r="I18" s="200"/>
      <c r="J18" s="200"/>
      <c r="K18" s="201"/>
      <c r="M18" s="332">
        <v>2000</v>
      </c>
    </row>
    <row r="19" spans="1:13" x14ac:dyDescent="0.3">
      <c r="A19" s="362" t="s">
        <v>155</v>
      </c>
      <c r="B19" s="233">
        <v>2</v>
      </c>
      <c r="C19" s="233" t="s">
        <v>101</v>
      </c>
      <c r="D19" s="233" t="s">
        <v>101</v>
      </c>
      <c r="E19" s="363" t="s">
        <v>101</v>
      </c>
      <c r="F19" s="233" t="s">
        <v>101</v>
      </c>
      <c r="G19" s="364">
        <v>0</v>
      </c>
      <c r="H19" s="365"/>
      <c r="I19" s="366"/>
      <c r="J19" s="366"/>
      <c r="K19" s="367"/>
      <c r="L19" s="262"/>
      <c r="M19" s="333">
        <v>4000</v>
      </c>
    </row>
    <row r="20" spans="1:13" x14ac:dyDescent="0.3">
      <c r="A20" s="362" t="s">
        <v>142</v>
      </c>
      <c r="B20" s="233">
        <v>1</v>
      </c>
      <c r="C20" s="233" t="s">
        <v>101</v>
      </c>
      <c r="D20" s="233" t="s">
        <v>101</v>
      </c>
      <c r="E20" s="363" t="s">
        <v>101</v>
      </c>
      <c r="F20" s="233" t="s">
        <v>101</v>
      </c>
      <c r="G20" s="364">
        <v>0</v>
      </c>
      <c r="H20" s="365"/>
      <c r="I20" s="366"/>
      <c r="J20" s="366"/>
      <c r="K20" s="367"/>
      <c r="M20" s="333" t="s">
        <v>101</v>
      </c>
    </row>
    <row r="21" spans="1:13" ht="16.2" thickBot="1" x14ac:dyDescent="0.35">
      <c r="A21" s="368" t="s">
        <v>153</v>
      </c>
      <c r="B21" s="369" t="s">
        <v>154</v>
      </c>
      <c r="C21" s="370" t="s">
        <v>101</v>
      </c>
      <c r="D21" s="370" t="s">
        <v>101</v>
      </c>
      <c r="E21" s="370" t="s">
        <v>101</v>
      </c>
      <c r="F21" s="370" t="s">
        <v>101</v>
      </c>
      <c r="G21" s="371">
        <v>0</v>
      </c>
      <c r="H21" s="372"/>
      <c r="I21" s="373"/>
      <c r="J21" s="373"/>
      <c r="K21" s="374"/>
      <c r="M21" s="326"/>
    </row>
    <row r="22" spans="1:13" ht="6.75" customHeight="1" thickTop="1" thickBot="1" x14ac:dyDescent="0.35">
      <c r="M22" s="327"/>
    </row>
    <row r="23" spans="1:13" ht="16.8" thickTop="1" thickBot="1" x14ac:dyDescent="0.35">
      <c r="A23" s="204"/>
      <c r="B23" s="194"/>
      <c r="C23" s="205" t="s">
        <v>62</v>
      </c>
      <c r="D23" s="196"/>
      <c r="E23" s="206"/>
      <c r="F23" s="180" t="s">
        <v>3</v>
      </c>
      <c r="G23" s="178" t="s">
        <v>20</v>
      </c>
      <c r="H23" s="180" t="s">
        <v>78</v>
      </c>
      <c r="I23" s="195" t="s">
        <v>67</v>
      </c>
      <c r="J23" s="196"/>
      <c r="K23" s="197"/>
      <c r="M23" s="328" t="s">
        <v>87</v>
      </c>
    </row>
    <row r="24" spans="1:13" x14ac:dyDescent="0.3">
      <c r="A24" s="204"/>
      <c r="B24" s="194"/>
      <c r="C24" s="207" t="s">
        <v>119</v>
      </c>
      <c r="D24" s="208"/>
      <c r="E24" s="209"/>
      <c r="F24" s="317">
        <v>30</v>
      </c>
      <c r="G24" s="210">
        <f t="shared" ref="G24:G26" si="7">(F24*3)/20</f>
        <v>4.5</v>
      </c>
      <c r="H24" s="297" t="s">
        <v>55</v>
      </c>
      <c r="I24" s="211"/>
      <c r="J24" s="212"/>
      <c r="K24" s="213"/>
      <c r="M24" s="325">
        <v>0</v>
      </c>
    </row>
    <row r="25" spans="1:13" x14ac:dyDescent="0.3">
      <c r="A25" s="204"/>
      <c r="B25" s="194"/>
      <c r="C25" s="300" t="s">
        <v>136</v>
      </c>
      <c r="D25" s="301"/>
      <c r="E25" s="302"/>
      <c r="F25" s="318">
        <v>5</v>
      </c>
      <c r="G25" s="303">
        <f t="shared" si="7"/>
        <v>0.75</v>
      </c>
      <c r="H25" s="304" t="s">
        <v>138</v>
      </c>
      <c r="I25" s="305" t="s">
        <v>139</v>
      </c>
      <c r="J25" s="306"/>
      <c r="K25" s="307"/>
      <c r="M25" s="331">
        <f t="shared" ref="M25:M29" si="8">F25*100</f>
        <v>500</v>
      </c>
    </row>
    <row r="26" spans="1:13" x14ac:dyDescent="0.3">
      <c r="A26" s="204"/>
      <c r="B26" s="194"/>
      <c r="C26" s="300" t="s">
        <v>137</v>
      </c>
      <c r="D26" s="301"/>
      <c r="E26" s="302"/>
      <c r="F26" s="318">
        <v>1</v>
      </c>
      <c r="G26" s="303">
        <f t="shared" si="7"/>
        <v>0.15</v>
      </c>
      <c r="H26" s="304" t="s">
        <v>138</v>
      </c>
      <c r="I26" s="305" t="s">
        <v>139</v>
      </c>
      <c r="J26" s="306"/>
      <c r="K26" s="307"/>
      <c r="M26" s="331">
        <f t="shared" si="8"/>
        <v>100</v>
      </c>
    </row>
    <row r="27" spans="1:13" x14ac:dyDescent="0.3">
      <c r="A27" s="204"/>
      <c r="B27" s="194"/>
      <c r="C27" s="300" t="s">
        <v>123</v>
      </c>
      <c r="D27" s="301"/>
      <c r="E27" s="302"/>
      <c r="F27" s="318">
        <v>3</v>
      </c>
      <c r="G27" s="303">
        <f t="shared" ref="G27:G29" si="9">(F27*3)/20</f>
        <v>0.45</v>
      </c>
      <c r="H27" s="304" t="s">
        <v>55</v>
      </c>
      <c r="I27" s="305" t="s">
        <v>126</v>
      </c>
      <c r="J27" s="306"/>
      <c r="K27" s="307"/>
      <c r="M27" s="331">
        <f t="shared" si="8"/>
        <v>300</v>
      </c>
    </row>
    <row r="28" spans="1:13" x14ac:dyDescent="0.3">
      <c r="A28" s="204"/>
      <c r="B28" s="194"/>
      <c r="C28" s="215" t="s">
        <v>124</v>
      </c>
      <c r="D28" s="216"/>
      <c r="E28" s="217"/>
      <c r="F28" s="319">
        <v>4</v>
      </c>
      <c r="G28" s="214">
        <f t="shared" si="9"/>
        <v>0.6</v>
      </c>
      <c r="H28" s="298" t="s">
        <v>55</v>
      </c>
      <c r="I28" s="218" t="s">
        <v>127</v>
      </c>
      <c r="J28" s="219"/>
      <c r="K28" s="220"/>
      <c r="M28" s="332">
        <f t="shared" si="8"/>
        <v>400</v>
      </c>
    </row>
    <row r="29" spans="1:13" ht="16.2" thickBot="1" x14ac:dyDescent="0.35">
      <c r="C29" s="221" t="s">
        <v>125</v>
      </c>
      <c r="D29" s="222"/>
      <c r="E29" s="223"/>
      <c r="F29" s="320">
        <v>4</v>
      </c>
      <c r="G29" s="202">
        <f t="shared" si="9"/>
        <v>0.6</v>
      </c>
      <c r="H29" s="299" t="s">
        <v>55</v>
      </c>
      <c r="I29" s="224" t="s">
        <v>128</v>
      </c>
      <c r="J29" s="225"/>
      <c r="K29" s="226"/>
      <c r="M29" s="330">
        <f t="shared" si="8"/>
        <v>400</v>
      </c>
    </row>
    <row r="30" spans="1:13" ht="16.8" thickTop="1" thickBot="1" x14ac:dyDescent="0.35">
      <c r="M30" s="327"/>
    </row>
    <row r="31" spans="1:13" ht="16.8" thickTop="1" thickBot="1" x14ac:dyDescent="0.35">
      <c r="C31" s="205" t="s">
        <v>85</v>
      </c>
      <c r="D31" s="196"/>
      <c r="E31" s="196"/>
      <c r="F31" s="196"/>
      <c r="G31" s="227" t="s">
        <v>3</v>
      </c>
      <c r="H31" s="227" t="s">
        <v>0</v>
      </c>
      <c r="I31" s="227" t="s">
        <v>86</v>
      </c>
      <c r="J31" s="195" t="s">
        <v>67</v>
      </c>
      <c r="K31" s="197"/>
      <c r="M31" s="328" t="s">
        <v>87</v>
      </c>
    </row>
    <row r="32" spans="1:13" x14ac:dyDescent="0.3">
      <c r="B32" s="262"/>
      <c r="C32" s="228" t="s">
        <v>159</v>
      </c>
      <c r="D32" s="229"/>
      <c r="E32" s="229"/>
      <c r="F32" s="229"/>
      <c r="G32" s="189">
        <v>2</v>
      </c>
      <c r="H32" s="189">
        <v>3</v>
      </c>
      <c r="I32" s="189">
        <v>5</v>
      </c>
      <c r="J32" s="218"/>
      <c r="K32" s="230"/>
      <c r="M32" s="332">
        <f t="shared" ref="M32:M34" si="10">25*G32*H32*I32</f>
        <v>750</v>
      </c>
    </row>
    <row r="33" spans="2:13" x14ac:dyDescent="0.3">
      <c r="C33" s="231" t="s">
        <v>200</v>
      </c>
      <c r="D33" s="232"/>
      <c r="E33" s="232"/>
      <c r="F33" s="232"/>
      <c r="G33" s="233">
        <v>2</v>
      </c>
      <c r="H33" s="233" t="s">
        <v>82</v>
      </c>
      <c r="I33" s="233">
        <v>3</v>
      </c>
      <c r="J33" s="234"/>
      <c r="K33" s="235"/>
      <c r="M33" s="333">
        <f t="shared" si="10"/>
        <v>300</v>
      </c>
    </row>
    <row r="34" spans="2:13" ht="16.2" thickBot="1" x14ac:dyDescent="0.35">
      <c r="B34" s="262"/>
      <c r="C34" s="236" t="s">
        <v>160</v>
      </c>
      <c r="D34" s="222"/>
      <c r="E34" s="222"/>
      <c r="F34" s="222"/>
      <c r="G34" s="237" t="s">
        <v>111</v>
      </c>
      <c r="H34" s="237" t="s">
        <v>82</v>
      </c>
      <c r="I34" s="237">
        <v>3</v>
      </c>
      <c r="J34" s="224"/>
      <c r="K34" s="203"/>
      <c r="M34" s="330">
        <f t="shared" si="10"/>
        <v>450</v>
      </c>
    </row>
    <row r="35" spans="2:13" ht="16.2" thickTop="1" x14ac:dyDescent="0.3">
      <c r="M35" s="327"/>
    </row>
    <row r="36" spans="2:13" x14ac:dyDescent="0.3">
      <c r="M36" s="176"/>
    </row>
    <row r="37" spans="2:13" x14ac:dyDescent="0.3">
      <c r="M37" s="176"/>
    </row>
    <row r="38" spans="2:13" x14ac:dyDescent="0.3">
      <c r="M38" s="176"/>
    </row>
    <row r="39" spans="2:13" x14ac:dyDescent="0.3">
      <c r="M39" s="176"/>
    </row>
    <row r="40" spans="2:13" x14ac:dyDescent="0.3">
      <c r="M40" s="176"/>
    </row>
    <row r="41" spans="2:13" x14ac:dyDescent="0.3">
      <c r="M41" s="176"/>
    </row>
    <row r="42" spans="2:13" x14ac:dyDescent="0.3">
      <c r="M42" s="176"/>
    </row>
  </sheetData>
  <phoneticPr fontId="0" type="noConversion"/>
  <conditionalFormatting sqref="I3:I7">
    <cfRule type="cellIs" dxfId="6" priority="5" operator="equal">
      <formula>20</formula>
    </cfRule>
    <cfRule type="cellIs" dxfId="5" priority="6" operator="equal">
      <formula>1</formula>
    </cfRule>
  </conditionalFormatting>
  <conditionalFormatting sqref="I10:I12 I14">
    <cfRule type="cellIs" dxfId="4" priority="1" operator="equal">
      <formula>20</formula>
    </cfRule>
    <cfRule type="cellIs" dxfId="3"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1"/>
  <sheetViews>
    <sheetView showGridLines="0" workbookViewId="0"/>
  </sheetViews>
  <sheetFormatPr defaultColWidth="13" defaultRowHeight="15.6" x14ac:dyDescent="0.3"/>
  <cols>
    <col min="1" max="1" width="29.19921875" style="176" bestFit="1" customWidth="1"/>
    <col min="2" max="2" width="4.5" style="176" bestFit="1" customWidth="1"/>
    <col min="3" max="3" width="5.59765625" style="194" bestFit="1" customWidth="1"/>
    <col min="4" max="5" width="26.59765625" style="17" customWidth="1"/>
    <col min="6" max="6" width="2.3984375" style="176" customWidth="1"/>
    <col min="7" max="7" width="5.8984375" style="17" bestFit="1" customWidth="1"/>
    <col min="8" max="16384" width="13" style="17"/>
  </cols>
  <sheetData>
    <row r="1" spans="1:7" ht="23.4" thickBot="1" x14ac:dyDescent="0.35">
      <c r="A1" s="175" t="s">
        <v>64</v>
      </c>
      <c r="B1" s="175"/>
      <c r="C1" s="239"/>
      <c r="D1" s="175"/>
      <c r="E1" s="175"/>
    </row>
    <row r="2" spans="1:7" s="176" customFormat="1" ht="16.8" thickTop="1" thickBot="1" x14ac:dyDescent="0.35">
      <c r="A2" s="240" t="s">
        <v>65</v>
      </c>
      <c r="B2" s="240" t="s">
        <v>3</v>
      </c>
      <c r="C2" s="241" t="s">
        <v>20</v>
      </c>
      <c r="D2" s="242" t="s">
        <v>66</v>
      </c>
      <c r="E2" s="243" t="s">
        <v>67</v>
      </c>
      <c r="G2" s="244" t="s">
        <v>87</v>
      </c>
    </row>
    <row r="3" spans="1:7" x14ac:dyDescent="0.3">
      <c r="A3" s="263" t="s">
        <v>140</v>
      </c>
      <c r="B3" s="269">
        <v>1</v>
      </c>
      <c r="C3" s="265">
        <v>0</v>
      </c>
      <c r="D3" s="321" t="s">
        <v>141</v>
      </c>
      <c r="E3" s="324" t="s">
        <v>145</v>
      </c>
      <c r="G3" s="335">
        <v>2000</v>
      </c>
    </row>
    <row r="4" spans="1:7" x14ac:dyDescent="0.3">
      <c r="A4" s="245" t="s">
        <v>178</v>
      </c>
      <c r="B4" s="246">
        <v>1</v>
      </c>
      <c r="C4" s="249">
        <v>0</v>
      </c>
      <c r="D4" s="270"/>
      <c r="E4" s="248"/>
      <c r="F4" s="262"/>
      <c r="G4" s="334" t="s">
        <v>179</v>
      </c>
    </row>
    <row r="5" spans="1:7" x14ac:dyDescent="0.3">
      <c r="A5" s="245" t="s">
        <v>174</v>
      </c>
      <c r="B5" s="246">
        <v>1</v>
      </c>
      <c r="C5" s="249">
        <v>1</v>
      </c>
      <c r="D5" s="270"/>
      <c r="E5" s="248"/>
      <c r="F5" s="262"/>
      <c r="G5" s="334">
        <v>3300</v>
      </c>
    </row>
    <row r="6" spans="1:7" x14ac:dyDescent="0.3">
      <c r="A6" s="245" t="s">
        <v>176</v>
      </c>
      <c r="B6" s="246">
        <v>1</v>
      </c>
      <c r="C6" s="249">
        <v>0</v>
      </c>
      <c r="D6" s="270"/>
      <c r="E6" s="248"/>
      <c r="G6" s="334">
        <v>8000</v>
      </c>
    </row>
    <row r="7" spans="1:7" ht="16.2" thickBot="1" x14ac:dyDescent="0.35">
      <c r="A7" s="250" t="s">
        <v>175</v>
      </c>
      <c r="B7" s="251">
        <v>1</v>
      </c>
      <c r="C7" s="252">
        <v>2</v>
      </c>
      <c r="D7" s="343"/>
      <c r="E7" s="254"/>
      <c r="G7" s="336">
        <v>3100</v>
      </c>
    </row>
    <row r="8" spans="1:7" ht="24" thickTop="1" thickBot="1" x14ac:dyDescent="0.35">
      <c r="A8" s="175" t="s">
        <v>68</v>
      </c>
      <c r="B8" s="175"/>
      <c r="C8" s="255"/>
      <c r="D8" s="175"/>
      <c r="E8" s="256"/>
      <c r="F8" s="262"/>
      <c r="G8" s="337"/>
    </row>
    <row r="9" spans="1:7" ht="16.8" thickTop="1" thickBot="1" x14ac:dyDescent="0.35">
      <c r="A9" s="240" t="s">
        <v>65</v>
      </c>
      <c r="B9" s="240" t="s">
        <v>3</v>
      </c>
      <c r="C9" s="241" t="s">
        <v>20</v>
      </c>
      <c r="D9" s="242" t="s">
        <v>66</v>
      </c>
      <c r="E9" s="243" t="s">
        <v>67</v>
      </c>
      <c r="G9" s="338" t="s">
        <v>87</v>
      </c>
    </row>
    <row r="10" spans="1:7" x14ac:dyDescent="0.3">
      <c r="A10" s="257"/>
      <c r="B10" s="258"/>
      <c r="C10" s="259"/>
      <c r="D10" s="260"/>
      <c r="E10" s="261"/>
      <c r="F10" s="262"/>
      <c r="G10" s="339"/>
    </row>
    <row r="11" spans="1:7" x14ac:dyDescent="0.3">
      <c r="A11" s="263"/>
      <c r="B11" s="264"/>
      <c r="C11" s="265"/>
      <c r="D11" s="266"/>
      <c r="E11" s="267"/>
      <c r="G11" s="340"/>
    </row>
    <row r="12" spans="1:7" x14ac:dyDescent="0.3">
      <c r="A12" s="263"/>
      <c r="B12" s="264"/>
      <c r="C12" s="265"/>
      <c r="D12" s="268"/>
      <c r="E12" s="267"/>
      <c r="G12" s="340"/>
    </row>
    <row r="13" spans="1:7" ht="16.2" thickBot="1" x14ac:dyDescent="0.35">
      <c r="A13" s="250"/>
      <c r="B13" s="251"/>
      <c r="C13" s="252"/>
      <c r="D13" s="253"/>
      <c r="E13" s="254"/>
      <c r="G13" s="336"/>
    </row>
    <row r="14" spans="1:7" ht="24" thickTop="1" thickBot="1" x14ac:dyDescent="0.35">
      <c r="A14" s="175" t="s">
        <v>146</v>
      </c>
      <c r="B14" s="175"/>
      <c r="C14" s="255"/>
      <c r="D14" s="175"/>
      <c r="E14" s="256"/>
      <c r="F14" s="341"/>
      <c r="G14" s="238"/>
    </row>
    <row r="15" spans="1:7" ht="16.8" thickTop="1" thickBot="1" x14ac:dyDescent="0.35">
      <c r="A15" s="240" t="s">
        <v>65</v>
      </c>
      <c r="B15" s="240" t="s">
        <v>3</v>
      </c>
      <c r="C15" s="241" t="s">
        <v>20</v>
      </c>
      <c r="D15" s="242" t="s">
        <v>66</v>
      </c>
      <c r="E15" s="243" t="s">
        <v>67</v>
      </c>
      <c r="F15" s="238"/>
      <c r="G15" s="244" t="s">
        <v>87</v>
      </c>
    </row>
    <row r="16" spans="1:7" x14ac:dyDescent="0.3">
      <c r="A16" s="263"/>
      <c r="B16" s="264"/>
      <c r="C16" s="265"/>
      <c r="D16" s="270"/>
      <c r="E16" s="324"/>
      <c r="F16" s="238"/>
      <c r="G16" s="334"/>
    </row>
    <row r="17" spans="1:7" x14ac:dyDescent="0.3">
      <c r="A17" s="245"/>
      <c r="B17" s="342"/>
      <c r="C17" s="247"/>
      <c r="D17" s="270"/>
      <c r="E17" s="324"/>
      <c r="F17" s="238"/>
      <c r="G17" s="334"/>
    </row>
    <row r="18" spans="1:7" x14ac:dyDescent="0.3">
      <c r="A18" s="245"/>
      <c r="B18" s="342"/>
      <c r="C18" s="247"/>
      <c r="D18" s="270"/>
      <c r="E18" s="324"/>
      <c r="F18" s="238"/>
      <c r="G18" s="334"/>
    </row>
    <row r="19" spans="1:7" ht="16.2" thickBot="1" x14ac:dyDescent="0.35">
      <c r="A19" s="250"/>
      <c r="B19" s="251"/>
      <c r="C19" s="252"/>
      <c r="D19" s="343"/>
      <c r="E19" s="344"/>
      <c r="F19" s="238"/>
      <c r="G19" s="336"/>
    </row>
    <row r="20" spans="1:7" ht="16.2" thickTop="1" x14ac:dyDescent="0.3">
      <c r="A20" s="262"/>
      <c r="B20" s="345" t="s">
        <v>147</v>
      </c>
      <c r="C20" s="346">
        <f>SUM(C16:C19)/100</f>
        <v>0</v>
      </c>
      <c r="D20" s="238"/>
      <c r="E20" s="238"/>
      <c r="F20" s="238"/>
      <c r="G20" s="238"/>
    </row>
    <row r="21" spans="1:7" x14ac:dyDescent="0.3">
      <c r="E21" s="61" t="s">
        <v>89</v>
      </c>
      <c r="G21" s="327">
        <f>SUM(Martial!M3:M34,Equipment!G3:G19)</f>
        <v>65900</v>
      </c>
    </row>
  </sheetData>
  <sortState xmlns:xlrd2="http://schemas.microsoft.com/office/spreadsheetml/2017/richdata2" ref="A8:E24">
    <sortCondition ref="A8:A24"/>
  </sortState>
  <phoneticPr fontId="0" type="noConversion"/>
  <conditionalFormatting sqref="C20">
    <cfRule type="cellIs" dxfId="2" priority="1" operator="greaterThan">
      <formula>75</formula>
    </cfRule>
    <cfRule type="cellIs" dxfId="1" priority="2" operator="between">
      <formula>50</formula>
      <formula>75</formula>
    </cfRule>
    <cfRule type="cellIs" dxfId="0" priority="3" operator="lessThan">
      <formula>50</formula>
    </cfRule>
  </conditionalFormatting>
  <printOptions gridLinesSet="0"/>
  <pageMargins left="0.62" right="0.33" top="0.5" bottom="0.63" header="0.5" footer="0.5"/>
  <pageSetup orientation="portrait" horizontalDpi="120" verticalDpi="144"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Personal File</vt:lpstr>
      <vt:lpstr>Skills</vt:lpstr>
      <vt:lpstr>Feats</vt:lpstr>
      <vt:lpstr>Martial</vt:lpstr>
      <vt:lpstr>Equipment</vt:lpstr>
      <vt:lpstr>'Personal File'!Print_Area</vt:lpstr>
      <vt:lpstr>Skills!Print_Area</vt:lpstr>
    </vt:vector>
  </TitlesOfParts>
  <LinksUpToDate>false</LinksUpToDate>
  <SharedDoc>false</SharedDoc>
  <HyperlinkBase>http://www.alexisalvarez.org/RPG/sof/</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2012-12-01T21:17:53Z</cp:lastPrinted>
  <dcterms:created xsi:type="dcterms:W3CDTF">2000-10-24T15:39:59Z</dcterms:created>
  <dcterms:modified xsi:type="dcterms:W3CDTF">2023-11-09T16:37:57Z</dcterms:modified>
</cp:coreProperties>
</file>