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C:\A\Juegos\FoL\NPCs\"/>
    </mc:Choice>
  </mc:AlternateContent>
  <xr:revisionPtr revIDLastSave="0" documentId="13_ncr:1_{107EE26B-C5C9-47C4-B37C-B1AE26808B42}" xr6:coauthVersionLast="47" xr6:coauthVersionMax="47" xr10:uidLastSave="{00000000-0000-0000-0000-000000000000}"/>
  <bookViews>
    <workbookView xWindow="-108" yWindow="-108" windowWidth="23256" windowHeight="13176" tabRatio="471" xr2:uid="{00000000-000D-0000-FFFF-FFFF00000000}"/>
  </bookViews>
  <sheets>
    <sheet name="Personal File" sheetId="4" r:id="rId1"/>
    <sheet name="Shade" sheetId="20" r:id="rId2"/>
    <sheet name="Skills" sheetId="15" r:id="rId3"/>
    <sheet name="Spells" sheetId="21" r:id="rId4"/>
    <sheet name="Feats" sheetId="17" r:id="rId5"/>
    <sheet name="Martial" sheetId="6" r:id="rId6"/>
    <sheet name="Equipment" sheetId="19" r:id="rId7"/>
    <sheet name="Familiar" sheetId="22" r:id="rId8"/>
    <sheet name="Leadership" sheetId="23" r:id="rId9"/>
  </sheets>
  <externalReferences>
    <externalReference r:id="rId10"/>
  </externalReferences>
  <definedNames>
    <definedName name="_xlnm._FilterDatabase" localSheetId="8" hidden="1">Leadership!$A$1:$AA$1</definedName>
    <definedName name="NoShade">'[1]Spell Sheet'!$FH$1</definedName>
    <definedName name="_xlnm.Print_Area" localSheetId="6">Equipment!#REF!</definedName>
    <definedName name="_xlnm.Print_Area" localSheetId="7">Familiar!$A$1:$H$22</definedName>
    <definedName name="_xlnm.Print_Area" localSheetId="4">Feats!#REF!</definedName>
    <definedName name="_xlnm.Print_Area" localSheetId="5">Martial!#REF!</definedName>
    <definedName name="_xlnm.Print_Area" localSheetId="0">'Personal File'!$A$1:$H$32</definedName>
    <definedName name="_xlnm.Print_Area" localSheetId="1">Shade!$A$1:$H$11</definedName>
    <definedName name="_xlnm.Print_Area" localSheetId="2">Skills!$A$1:$M$28</definedName>
    <definedName name="_xlnm.Print_Area" localSheetId="3">Spells!$A$1:$I$21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 i="23" l="1"/>
  <c r="J3" i="23"/>
  <c r="I2" i="23"/>
  <c r="H2" i="23"/>
  <c r="B9" i="4"/>
  <c r="V7" i="23" l="1"/>
  <c r="T6" i="23"/>
  <c r="N8" i="23"/>
  <c r="M7" i="23"/>
  <c r="N6" i="23"/>
  <c r="B14" i="4"/>
  <c r="U6" i="23" l="1"/>
  <c r="N7" i="23"/>
  <c r="M6" i="23"/>
  <c r="M8" i="23"/>
  <c r="AB5" i="23"/>
  <c r="V5" i="23"/>
  <c r="T5" i="23"/>
  <c r="U5" i="23" s="1"/>
  <c r="R5" i="23"/>
  <c r="Q5" i="23"/>
  <c r="P5" i="23"/>
  <c r="O5" i="23"/>
  <c r="N5" i="23"/>
  <c r="S5" i="23" s="1"/>
  <c r="H5" i="23"/>
  <c r="M5" i="23" s="1"/>
  <c r="AB4" i="23"/>
  <c r="T4" i="23" s="1"/>
  <c r="V4" i="23"/>
  <c r="Q4" i="23"/>
  <c r="P4" i="23"/>
  <c r="O4" i="23"/>
  <c r="L4" i="23"/>
  <c r="M4" i="23" s="1"/>
  <c r="H4" i="23"/>
  <c r="N4" i="23" s="1"/>
  <c r="S4" i="23" s="1"/>
  <c r="G4" i="23"/>
  <c r="U4" i="23" l="1"/>
  <c r="G2" i="23" l="1"/>
  <c r="I6" i="17" l="1"/>
  <c r="B4" i="22" l="1"/>
  <c r="R2" i="23"/>
  <c r="J8" i="6" l="1"/>
  <c r="X25" i="17"/>
  <c r="W25" i="17"/>
  <c r="V25" i="17"/>
  <c r="U25" i="17"/>
  <c r="T25" i="17"/>
  <c r="S25" i="17"/>
  <c r="R25" i="17"/>
  <c r="AB3" i="23"/>
  <c r="T3" i="23" s="1"/>
  <c r="B11" i="4" l="1"/>
  <c r="N3" i="23" l="1"/>
  <c r="V3" i="23"/>
  <c r="S3" i="23" l="1"/>
  <c r="U3" i="23"/>
  <c r="J10" i="6"/>
  <c r="J13" i="6" l="1"/>
  <c r="H14" i="6"/>
  <c r="I14" i="6" s="1"/>
  <c r="J14" i="6"/>
  <c r="K14" i="6" l="1"/>
  <c r="L14" i="6"/>
  <c r="Q3" i="23" l="1"/>
  <c r="P3" i="23"/>
  <c r="O3" i="23"/>
  <c r="Q2" i="23"/>
  <c r="P2" i="23"/>
  <c r="O2" i="23"/>
  <c r="AB2" i="23" l="1"/>
  <c r="T2" i="23" s="1"/>
  <c r="B20" i="6" l="1"/>
  <c r="J9" i="6"/>
  <c r="J16" i="6" l="1"/>
  <c r="J15" i="6"/>
  <c r="J17" i="6"/>
  <c r="L2" i="23" l="1"/>
  <c r="B8" i="4" l="1"/>
  <c r="J5" i="6" l="1"/>
  <c r="V2" i="23" l="1"/>
  <c r="O11" i="17" l="1"/>
  <c r="B5" i="22" l="1"/>
  <c r="B4" i="15" l="1"/>
  <c r="B3" i="15"/>
  <c r="F6" i="17" l="1"/>
  <c r="G6" i="17"/>
  <c r="H6" i="17"/>
  <c r="J7" i="6" l="1"/>
  <c r="M3" i="23" l="1"/>
  <c r="B10" i="4" l="1"/>
  <c r="N2" i="23" l="1"/>
  <c r="S2" i="23" s="1"/>
  <c r="M2" i="23"/>
  <c r="U2" i="23" l="1"/>
  <c r="E57" i="15"/>
  <c r="B13" i="4" l="1"/>
  <c r="F27" i="15" l="1"/>
  <c r="F23" i="15"/>
  <c r="F21" i="15"/>
  <c r="F16" i="15"/>
  <c r="F7" i="15"/>
  <c r="F9" i="15"/>
  <c r="F34" i="15"/>
  <c r="F39" i="15"/>
  <c r="E6" i="17"/>
  <c r="J4" i="6"/>
  <c r="J6" i="6"/>
  <c r="I40" i="15" l="1"/>
  <c r="I39" i="15"/>
  <c r="I38" i="15"/>
  <c r="I37" i="15"/>
  <c r="I36" i="15"/>
  <c r="I35" i="15"/>
  <c r="I34" i="15"/>
  <c r="I33" i="15"/>
  <c r="I32" i="15"/>
  <c r="I31" i="15"/>
  <c r="I30" i="15"/>
  <c r="I29" i="15"/>
  <c r="I28" i="15"/>
  <c r="I27" i="15"/>
  <c r="I26" i="15"/>
  <c r="I25" i="15"/>
  <c r="I24" i="15"/>
  <c r="I23" i="15"/>
  <c r="I22" i="15"/>
  <c r="I21" i="15"/>
  <c r="I20" i="15"/>
  <c r="I19" i="15"/>
  <c r="I18" i="15"/>
  <c r="I17" i="15"/>
  <c r="I16" i="15"/>
  <c r="I15" i="15"/>
  <c r="I14" i="15"/>
  <c r="I13" i="15"/>
  <c r="I12" i="15"/>
  <c r="B9" i="20" l="1"/>
  <c r="C9" i="22" l="1"/>
  <c r="C8" i="22"/>
  <c r="C7" i="22"/>
  <c r="C6" i="22"/>
  <c r="C5" i="22"/>
  <c r="C4" i="22"/>
  <c r="I3" i="15" l="1"/>
  <c r="I5" i="15"/>
  <c r="I4" i="15"/>
  <c r="J3" i="6" l="1"/>
  <c r="C14" i="4" l="1"/>
  <c r="I7" i="17" s="1"/>
  <c r="I8" i="17" s="1"/>
  <c r="C13" i="4"/>
  <c r="C12" i="4"/>
  <c r="C11" i="4"/>
  <c r="E11" i="4" s="1"/>
  <c r="C10" i="4"/>
  <c r="C9" i="4"/>
  <c r="C8" i="6" s="1"/>
  <c r="E55" i="15" l="1"/>
  <c r="E56" i="15"/>
  <c r="E12" i="4"/>
  <c r="H13" i="6"/>
  <c r="C6" i="6"/>
  <c r="C7" i="6"/>
  <c r="H10" i="6"/>
  <c r="H9" i="6"/>
  <c r="E53" i="15"/>
  <c r="E54" i="15"/>
  <c r="B7" i="17"/>
  <c r="B8" i="17" s="1"/>
  <c r="C7" i="17"/>
  <c r="C8" i="17" s="1"/>
  <c r="G7" i="17"/>
  <c r="G8" i="17" s="1"/>
  <c r="H7" i="17"/>
  <c r="H8" i="17" s="1"/>
  <c r="D7" i="17"/>
  <c r="D8" i="17" s="1"/>
  <c r="E7" i="17"/>
  <c r="E8" i="17" s="1"/>
  <c r="F7" i="17"/>
  <c r="F8" i="17" s="1"/>
  <c r="E51" i="15"/>
  <c r="E47" i="15"/>
  <c r="E43" i="15"/>
  <c r="E50" i="15"/>
  <c r="E46" i="15"/>
  <c r="E49" i="15"/>
  <c r="E45" i="15"/>
  <c r="E52" i="15"/>
  <c r="E48" i="15"/>
  <c r="E44" i="15"/>
  <c r="D5" i="15"/>
  <c r="G5" i="15" s="1"/>
  <c r="J5" i="15" s="1"/>
  <c r="D3" i="15"/>
  <c r="G3" i="15" s="1"/>
  <c r="J3" i="15" s="1"/>
  <c r="H3" i="6"/>
  <c r="H5" i="6" s="1"/>
  <c r="H6" i="6"/>
  <c r="H16" i="6"/>
  <c r="H17" i="6"/>
  <c r="K17" i="6" s="1"/>
  <c r="H15" i="6"/>
  <c r="D4" i="15"/>
  <c r="G24" i="6"/>
  <c r="G25" i="6"/>
  <c r="K13" i="6" l="1"/>
  <c r="I13" i="6"/>
  <c r="L13" i="6" s="1"/>
  <c r="H7" i="6"/>
  <c r="I7" i="6" s="1"/>
  <c r="L7" i="6" s="1"/>
  <c r="H8" i="6"/>
  <c r="I9" i="6"/>
  <c r="L9" i="6" s="1"/>
  <c r="K9" i="6"/>
  <c r="I5" i="6"/>
  <c r="L5" i="6" s="1"/>
  <c r="K5" i="6"/>
  <c r="E5" i="15"/>
  <c r="E3" i="15"/>
  <c r="E42" i="15"/>
  <c r="I15" i="6"/>
  <c r="L15" i="6" s="1"/>
  <c r="K15" i="6"/>
  <c r="I16" i="6"/>
  <c r="L16" i="6" s="1"/>
  <c r="K16" i="6"/>
  <c r="H4" i="6"/>
  <c r="K3" i="6"/>
  <c r="I6" i="6"/>
  <c r="L6" i="6" s="1"/>
  <c r="K6" i="6"/>
  <c r="H3" i="15"/>
  <c r="K3" i="15" s="1"/>
  <c r="H5" i="15"/>
  <c r="K5" i="15" s="1"/>
  <c r="E4" i="15"/>
  <c r="G4" i="15"/>
  <c r="J4" i="15" s="1"/>
  <c r="E9" i="20"/>
  <c r="E14" i="4"/>
  <c r="B3" i="20"/>
  <c r="B4" i="20"/>
  <c r="K7" i="6" l="1"/>
  <c r="K8" i="6"/>
  <c r="I8" i="6"/>
  <c r="L8" i="6" s="1"/>
  <c r="E7" i="22"/>
  <c r="I10" i="6"/>
  <c r="L10" i="6" s="1"/>
  <c r="K10" i="6"/>
  <c r="I4" i="6"/>
  <c r="L4" i="6" s="1"/>
  <c r="K4" i="6"/>
  <c r="E9" i="22"/>
  <c r="H4" i="15"/>
  <c r="E8" i="22" s="1"/>
  <c r="E13" i="4"/>
  <c r="E10" i="20" s="1"/>
  <c r="E11" i="20"/>
  <c r="I41" i="15"/>
  <c r="I11" i="15"/>
  <c r="I10" i="15"/>
  <c r="I9" i="15"/>
  <c r="I8" i="15"/>
  <c r="I7" i="15"/>
  <c r="I6" i="15"/>
  <c r="K4" i="15" l="1"/>
  <c r="C22" i="19"/>
  <c r="I17" i="6" l="1"/>
  <c r="L17" i="6" s="1"/>
  <c r="B42" i="15" l="1"/>
  <c r="E4" i="20" l="1"/>
  <c r="K6" i="17" l="1"/>
  <c r="J6" i="17"/>
  <c r="D6" i="17"/>
  <c r="C6" i="17"/>
  <c r="B6" i="17"/>
  <c r="B11" i="20" l="1"/>
  <c r="C11" i="20" s="1"/>
  <c r="B8" i="20"/>
  <c r="C8" i="20" s="1"/>
  <c r="B6" i="20"/>
  <c r="C6" i="20" s="1"/>
  <c r="B7" i="20"/>
  <c r="C7" i="20" s="1"/>
  <c r="C9" i="20"/>
  <c r="B10" i="20"/>
  <c r="C10" i="20" s="1"/>
  <c r="C3" i="6" l="1"/>
  <c r="C4" i="6"/>
  <c r="C5" i="6"/>
  <c r="E8" i="20"/>
  <c r="E4" i="22" s="1"/>
  <c r="C14" i="19"/>
  <c r="E7" i="20" l="1"/>
  <c r="E10" i="4"/>
  <c r="D25" i="15"/>
  <c r="E25" i="15" l="1"/>
  <c r="G25" i="15"/>
  <c r="H25" i="15" l="1"/>
  <c r="K25" i="15" s="1"/>
  <c r="J25" i="15"/>
  <c r="B5" i="20"/>
  <c r="I3" i="6" l="1"/>
  <c r="L3" i="6" s="1"/>
  <c r="E3" i="20" l="1"/>
  <c r="D35" i="15"/>
  <c r="D40" i="15"/>
  <c r="C23" i="19"/>
  <c r="D30" i="15"/>
  <c r="D39" i="15"/>
  <c r="D37" i="15"/>
  <c r="D36" i="15"/>
  <c r="D38" i="15"/>
  <c r="D32" i="15"/>
  <c r="D19" i="15"/>
  <c r="D28" i="15"/>
  <c r="D34" i="15"/>
  <c r="D24" i="15"/>
  <c r="D14" i="15"/>
  <c r="D12" i="15"/>
  <c r="D41" i="15"/>
  <c r="D33" i="15"/>
  <c r="D31" i="15"/>
  <c r="D29" i="15"/>
  <c r="D27" i="15"/>
  <c r="D26" i="15"/>
  <c r="D23" i="15"/>
  <c r="D22" i="15"/>
  <c r="D21" i="15"/>
  <c r="D20" i="15"/>
  <c r="D18" i="15"/>
  <c r="D17" i="15"/>
  <c r="D16" i="15"/>
  <c r="D15" i="15"/>
  <c r="D13" i="15"/>
  <c r="D11" i="15"/>
  <c r="D10" i="15"/>
  <c r="D9" i="15"/>
  <c r="D8" i="15"/>
  <c r="D7" i="15"/>
  <c r="D6" i="15"/>
  <c r="E9" i="15" l="1"/>
  <c r="G9" i="15"/>
  <c r="E11" i="15"/>
  <c r="G11" i="15"/>
  <c r="E15" i="15"/>
  <c r="G15" i="15"/>
  <c r="J15" i="15" s="1"/>
  <c r="E17" i="15"/>
  <c r="G17" i="15"/>
  <c r="E20" i="15"/>
  <c r="G20" i="15"/>
  <c r="J20" i="15" s="1"/>
  <c r="E22" i="15"/>
  <c r="G22" i="15"/>
  <c r="E26" i="15"/>
  <c r="G26" i="15"/>
  <c r="J26" i="15" s="1"/>
  <c r="E29" i="15"/>
  <c r="G29" i="15"/>
  <c r="E33" i="15"/>
  <c r="G33" i="15"/>
  <c r="J33" i="15" s="1"/>
  <c r="E12" i="15"/>
  <c r="G12" i="15"/>
  <c r="J12" i="15" s="1"/>
  <c r="E24" i="15"/>
  <c r="G24" i="15"/>
  <c r="J24" i="15" s="1"/>
  <c r="E28" i="15"/>
  <c r="G28" i="15"/>
  <c r="J28" i="15" s="1"/>
  <c r="E32" i="15"/>
  <c r="G32" i="15"/>
  <c r="E36" i="15"/>
  <c r="G36" i="15"/>
  <c r="J36" i="15" s="1"/>
  <c r="E39" i="15"/>
  <c r="G39" i="15"/>
  <c r="J39" i="15" s="1"/>
  <c r="E35" i="15"/>
  <c r="G35" i="15"/>
  <c r="E7" i="15"/>
  <c r="G7" i="15"/>
  <c r="E6" i="15"/>
  <c r="G6" i="15"/>
  <c r="J6" i="15" s="1"/>
  <c r="E8" i="15"/>
  <c r="G8" i="15"/>
  <c r="E10" i="15"/>
  <c r="G10" i="15"/>
  <c r="E13" i="15"/>
  <c r="G13" i="15"/>
  <c r="E16" i="15"/>
  <c r="G16" i="15"/>
  <c r="E18" i="15"/>
  <c r="G18" i="15"/>
  <c r="E21" i="15"/>
  <c r="G21" i="15"/>
  <c r="J21" i="15" s="1"/>
  <c r="E23" i="15"/>
  <c r="G23" i="15"/>
  <c r="E27" i="15"/>
  <c r="G27" i="15"/>
  <c r="J27" i="15" s="1"/>
  <c r="E31" i="15"/>
  <c r="G31" i="15"/>
  <c r="E41" i="15"/>
  <c r="G41" i="15"/>
  <c r="E14" i="15"/>
  <c r="G14" i="15"/>
  <c r="J14" i="15" s="1"/>
  <c r="E34" i="15"/>
  <c r="G34" i="15"/>
  <c r="J34" i="15" s="1"/>
  <c r="E19" i="15"/>
  <c r="G19" i="15"/>
  <c r="J19" i="15" s="1"/>
  <c r="E38" i="15"/>
  <c r="G38" i="15"/>
  <c r="J38" i="15" s="1"/>
  <c r="E37" i="15"/>
  <c r="G37" i="15"/>
  <c r="E30" i="15"/>
  <c r="G30" i="15"/>
  <c r="J30" i="15" s="1"/>
  <c r="E40" i="15"/>
  <c r="G40" i="15"/>
  <c r="J40" i="15" s="1"/>
  <c r="H15" i="15"/>
  <c r="K15" i="15" s="1"/>
  <c r="H20" i="15"/>
  <c r="K20" i="15" s="1"/>
  <c r="H24" i="15" l="1"/>
  <c r="K24" i="15" s="1"/>
  <c r="H33" i="15"/>
  <c r="K33" i="15" s="1"/>
  <c r="H41" i="15"/>
  <c r="K41" i="15" s="1"/>
  <c r="J41" i="15"/>
  <c r="H16" i="15"/>
  <c r="K16" i="15" s="1"/>
  <c r="J16" i="15"/>
  <c r="H10" i="15"/>
  <c r="K10" i="15" s="1"/>
  <c r="J10" i="15"/>
  <c r="H35" i="15"/>
  <c r="K35" i="15" s="1"/>
  <c r="J35" i="15"/>
  <c r="H29" i="15"/>
  <c r="K29" i="15" s="1"/>
  <c r="J29" i="15"/>
  <c r="H22" i="15"/>
  <c r="K22" i="15" s="1"/>
  <c r="J22" i="15"/>
  <c r="H17" i="15"/>
  <c r="K17" i="15" s="1"/>
  <c r="J17" i="15"/>
  <c r="H11" i="15"/>
  <c r="K11" i="15" s="1"/>
  <c r="J11" i="15"/>
  <c r="H37" i="15"/>
  <c r="K37" i="15" s="1"/>
  <c r="J37" i="15"/>
  <c r="H31" i="15"/>
  <c r="K31" i="15" s="1"/>
  <c r="J31" i="15"/>
  <c r="H23" i="15"/>
  <c r="K23" i="15" s="1"/>
  <c r="J23" i="15"/>
  <c r="H18" i="15"/>
  <c r="K18" i="15" s="1"/>
  <c r="J18" i="15"/>
  <c r="H13" i="15"/>
  <c r="K13" i="15" s="1"/>
  <c r="J13" i="15"/>
  <c r="H8" i="15"/>
  <c r="K8" i="15" s="1"/>
  <c r="J8" i="15"/>
  <c r="H7" i="15"/>
  <c r="K7" i="15" s="1"/>
  <c r="J7" i="15"/>
  <c r="H32" i="15"/>
  <c r="K32" i="15" s="1"/>
  <c r="J32" i="15"/>
  <c r="H9" i="15"/>
  <c r="K9" i="15" s="1"/>
  <c r="J9" i="15"/>
  <c r="H30" i="15"/>
  <c r="K30" i="15" s="1"/>
  <c r="H38" i="15"/>
  <c r="K38" i="15" s="1"/>
  <c r="H40" i="15"/>
  <c r="K40" i="15" s="1"/>
  <c r="H19" i="15"/>
  <c r="K19" i="15" s="1"/>
  <c r="H14" i="15"/>
  <c r="K14" i="15" s="1"/>
  <c r="H34" i="15"/>
  <c r="K34" i="15" s="1"/>
  <c r="H39" i="15"/>
  <c r="K39" i="15" s="1"/>
  <c r="H28" i="15"/>
  <c r="K28" i="15" s="1"/>
  <c r="H12" i="15"/>
  <c r="K12" i="15" s="1"/>
  <c r="H36" i="15"/>
  <c r="K36" i="15" s="1"/>
  <c r="H26" i="15"/>
  <c r="K26" i="15" s="1"/>
  <c r="H27" i="15"/>
  <c r="K27" i="15" s="1"/>
  <c r="H21" i="15"/>
  <c r="K21" i="15" s="1"/>
  <c r="H6" i="15"/>
  <c r="K6"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3" authorId="0" shapeId="0" xr:uid="{00000000-0006-0000-0000-000001000000}">
      <text>
        <r>
          <rPr>
            <sz val="12"/>
            <color indexed="81"/>
            <rFont val="Times New Roman"/>
            <family val="1"/>
          </rPr>
          <t>Unearthed Arcana</t>
        </r>
      </text>
    </comment>
    <comment ref="C5" authorId="0" shapeId="0" xr:uid="{74C5E818-6747-4E3D-87CB-370CD77B4B91}">
      <text>
        <r>
          <rPr>
            <sz val="12"/>
            <color indexed="81"/>
            <rFont val="Times New Roman"/>
            <family val="1"/>
          </rPr>
          <t>Undetectable Alignment</t>
        </r>
      </text>
    </comment>
    <comment ref="C8" authorId="0" shapeId="0" xr:uid="{00000000-0006-0000-0000-000003000000}">
      <text>
        <r>
          <rPr>
            <sz val="12"/>
            <color indexed="81"/>
            <rFont val="Times New Roman"/>
            <family val="1"/>
          </rPr>
          <t>BAB advances as a cleric</t>
        </r>
      </text>
    </comment>
    <comment ref="B9" authorId="0" shapeId="0" xr:uid="{00000000-0006-0000-0000-000004000000}">
      <text>
        <r>
          <rPr>
            <sz val="12"/>
            <color indexed="81"/>
            <rFont val="Times New Roman"/>
            <family val="1"/>
          </rPr>
          <t xml:space="preserve">Armbands of Strength +2
</t>
        </r>
        <r>
          <rPr>
            <i/>
            <sz val="12"/>
            <color indexed="81"/>
            <rFont val="Times New Roman"/>
            <family val="1"/>
          </rPr>
          <t>enlarge person +2 
bull’s strength +4 
baleful bolt -4</t>
        </r>
      </text>
    </comment>
    <comment ref="E9" authorId="0" shapeId="0" xr:uid="{00000000-0006-0000-0000-000005000000}">
      <text>
        <r>
          <rPr>
            <sz val="12"/>
            <color indexed="81"/>
            <rFont val="Times New Roman"/>
            <family val="1"/>
          </rPr>
          <t>See PHB 162</t>
        </r>
      </text>
    </comment>
    <comment ref="B10" authorId="0" shapeId="0" xr:uid="{00000000-0006-0000-0000-000006000000}">
      <text>
        <r>
          <rPr>
            <sz val="12"/>
            <color indexed="81"/>
            <rFont val="Times New Roman"/>
            <family val="1"/>
          </rPr>
          <t xml:space="preserve">+2 Gloves of Dexterity
+4 </t>
        </r>
        <r>
          <rPr>
            <i/>
            <sz val="12"/>
            <color indexed="81"/>
            <rFont val="Times New Roman"/>
            <family val="1"/>
          </rPr>
          <t>cat’s grace</t>
        </r>
        <r>
          <rPr>
            <sz val="12"/>
            <color indexed="81"/>
            <rFont val="Times New Roman"/>
            <family val="1"/>
          </rPr>
          <t xml:space="preserve">
-2 </t>
        </r>
        <r>
          <rPr>
            <i/>
            <sz val="12"/>
            <color indexed="81"/>
            <rFont val="Times New Roman"/>
            <family val="1"/>
          </rPr>
          <t>enlarge person</t>
        </r>
      </text>
    </comment>
    <comment ref="B11" authorId="0" shapeId="0" xr:uid="{00000000-0006-0000-0000-000007000000}">
      <text>
        <r>
          <rPr>
            <i/>
            <sz val="12"/>
            <color indexed="81"/>
            <rFont val="Times New Roman"/>
            <family val="1"/>
          </rPr>
          <t>baleful bolt - 6</t>
        </r>
      </text>
    </comment>
    <comment ref="E11" authorId="0" shapeId="0" xr:uid="{00000000-0006-0000-0000-000008000000}">
      <text>
        <r>
          <rPr>
            <sz val="12"/>
            <color indexed="81"/>
            <rFont val="Times New Roman"/>
            <family val="1"/>
          </rPr>
          <t>[(14 * 8 Battle Sorcerer) * 75%] + (14 * 1 Con)</t>
        </r>
      </text>
    </comment>
    <comment ref="E12" authorId="0" shapeId="0" xr:uid="{00000000-0006-0000-0000-000009000000}">
      <text>
        <r>
          <rPr>
            <i/>
            <sz val="12"/>
            <color indexed="81"/>
            <rFont val="Times New Roman"/>
            <family val="1"/>
          </rPr>
          <t>shield +4</t>
        </r>
      </text>
    </comment>
    <comment ref="B14" authorId="0" shapeId="0" xr:uid="{00000000-0006-0000-0000-00000A000000}">
      <text>
        <r>
          <rPr>
            <sz val="12"/>
            <color indexed="81"/>
            <rFont val="Times New Roman"/>
            <family val="1"/>
          </rPr>
          <t>Cloak of Charisma +2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E6" authorId="0" shapeId="0" xr:uid="{00000000-0006-0000-0100-000001000000}">
      <text>
        <r>
          <rPr>
            <sz val="12"/>
            <color indexed="81"/>
            <rFont val="Times New Roman"/>
            <family val="1"/>
          </rPr>
          <t>See PHB 162</t>
        </r>
      </text>
    </comment>
    <comment ref="E8" authorId="0" shapeId="0" xr:uid="{00000000-0006-0000-0100-000002000000}">
      <text>
        <r>
          <rPr>
            <sz val="12"/>
            <color indexed="81"/>
            <rFont val="Times New Roman"/>
            <family val="1"/>
          </rPr>
          <t>Base HPs + (class levels x 2 Con)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00000000-0006-0000-0200-000001000000}">
      <text>
        <r>
          <rPr>
            <sz val="12"/>
            <color indexed="81"/>
            <rFont val="Times New Roman"/>
            <family val="1"/>
          </rPr>
          <t>Vest of Resistance +2</t>
        </r>
      </text>
    </comment>
    <comment ref="F4" authorId="0" shapeId="0" xr:uid="{00000000-0006-0000-0200-000002000000}">
      <text>
        <r>
          <rPr>
            <sz val="12"/>
            <color indexed="81"/>
            <rFont val="Times New Roman"/>
            <family val="1"/>
          </rPr>
          <t>Vest of Resistance +2</t>
        </r>
      </text>
    </comment>
    <comment ref="F5" authorId="0" shapeId="0" xr:uid="{00000000-0006-0000-0200-000003000000}">
      <text>
        <r>
          <rPr>
            <sz val="12"/>
            <color indexed="81"/>
            <rFont val="Times New Roman"/>
            <family val="1"/>
          </rPr>
          <t>Vest of Resistance +2</t>
        </r>
      </text>
    </comment>
    <comment ref="F7" authorId="0" shapeId="0" xr:uid="{00000000-0006-0000-0200-000004000000}">
      <text>
        <r>
          <rPr>
            <sz val="12"/>
            <color indexed="81"/>
            <rFont val="Times New Roman"/>
            <family val="1"/>
          </rPr>
          <t>Chain Shirt</t>
        </r>
      </text>
    </comment>
    <comment ref="F9" authorId="0" shapeId="0" xr:uid="{00000000-0006-0000-0200-000005000000}">
      <text>
        <r>
          <rPr>
            <sz val="12"/>
            <color indexed="81"/>
            <rFont val="Times New Roman"/>
            <family val="1"/>
          </rPr>
          <t>Chain Shirt</t>
        </r>
      </text>
    </comment>
    <comment ref="F16" authorId="0" shapeId="0" xr:uid="{00000000-0006-0000-0200-000006000000}">
      <text>
        <r>
          <rPr>
            <sz val="12"/>
            <color indexed="81"/>
            <rFont val="Times New Roman"/>
            <family val="1"/>
          </rPr>
          <t>Chain Shirt</t>
        </r>
      </text>
    </comment>
    <comment ref="F21" authorId="0" shapeId="0" xr:uid="{00000000-0006-0000-0200-000007000000}">
      <text>
        <r>
          <rPr>
            <sz val="12"/>
            <color indexed="81"/>
            <rFont val="Times New Roman"/>
            <family val="1"/>
          </rPr>
          <t>Chain Shirt</t>
        </r>
      </text>
    </comment>
    <comment ref="F23" authorId="0" shapeId="0" xr:uid="{00000000-0006-0000-0200-000008000000}">
      <text>
        <r>
          <rPr>
            <sz val="12"/>
            <color indexed="81"/>
            <rFont val="Times New Roman"/>
            <family val="1"/>
          </rPr>
          <t>Chain Shirt</t>
        </r>
      </text>
    </comment>
    <comment ref="F26" authorId="0" shapeId="0" xr:uid="{00000000-0006-0000-0200-000009000000}">
      <text>
        <r>
          <rPr>
            <sz val="12"/>
            <color indexed="81"/>
            <rFont val="Times New Roman"/>
            <family val="1"/>
          </rPr>
          <t>Familiar bonus +3
Alertness +2</t>
        </r>
      </text>
    </comment>
    <comment ref="F27" authorId="0" shapeId="0" xr:uid="{00000000-0006-0000-0200-00000A000000}">
      <text>
        <r>
          <rPr>
            <sz val="12"/>
            <color indexed="81"/>
            <rFont val="Times New Roman"/>
            <family val="1"/>
          </rPr>
          <t>Chain Shirt</t>
        </r>
      </text>
    </comment>
    <comment ref="F32" authorId="0" shapeId="0" xr:uid="{00000000-0006-0000-0200-00000B000000}">
      <text>
        <r>
          <rPr>
            <sz val="12"/>
            <color indexed="81"/>
            <rFont val="Times New Roman"/>
            <family val="1"/>
          </rPr>
          <t>K: Archit. synergy +2 w secret compartments</t>
        </r>
      </text>
    </comment>
    <comment ref="F34" authorId="0" shapeId="0" xr:uid="{00000000-0006-0000-0200-00000C000000}">
      <text>
        <r>
          <rPr>
            <sz val="12"/>
            <color indexed="81"/>
            <rFont val="Times New Roman"/>
            <family val="1"/>
          </rPr>
          <t>Chain Shirt</t>
        </r>
      </text>
    </comment>
    <comment ref="F35" authorId="0" shapeId="0" xr:uid="{00000000-0006-0000-0200-00000D000000}">
      <text>
        <r>
          <rPr>
            <sz val="12"/>
            <color indexed="81"/>
            <rFont val="Times New Roman"/>
            <family val="1"/>
          </rPr>
          <t>Knowledge (Arcana) synergy bonus</t>
        </r>
      </text>
    </comment>
    <comment ref="F36" authorId="0" shapeId="0" xr:uid="{00000000-0006-0000-0200-00000E000000}">
      <text>
        <r>
          <rPr>
            <sz val="12"/>
            <color indexed="81"/>
            <rFont val="Times New Roman"/>
            <family val="1"/>
          </rPr>
          <t>Alertness +2</t>
        </r>
      </text>
    </comment>
    <comment ref="F39" authorId="0" shapeId="0" xr:uid="{00000000-0006-0000-0200-00000F000000}">
      <text>
        <r>
          <rPr>
            <sz val="12"/>
            <color indexed="81"/>
            <rFont val="Times New Roman"/>
            <family val="1"/>
          </rPr>
          <t>Chain Shirt</t>
        </r>
      </text>
    </comment>
    <comment ref="F40" authorId="0" shapeId="0" xr:uid="{00000000-0006-0000-0200-000010000000}">
      <text>
        <r>
          <rPr>
            <sz val="12"/>
            <color indexed="81"/>
            <rFont val="Times New Roman"/>
            <family val="1"/>
          </rPr>
          <t>+2 to use scrolls (Spellcraft synergy)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6" authorId="0" shapeId="0" xr:uid="{00000000-0006-0000-0300-000001000000}">
      <text>
        <r>
          <rPr>
            <sz val="12"/>
            <color indexed="81"/>
            <rFont val="Times New Roman"/>
            <family val="1"/>
          </rPr>
          <t>Copper wire</t>
        </r>
      </text>
    </comment>
    <comment ref="D10" authorId="0" shapeId="0" xr:uid="{00000000-0006-0000-0300-000002000000}">
      <text>
        <r>
          <rPr>
            <sz val="12"/>
            <color indexed="81"/>
            <rFont val="Times New Roman"/>
            <family val="1"/>
          </rPr>
          <t>Drop of sweat</t>
        </r>
      </text>
    </comment>
    <comment ref="D11" authorId="0" shapeId="0" xr:uid="{00000000-0006-0000-0300-000003000000}">
      <text>
        <r>
          <rPr>
            <sz val="12"/>
            <color indexed="81"/>
            <rFont val="Times New Roman"/>
            <family val="1"/>
          </rPr>
          <t>Pinch of powdered iron</t>
        </r>
      </text>
    </comment>
    <comment ref="D13" authorId="0" shapeId="0" xr:uid="{00000000-0006-0000-0300-000004000000}">
      <text>
        <r>
          <rPr>
            <sz val="12"/>
            <color indexed="81"/>
            <rFont val="Times New Roman"/>
            <family val="1"/>
          </rPr>
          <t>Cured leather</t>
        </r>
      </text>
    </comment>
    <comment ref="D15" authorId="0" shapeId="0" xr:uid="{00000000-0006-0000-0300-000005000000}">
      <text>
        <r>
          <rPr>
            <sz val="12"/>
            <color indexed="81"/>
            <rFont val="Times New Roman"/>
            <family val="1"/>
          </rPr>
          <t>Bull-shit or bull-hair</t>
        </r>
      </text>
    </comment>
    <comment ref="D17" authorId="0" shapeId="0" xr:uid="{00000000-0006-0000-0300-000006000000}">
      <text>
        <r>
          <rPr>
            <sz val="12"/>
            <color indexed="81"/>
            <rFont val="Times New Roman"/>
            <family val="1"/>
          </rPr>
          <t>knife or dagger</t>
        </r>
      </text>
    </comment>
    <comment ref="D21" authorId="0" shapeId="0" xr:uid="{00000000-0006-0000-0300-000007000000}">
      <text>
        <r>
          <rPr>
            <sz val="12"/>
            <color indexed="81"/>
            <rFont val="Times New Roman"/>
            <family val="1"/>
          </rPr>
          <t>Bird's wing feather</t>
        </r>
      </text>
    </comment>
    <comment ref="D23" authorId="0" shapeId="0" xr:uid="{00000000-0006-0000-0300-000008000000}">
      <text>
        <r>
          <rPr>
            <sz val="12"/>
            <color indexed="81"/>
            <rFont val="Times New Roman"/>
            <family val="1"/>
          </rPr>
          <t>pinch of dust &amp; a few drops of water</t>
        </r>
      </text>
    </comment>
    <comment ref="D24" authorId="0" shapeId="0" xr:uid="{00000000-0006-0000-0300-000009000000}">
      <text>
        <r>
          <rPr>
            <sz val="12"/>
            <color indexed="81"/>
            <rFont val="Times New Roman"/>
            <family val="1"/>
          </rPr>
          <t>drop of blood &amp; pinch of saltpeter</t>
        </r>
      </text>
    </comment>
    <comment ref="D25" authorId="0" shapeId="0" xr:uid="{00000000-0006-0000-0300-00000A000000}">
      <text>
        <r>
          <rPr>
            <sz val="12"/>
            <color indexed="81"/>
            <rFont val="Times New Roman"/>
            <family val="1"/>
          </rPr>
          <t>glass vial of aqua regia</t>
        </r>
      </text>
    </comment>
    <comment ref="D26" authorId="0" shapeId="0" xr:uid="{00000000-0006-0000-0300-00000B000000}">
      <text>
        <r>
          <rPr>
            <sz val="12"/>
            <color indexed="81"/>
            <rFont val="Times New Roman"/>
            <family val="1"/>
          </rPr>
          <t>Humanoid skull</t>
        </r>
      </text>
    </comment>
    <comment ref="D27" authorId="0" shapeId="0" xr:uid="{00000000-0006-0000-0300-00000C000000}">
      <text>
        <r>
          <rPr>
            <sz val="12"/>
            <color indexed="81"/>
            <rFont val="Times New Roman"/>
            <family val="1"/>
          </rPr>
          <t>A pinch of dried, powdered peas combined with powdered animal hoof.</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M2" authorId="0" shapeId="0" xr:uid="{00000000-0006-0000-0400-000001000000}">
      <text>
        <r>
          <rPr>
            <sz val="12"/>
            <color indexed="81"/>
            <rFont val="Times New Roman"/>
            <family val="1"/>
          </rPr>
          <t xml:space="preserve">So long as you are able to acquire a new familiar, you may choose your new familiar from a nonstandard list.
</t>
        </r>
        <r>
          <rPr>
            <b/>
            <sz val="12"/>
            <color indexed="81"/>
            <rFont val="Times New Roman"/>
            <family val="1"/>
          </rPr>
          <t xml:space="preserve">Prerequisite:  </t>
        </r>
        <r>
          <rPr>
            <sz val="12"/>
            <color indexed="81"/>
            <rFont val="Times New Roman"/>
            <family val="1"/>
          </rPr>
          <t xml:space="preserve">Ability to acquire a new familiar, compatible alignment.
</t>
        </r>
        <r>
          <rPr>
            <b/>
            <sz val="12"/>
            <color indexed="81"/>
            <rFont val="Times New Roman"/>
            <family val="1"/>
          </rPr>
          <t xml:space="preserve">Benefit:  </t>
        </r>
        <r>
          <rPr>
            <sz val="12"/>
            <color indexed="81"/>
            <rFont val="Times New Roman"/>
            <family val="1"/>
          </rPr>
          <t xml:space="preserve">When choosing a familiar, the following creatures are also available to you. You may choose a familiar with an alignment up to one step away on each of the alignment axes (lawful through chaotic, good through evil).
The improved familiar is magically linked to its master just like a normal familiar.  The familiar uses the basic statistics for a creature of its kind, as given in the Monster Manual or Chapter 9:  Monsters of this book, with these exceptions:
</t>
        </r>
        <r>
          <rPr>
            <b/>
            <sz val="12"/>
            <color indexed="81"/>
            <rFont val="Times New Roman"/>
            <family val="1"/>
          </rPr>
          <t xml:space="preserve">Hit Points:  </t>
        </r>
        <r>
          <rPr>
            <sz val="12"/>
            <color indexed="81"/>
            <rFont val="Times New Roman"/>
            <family val="1"/>
          </rPr>
          <t xml:space="preserve">One-half the master’s total or the familiar’s normal total, whichever is higher.
</t>
        </r>
        <r>
          <rPr>
            <b/>
            <sz val="12"/>
            <color indexed="81"/>
            <rFont val="Times New Roman"/>
            <family val="1"/>
          </rPr>
          <t xml:space="preserve">Attacks:  </t>
        </r>
        <r>
          <rPr>
            <sz val="12"/>
            <color indexed="81"/>
            <rFont val="Times New Roman"/>
            <family val="1"/>
          </rPr>
          <t xml:space="preserve">Use the master’s base attack bonus or the familiar’s, whichever is better. Use the familiar’s Dexterity or Strength modifier, whichever is greater, to get the familiar’s melee attack bonus with unarmed attacks.  Damage equals that of a normal creature of that kind.
</t>
        </r>
        <r>
          <rPr>
            <b/>
            <sz val="12"/>
            <color indexed="81"/>
            <rFont val="Times New Roman"/>
            <family val="1"/>
          </rPr>
          <t xml:space="preserve">Special Attacks:  </t>
        </r>
        <r>
          <rPr>
            <sz val="12"/>
            <color indexed="81"/>
            <rFont val="Times New Roman"/>
            <family val="1"/>
          </rPr>
          <t xml:space="preserve">The familiar has all the special attacks of its kind.
</t>
        </r>
        <r>
          <rPr>
            <b/>
            <sz val="12"/>
            <color indexed="81"/>
            <rFont val="Times New Roman"/>
            <family val="1"/>
          </rPr>
          <t xml:space="preserve">Special Qualities:  </t>
        </r>
        <r>
          <rPr>
            <sz val="12"/>
            <color indexed="81"/>
            <rFont val="Times New Roman"/>
            <family val="1"/>
          </rPr>
          <t xml:space="preserve">The familiar has all the special qualities of its kind.
</t>
        </r>
        <r>
          <rPr>
            <b/>
            <sz val="12"/>
            <color indexed="81"/>
            <rFont val="Times New Roman"/>
            <family val="1"/>
          </rPr>
          <t xml:space="preserve">Saving Throws:  </t>
        </r>
        <r>
          <rPr>
            <sz val="12"/>
            <color indexed="81"/>
            <rFont val="Times New Roman"/>
            <family val="1"/>
          </rPr>
          <t xml:space="preserve">The familiar uses the master’s base save bonuses if they’re better than the familiar’s.
</t>
        </r>
        <r>
          <rPr>
            <b/>
            <sz val="12"/>
            <color indexed="81"/>
            <rFont val="Times New Roman"/>
            <family val="1"/>
          </rPr>
          <t xml:space="preserve">Skills:  </t>
        </r>
        <r>
          <rPr>
            <sz val="12"/>
            <color indexed="81"/>
            <rFont val="Times New Roman"/>
            <family val="1"/>
          </rPr>
          <t xml:space="preserve">Use the normal skills for a creature of its kind.
</t>
        </r>
        <r>
          <rPr>
            <b/>
            <sz val="12"/>
            <color indexed="81"/>
            <rFont val="Times New Roman"/>
            <family val="1"/>
          </rPr>
          <t xml:space="preserve">Familiar Special Abilities:  </t>
        </r>
        <r>
          <rPr>
            <sz val="12"/>
            <color indexed="81"/>
            <rFont val="Times New Roman"/>
            <family val="1"/>
          </rPr>
          <t>Use Table 3–19: Familiar Abilities in the Player’s Handbook to determine additional abilities as you would for a normal familiar. 
FRCS 35 – 36</t>
        </r>
      </text>
    </comment>
    <comment ref="O2" authorId="0" shapeId="0" xr:uid="{00000000-0006-0000-0400-000002000000}">
      <text>
        <r>
          <rPr>
            <sz val="12"/>
            <color indexed="81"/>
            <rFont val="Times New Roman"/>
            <family val="1"/>
          </rPr>
          <t>Shades gain a +2 competence bonus to their attacks and damage in darkness.
FRCS 314</t>
        </r>
      </text>
    </comment>
    <comment ref="M3" authorId="0" shapeId="0" xr:uid="{B8B53718-5724-4960-A132-37BAA563ABCA}">
      <text>
        <r>
          <rPr>
            <sz val="12"/>
            <rFont val="Times New Roman"/>
            <family val="1"/>
          </rPr>
          <t xml:space="preserve">You can cast spells to greater effect.
</t>
        </r>
        <r>
          <rPr>
            <b/>
            <sz val="12"/>
            <color indexed="81"/>
            <rFont val="Times New Roman"/>
            <family val="1"/>
          </rPr>
          <t xml:space="preserve">Benefit: </t>
        </r>
        <r>
          <rPr>
            <sz val="12"/>
            <rFont val="Times New Roman"/>
            <family val="1"/>
          </rPr>
          <t xml:space="preserve"> All variable, numeric effects of an empowered spell are increased by one-half.  An empowered spell deals half again as much damage as normal, cures half again as many hit points, affects half again as many targets, and so forth, as appropriate.  For example, an empowered magic missile deals 1½ times its normal damage (roll 1d4+1 and multiply the result by 1½ for each missile).  Saving throws and opposed rolls (such as the one you make when you cast dispel magic) are not affected, nor are spells without random variables.  An empowered spell uses up a spell slot two levels higher than the spell’s actual level.
PHB 93</t>
        </r>
      </text>
    </comment>
    <comment ref="O3" authorId="0" shapeId="0" xr:uid="{00000000-0006-0000-0400-000003000000}">
      <text>
        <r>
          <rPr>
            <sz val="12"/>
            <color indexed="81"/>
            <rFont val="Times New Roman"/>
            <family val="1"/>
          </rPr>
          <t>Shades can decrease the levels of light within a 100-ft. radius of themselves by a factor of 10% per level.  This decreases the overall effective range of vision for characters and creatures dependent on light by the same percentage.  For example, a human can normally see 20 feet by the light of a torch. If a 5th-level shade were to diminish the light by 50%, the human could see
only 10 feet.  Characters within the affected area gain a +1 bonus to Hide checks for each 25% decrease in light.
FRCS 314</t>
        </r>
      </text>
    </comment>
    <comment ref="M4" authorId="0" shapeId="0" xr:uid="{00000000-0006-0000-0400-00000400000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O4" authorId="0" shapeId="0" xr:uid="{00000000-0006-0000-0400-000005000000}">
      <text>
        <r>
          <rPr>
            <sz val="12"/>
            <color indexed="81"/>
            <rFont val="Times New Roman"/>
            <family val="1"/>
          </rPr>
          <t>Shades can decrease the levels of light within a 100-ft. radius of themselves by a factor of 10% per level.  This decreases the overall effective range of vision for characters and creatures dependent on light by the same percentage.  For example, a human can normally see 20 feet by the light of a torch. If a 5th-level shade were to diminish the light by 50%, the human could see only 10 feet.  Characters within the affected area gain a +1 bonus to Hide checks for each 25% decrease in light.
FRCS 314</t>
        </r>
      </text>
    </comment>
    <comment ref="H5" authorId="0" shapeId="0" xr:uid="{00000000-0006-0000-0400-000006000000}">
      <text>
        <r>
          <rPr>
            <sz val="12"/>
            <color indexed="81"/>
            <rFont val="Times New Roman"/>
            <family val="1"/>
          </rPr>
          <t>Cloak of Charisma grants this bonus</t>
        </r>
      </text>
    </comment>
    <comment ref="M5" authorId="0" shapeId="0" xr:uid="{00000000-0006-0000-0400-000007000000}">
      <text>
        <r>
          <rPr>
            <sz val="12"/>
            <color indexed="81"/>
            <rFont val="Times New Roman"/>
            <family val="1"/>
          </rPr>
          <t xml:space="preserve">The creature can use a spell-like ability with a moment’s thought.
</t>
        </r>
        <r>
          <rPr>
            <b/>
            <sz val="12"/>
            <color indexed="81"/>
            <rFont val="Times New Roman"/>
            <family val="1"/>
          </rPr>
          <t xml:space="preserve">Benefit:  </t>
        </r>
        <r>
          <rPr>
            <sz val="12"/>
            <color indexed="81"/>
            <rFont val="Times New Roman"/>
            <family val="1"/>
          </rPr>
          <t>Using a quickened spell-like ability is a free action that does not provoke an attack of opportunity.
The creature can perform another action—including the use of another spell-like ability—in the same round that it uses a quickened spell-like ability.  The creature may use only one quickened spell-like ability per round.
A spell-like ability that duplicates a spell with a casting time greater than 1 full round cannot be quickened.  Each of a creature’s spell-like abilities can be quickened only once per day, and the feat does not allow the creature to exceed its normal usage limit for any ability.
Feat Bible 14</t>
        </r>
      </text>
    </comment>
    <comment ref="O5" authorId="0" shapeId="0" xr:uid="{00000000-0006-0000-0400-000008000000}">
      <text>
        <r>
          <rPr>
            <sz val="12"/>
            <color indexed="81"/>
            <rFont val="Times New Roman"/>
            <family val="1"/>
          </rPr>
          <t>A shade regains 2 lost hit points every round.  The shade cannot regain hit points when in bright light.
FRCS 314</t>
        </r>
      </text>
    </comment>
    <comment ref="M6" authorId="0" shapeId="0" xr:uid="{00000000-0006-0000-0400-000009000000}">
      <text>
        <r>
          <rPr>
            <sz val="12"/>
            <color indexed="81"/>
            <rFont val="Times New Roman"/>
            <family val="1"/>
          </rPr>
          <t xml:space="preserve">You deal more damage with ranged touch attack spells.
</t>
        </r>
        <r>
          <rPr>
            <b/>
            <sz val="12"/>
            <color indexed="81"/>
            <rFont val="Times New Roman"/>
            <family val="1"/>
          </rPr>
          <t xml:space="preserve">Prerequisites:  </t>
        </r>
        <r>
          <rPr>
            <sz val="12"/>
            <color indexed="81"/>
            <rFont val="Times New Roman"/>
            <family val="1"/>
          </rPr>
          <t xml:space="preserve">Weapon Focus (ranged spell), caster level 4th.
</t>
        </r>
        <r>
          <rPr>
            <b/>
            <sz val="12"/>
            <color indexed="81"/>
            <rFont val="Times New Roman"/>
            <family val="1"/>
          </rPr>
          <t xml:space="preserve">Benefit:  </t>
        </r>
        <r>
          <rPr>
            <sz val="12"/>
            <color indexed="81"/>
            <rFont val="Times New Roman"/>
            <family val="1"/>
          </rPr>
          <t>Damage-dealing spells that require a ranged touch attack roll gain a +2 bonus on the damage they deal.
This extra damage applies only to the first successful attack of spells that create multiple rays or missiles, or to the first round of damage for spells that deal damage over multiple rounds on a single successful attack (such as Melf’s acid arrow).
Because you must be able to strike precisely, the extra damage applies only to targets within 30 feet.
Only spells that deal hit point damage can be affected by this feat.
Complete Arcane 82</t>
        </r>
      </text>
    </comment>
    <comment ref="O6" authorId="0" shapeId="0" xr:uid="{00000000-0006-0000-0400-00000A000000}">
      <text>
        <r>
          <rPr>
            <sz val="12"/>
            <color indexed="81"/>
            <rFont val="Times New Roman"/>
            <family val="1"/>
          </rPr>
          <t>A shade can use this spell-like ability only upon itself once per round as a sorcerer of its character level.
FRCS 314</t>
        </r>
      </text>
    </comment>
    <comment ref="M7" authorId="0" shapeId="0" xr:uid="{00000000-0006-0000-0400-00000B000000}">
      <text>
        <r>
          <rPr>
            <sz val="12"/>
            <color indexed="81"/>
            <rFont val="Times New Roman"/>
            <family val="1"/>
          </rPr>
          <t xml:space="preserve">You can cast spells silently.
</t>
        </r>
        <r>
          <rPr>
            <b/>
            <sz val="12"/>
            <color indexed="81"/>
            <rFont val="Times New Roman"/>
            <family val="1"/>
          </rPr>
          <t xml:space="preserve">Benefit:  </t>
        </r>
        <r>
          <rPr>
            <sz val="12"/>
            <color indexed="81"/>
            <rFont val="Times New Roman"/>
            <family val="1"/>
          </rPr>
          <t xml:space="preserve">A silent spell can be cast with no verbal components.
Spells without verbal components are not affected.  A silent spell uses up a spell slot one level higher than the spell’s actual level.
</t>
        </r>
        <r>
          <rPr>
            <b/>
            <sz val="12"/>
            <color indexed="81"/>
            <rFont val="Times New Roman"/>
            <family val="1"/>
          </rPr>
          <t xml:space="preserve">Special:  </t>
        </r>
        <r>
          <rPr>
            <sz val="12"/>
            <color indexed="81"/>
            <rFont val="Times New Roman"/>
            <family val="1"/>
          </rPr>
          <t>Bard spells cannot be enhanced by this metamagic feat.
PHB 100</t>
        </r>
      </text>
    </comment>
    <comment ref="O7" authorId="0" shapeId="0" xr:uid="{00000000-0006-0000-0400-00000C000000}">
      <text>
        <r>
          <rPr>
            <sz val="12"/>
            <color indexed="81"/>
            <rFont val="Times New Roman"/>
            <family val="1"/>
          </rPr>
          <t>A shade has 60-foot darkvision. It can see normally through any darkness effects, but not through fog, invisibility, obscurement, and so forth.
FRCS 314</t>
        </r>
      </text>
    </comment>
    <comment ref="O8" authorId="0" shapeId="0" xr:uid="{00000000-0006-0000-0400-00000E000000}">
      <text>
        <r>
          <rPr>
            <sz val="12"/>
            <color indexed="81"/>
            <rFont val="Times New Roman"/>
            <family val="1"/>
          </rPr>
          <t>Three times per day, a shade can use this spell-like ability (similar to the mirror image spell) as a sorcerer of its character level.  The ability creates figments of the shade (1d4, +1 per three levels).
FRCS 314</t>
        </r>
      </text>
    </comment>
    <comment ref="O9" authorId="0" shapeId="0" xr:uid="{00000000-0006-0000-0400-00000F000000}">
      <text>
        <r>
          <rPr>
            <sz val="12"/>
            <color indexed="81"/>
            <rFont val="Times New Roman"/>
            <family val="1"/>
          </rPr>
          <t>A shade of at least 8th level can vanish from its current location and reappear in any shadowy area within 300 feet, as often as once every 2 rounds.  Using this ability is a move equivalent action, so the shade can use another ability, cast a spell, or attack in the same round.
FRCS 315</t>
        </r>
      </text>
    </comment>
    <comment ref="O10" authorId="0" shapeId="0" xr:uid="{00000000-0006-0000-0400-000010000000}">
      <text>
        <r>
          <rPr>
            <sz val="12"/>
            <color indexed="81"/>
            <rFont val="Times New Roman"/>
            <family val="1"/>
          </rPr>
          <t>Once per day, a shade of at least 12th level can use either teleport without error to reach a shadowy locale on the same world as the shade or plane shift to access the Plane of Shadow.  The shade must be in shadows to use this ability.
FRCS 315</t>
        </r>
      </text>
    </comment>
    <comment ref="M11" authorId="0" shapeId="0" xr:uid="{00000000-0006-0000-0400-000011000000}">
      <text>
        <r>
          <rPr>
            <sz val="12"/>
            <color indexed="81"/>
            <rFont val="Times New Roman"/>
            <family val="1"/>
          </rPr>
          <t>Avoid arcane spell failure so long as you stick to light armor.</t>
        </r>
      </text>
    </comment>
    <comment ref="O11" authorId="0" shapeId="0" xr:uid="{00000000-0006-0000-0400-000012000000}">
      <text>
        <r>
          <rPr>
            <sz val="12"/>
            <color indexed="81"/>
            <rFont val="Times New Roman"/>
            <family val="1"/>
          </rPr>
          <t>Shades have SR of 11 + character level.
FRCS 314</t>
        </r>
      </text>
    </comment>
    <comment ref="M13" authorId="0" shapeId="0" xr:uid="{00000000-0006-0000-0400-000013000000}">
      <text>
        <r>
          <rPr>
            <sz val="12"/>
            <color indexed="81"/>
            <rFont val="Times New Roman"/>
            <family val="1"/>
          </rPr>
          <t>A sorcerer can obtain a familiar.  Doing so takes 24 hours and uses up magical materials that cost 100 gp.  A familiar is a magical beast that resembles a small animal and is unusually tough and intelligent.  The creature serves as a companion and servant.
The sorcerer chooses the kind of familiar he gets.  As the sorcerer advances in level, his familiar also increases in power.
If the familiar dies or is dismissed by the sorcerer, the sorcerer must attempt a DC 15 Fortitude saving throw.  Failure means he loses 200 experience points per sorcerer level; success reduces the loss to one-half that amount.  However, a sorcerer’s experience point total can never go below 0 as the result of a familiar’s demise or dismissal.  For example, suppose that Hennet is a 3rd-level sorcerer with 3,230 XP when his owl familiar is killed by a bugbear.  Hennet makes a successful saving throw, so he loses 300 XP, dropping him below 3,000 XP and back to 2nd level (see the Dungeon Master’s Guide for rules for losing levels). A slain or dismissed familiar cannot be replaced for a year and day.  A slain familiar can be raised from the dead just as a character can be, and it does not lose a level or a Constitution point when this happy event occurs.
A character with more than one class that grants a familiar may have only one familiar at a time.</t>
        </r>
        <r>
          <rPr>
            <b/>
            <i/>
            <sz val="12"/>
            <color indexed="81"/>
            <rFont val="Times New Roman"/>
            <family val="1"/>
          </rPr>
          <t xml:space="preserve">
</t>
        </r>
        <r>
          <rPr>
            <sz val="12"/>
            <color indexed="81"/>
            <rFont val="Times New Roman"/>
            <family val="1"/>
          </rPr>
          <t>PHB 89</t>
        </r>
      </text>
    </comment>
    <comment ref="O15" authorId="0" shapeId="0" xr:uid="{00000000-0006-0000-0400-000014000000}">
      <text>
        <r>
          <rPr>
            <b/>
            <i/>
            <sz val="12"/>
            <color indexed="81"/>
            <rFont val="Times New Roman"/>
            <family val="1"/>
          </rPr>
          <t>ONLY WHEN FAMILIAR IS WITHIN ARM’S REACH</t>
        </r>
        <r>
          <rPr>
            <sz val="12"/>
            <color indexed="81"/>
            <rFont val="Times New Roman"/>
            <family val="1"/>
          </rPr>
          <t xml:space="preserve">
You have finely tuned senses.
</t>
        </r>
        <r>
          <rPr>
            <b/>
            <sz val="12"/>
            <color indexed="81"/>
            <rFont val="Times New Roman"/>
            <family val="1"/>
          </rPr>
          <t xml:space="preserve">Benefit:  </t>
        </r>
        <r>
          <rPr>
            <sz val="12"/>
            <color indexed="81"/>
            <rFont val="Times New Roman"/>
            <family val="1"/>
          </rPr>
          <t xml:space="preserve">You get a +2 bonus on all Listen checks and Spot checks.
</t>
        </r>
        <r>
          <rPr>
            <b/>
            <sz val="12"/>
            <color indexed="81"/>
            <rFont val="Times New Roman"/>
            <family val="1"/>
          </rPr>
          <t xml:space="preserve">Special:  </t>
        </r>
        <r>
          <rPr>
            <sz val="12"/>
            <color indexed="81"/>
            <rFont val="Times New Roman"/>
            <family val="1"/>
          </rPr>
          <t>The master of a familiar (see the Familiars sidebar, page 52) gains the benefit of the Alertness feat whenever the familiar is within arm’s reach.
PHB 89</t>
        </r>
      </text>
    </comment>
    <comment ref="O16" authorId="0" shapeId="0" xr:uid="{00000000-0006-0000-0400-000015000000}">
      <text>
        <r>
          <rPr>
            <sz val="12"/>
            <color indexed="81"/>
            <rFont val="Times New Roman"/>
            <family val="1"/>
          </rPr>
          <t>If the master is 3rd level or higher, a familiar can deliver touch spells for him. If the master and the familiar are in contact at the time the master casts a touch spell, he can designate his familiar as the “toucher.” The familiar can then deliver the touch spell just as the master could. As usual, if the master casts another spell before the touch is delivered, the touch spell dissipates.
PHB 53</t>
        </r>
      </text>
    </comment>
    <comment ref="O17" authorId="0" shapeId="0" xr:uid="{00000000-0006-0000-0400-000016000000}">
      <text>
        <r>
          <rPr>
            <sz val="12"/>
            <color indexed="81"/>
            <rFont val="Times New Roman"/>
            <family val="1"/>
          </rPr>
          <t>When subjected to an attack that normally allows a Reflex saving throw for half damage, a familiar takes no damage if it makes a successful saving throw and half damage even if the saving throw fails.
PHB 53</t>
        </r>
      </text>
    </comment>
    <comment ref="O18" authorId="0" shapeId="0" xr:uid="{00000000-0006-0000-0400-000017000000}">
      <text>
        <r>
          <rPr>
            <sz val="12"/>
            <color indexed="81"/>
            <rFont val="Times New Roman"/>
            <family val="1"/>
          </rPr>
          <t>If the master is 7th level or higher, a familiar can communicate with animals of approximately the same kind as itself (including dire varieties): bats with bats, rats with rodents, cats with felines, hawks and owls and ravens with birds, lizards and snakes with reptiles, toads with amphibians, weasels with similar creatures (weasels, minks, polecats, ermines, skunks, wolverines, and badgers).  Such communication is limited by the intelligence of the conversing creatures.
PHB 53</t>
        </r>
      </text>
    </comment>
    <comment ref="O19" authorId="0" shapeId="0" xr:uid="{00000000-0006-0000-0400-000018000000}">
      <text>
        <r>
          <rPr>
            <sz val="12"/>
            <color indexed="81"/>
            <rFont val="Times New Roman"/>
            <family val="1"/>
          </rPr>
          <t>PHB 89</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3" authorId="0" shapeId="0" xr:uid="{00000000-0006-0000-0500-000001000000}">
      <text>
        <r>
          <rPr>
            <sz val="12"/>
            <color indexed="81"/>
            <rFont val="Times New Roman"/>
            <family val="1"/>
          </rPr>
          <t>An unholy weapon is imbued with unholy power.  This power makes the weapon evil-aligned and thus bypasses the corresponding damage reduction.  It deals an extra 2d6 points of damage against all of good alignment.  It bestows one negative level on any good creature attempting to wield it.  The negative level remains as long as the weapon is in hand and disappears when the weapon is no longer wielded.  This negative level never results in actual level loss, but it cannot be overcome in any way (including restoration spells) while the weapon is wielded.  Bows, crossbows, and slings so crafted bestow the unholy power upon their ammunition.
DMG 226</t>
        </r>
      </text>
    </comment>
    <comment ref="C13" authorId="0" shapeId="0" xr:uid="{00000000-0006-0000-0500-000002000000}">
      <text>
        <r>
          <rPr>
            <b/>
            <sz val="12"/>
            <color indexed="81"/>
            <rFont val="Times New Roman"/>
            <family val="1"/>
          </rPr>
          <t xml:space="preserve">Ranged Spell Specialization
</t>
        </r>
        <r>
          <rPr>
            <sz val="12"/>
            <color indexed="81"/>
            <rFont val="Times New Roman"/>
            <family val="1"/>
          </rPr>
          <t xml:space="preserve">You deal more damage with ranged touch attack spells.
</t>
        </r>
        <r>
          <rPr>
            <b/>
            <sz val="12"/>
            <color indexed="81"/>
            <rFont val="Times New Roman"/>
            <family val="1"/>
          </rPr>
          <t xml:space="preserve">Prerequisites:  </t>
        </r>
        <r>
          <rPr>
            <sz val="12"/>
            <color indexed="81"/>
            <rFont val="Times New Roman"/>
            <family val="1"/>
          </rPr>
          <t xml:space="preserve">Weapon Focus (ranged spell), caster level 4th.
</t>
        </r>
        <r>
          <rPr>
            <b/>
            <sz val="12"/>
            <color indexed="81"/>
            <rFont val="Times New Roman"/>
            <family val="1"/>
          </rPr>
          <t xml:space="preserve">Benefit:  </t>
        </r>
        <r>
          <rPr>
            <sz val="12"/>
            <color indexed="81"/>
            <rFont val="Times New Roman"/>
            <family val="1"/>
          </rPr>
          <t>Damage-dealing spells that require a ranged touch attack roll gain a +2 bonus on the damage they deal.
This extra damage applies only to the first successful attack of spells that create multiple rays or missiles, or to the first round of damage for spells that deal damage over multiple rounds on a single successful attack (such as Melf’s acid arrow).
Because you must be able to strike precisely, the extra damage applies only to targets within 30 feet.
Only spells that deal hit point damage can be affected by this feat.
Complete Arcane 82</t>
        </r>
      </text>
    </comment>
    <comment ref="D19" authorId="0" shapeId="0" xr:uid="{00000000-0006-0000-0500-000003000000}">
      <text>
        <r>
          <rPr>
            <sz val="12"/>
            <color indexed="81"/>
            <rFont val="Times New Roman"/>
            <family val="1"/>
          </rPr>
          <t>Balance, Climb, Escape Artist, Hide, Jump, Move Silently, Sleight of Hand, Tumble.</t>
        </r>
      </text>
    </comment>
    <comment ref="E20" authorId="0" shapeId="0" xr:uid="{00000000-0006-0000-0500-000004000000}">
      <text>
        <r>
          <rPr>
            <b/>
            <sz val="12"/>
            <color indexed="81"/>
            <rFont val="Times New Roman"/>
            <family val="1"/>
          </rPr>
          <t xml:space="preserve">Armored Mage:  </t>
        </r>
        <r>
          <rPr>
            <sz val="12"/>
            <color indexed="81"/>
            <rFont val="Times New Roman"/>
            <family val="1"/>
          </rPr>
          <t>Avoid arcane spell failure so long as you stick to light armor.</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4" authorId="0" shapeId="0" xr:uid="{00000000-0006-0000-0600-000001000000}">
      <text>
        <r>
          <rPr>
            <sz val="12"/>
            <color indexed="81"/>
            <rFont val="Times New Roman"/>
            <family val="1"/>
          </rPr>
          <t xml:space="preserve">This lightweight and fashionable cloak has a highly decorative silver trim.  When in a character’s possession, it adds a +2, +4, or +6 enhancement bonus to her Charisma score.
Moderate transmutation; CL 8th; Craft Wondrous Item, </t>
        </r>
        <r>
          <rPr>
            <i/>
            <sz val="12"/>
            <color indexed="81"/>
            <rFont val="Times New Roman"/>
            <family val="1"/>
          </rPr>
          <t>eagle’s splendor</t>
        </r>
        <r>
          <rPr>
            <sz val="12"/>
            <color indexed="81"/>
            <rFont val="Times New Roman"/>
            <family val="1"/>
          </rPr>
          <t>; Price 4,000 gp (+2), 16,000 gp (+4), 36,000 gp (+6); Weight 2 lb.
DMG 253</t>
        </r>
      </text>
    </comment>
    <comment ref="A5" authorId="0" shapeId="0" xr:uid="{00000000-0006-0000-0600-000002000000}">
      <text>
        <r>
          <rPr>
            <b/>
            <sz val="12"/>
            <color indexed="81"/>
            <rFont val="Times New Roman"/>
            <family val="1"/>
          </rPr>
          <t xml:space="preserve">Price (Item Level):  </t>
        </r>
        <r>
          <rPr>
            <sz val="12"/>
            <color indexed="81"/>
            <rFont val="Times New Roman"/>
            <family val="1"/>
          </rPr>
          <t xml:space="preserve">12,000 gp (13th)
</t>
        </r>
        <r>
          <rPr>
            <b/>
            <sz val="12"/>
            <color indexed="81"/>
            <rFont val="Times New Roman"/>
            <family val="1"/>
          </rPr>
          <t xml:space="preserve">Body Slot:  </t>
        </r>
        <r>
          <rPr>
            <sz val="12"/>
            <color indexed="81"/>
            <rFont val="Times New Roman"/>
            <family val="1"/>
          </rPr>
          <t xml:space="preserve">Feet
</t>
        </r>
        <r>
          <rPr>
            <b/>
            <sz val="12"/>
            <color indexed="81"/>
            <rFont val="Times New Roman"/>
            <family val="1"/>
          </rPr>
          <t xml:space="preserve">Caster Level:  </t>
        </r>
        <r>
          <rPr>
            <sz val="12"/>
            <color indexed="81"/>
            <rFont val="Times New Roman"/>
            <family val="1"/>
          </rPr>
          <t xml:space="preserve">10th
</t>
        </r>
        <r>
          <rPr>
            <b/>
            <sz val="12"/>
            <color indexed="81"/>
            <rFont val="Times New Roman"/>
            <family val="1"/>
          </rPr>
          <t xml:space="preserve">Aura:  </t>
        </r>
        <r>
          <rPr>
            <sz val="12"/>
            <color indexed="81"/>
            <rFont val="Times New Roman"/>
            <family val="1"/>
          </rPr>
          <t xml:space="preserve">Moderate; (DC 20) transmutation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2 lb.
These calf-high boots are made of smooth, supple leather and have pointed toes.  They are unadorned except for a pair of shining, silver spurs that seem to leave a tracery of light behind them.
Riding boots react to your mount and correct it when necessary, almost without your guidance.  While mounted, you gain a +5 competence bonus on Ride checks made during combat, plus the benefit of the Ride-By Attack feat, even if you lack the prerequisites for it.  In addition, if you have the Spirited Charge feat, any charge attacks you make while mounted and wielding a lance deal ×4 damage on a critical hit (instead of the normal ×3).
MIC 121</t>
        </r>
      </text>
    </comment>
    <comment ref="A8" authorId="0" shapeId="0" xr:uid="{00000000-0006-0000-0600-000003000000}">
      <text>
        <r>
          <rPr>
            <b/>
            <sz val="12"/>
            <color indexed="81"/>
            <rFont val="Times New Roman"/>
            <family val="1"/>
          </rPr>
          <t xml:space="preserve">Price (Item Level):  </t>
        </r>
        <r>
          <rPr>
            <sz val="12"/>
            <color indexed="81"/>
            <rFont val="Times New Roman"/>
            <family val="1"/>
          </rPr>
          <t xml:space="preserve">3,700 gp (8th)
</t>
        </r>
        <r>
          <rPr>
            <b/>
            <sz val="12"/>
            <color indexed="81"/>
            <rFont val="Times New Roman"/>
            <family val="1"/>
          </rPr>
          <t xml:space="preserve">Body Slot:  </t>
        </r>
        <r>
          <rPr>
            <sz val="12"/>
            <color indexed="81"/>
            <rFont val="Times New Roman"/>
            <family val="1"/>
          </rPr>
          <t xml:space="preserve">Arms
</t>
        </r>
        <r>
          <rPr>
            <b/>
            <sz val="12"/>
            <color indexed="81"/>
            <rFont val="Times New Roman"/>
            <family val="1"/>
          </rPr>
          <t xml:space="preserve">Caster Level:  </t>
        </r>
        <r>
          <rPr>
            <sz val="12"/>
            <color indexed="81"/>
            <rFont val="Times New Roman"/>
            <family val="1"/>
          </rPr>
          <t xml:space="preserve">7th
</t>
        </r>
        <r>
          <rPr>
            <b/>
            <sz val="12"/>
            <color indexed="81"/>
            <rFont val="Times New Roman"/>
            <family val="1"/>
          </rPr>
          <t xml:space="preserve">Aura:  </t>
        </r>
        <r>
          <rPr>
            <sz val="12"/>
            <color indexed="81"/>
            <rFont val="Times New Roman"/>
            <family val="1"/>
          </rPr>
          <t xml:space="preserve">Moderate; (DC 18) illusion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
This wristband seethes with ever-shifting shadows.  Its touch feels like frozen silk.
Actually a small rift between the Plane of Shadow and the Material Plane, a shadow maniple allows characters adept at shadow magic to derive healing from their use of such magic.
When you cast a spell with the shadow descriptor, or whenever you cast a mystery (see the shadowcaster class, ToM 111), you can activate the maniple to heal damage equal to the level of the spell or mystery.
A shadow maniple functions three times per day.
MIC 133</t>
        </r>
      </text>
    </comment>
    <comment ref="A9" authorId="0" shapeId="0" xr:uid="{00000000-0006-0000-0600-000004000000}">
      <text>
        <r>
          <rPr>
            <b/>
            <sz val="12"/>
            <color indexed="81"/>
            <rFont val="Times New Roman"/>
            <family val="1"/>
          </rPr>
          <t xml:space="preserve">Price (Item Level):  </t>
        </r>
        <r>
          <rPr>
            <sz val="12"/>
            <color indexed="81"/>
            <rFont val="Times New Roman"/>
            <family val="1"/>
          </rPr>
          <t xml:space="preserve">15,000 gp (14th)
</t>
        </r>
        <r>
          <rPr>
            <b/>
            <sz val="12"/>
            <color indexed="81"/>
            <rFont val="Times New Roman"/>
            <family val="1"/>
          </rPr>
          <t xml:space="preserve">Body Slot:  </t>
        </r>
        <r>
          <rPr>
            <sz val="12"/>
            <color indexed="81"/>
            <rFont val="Times New Roman"/>
            <family val="1"/>
          </rPr>
          <t xml:space="preserve">Head
</t>
        </r>
        <r>
          <rPr>
            <b/>
            <sz val="12"/>
            <color indexed="81"/>
            <rFont val="Times New Roman"/>
            <family val="1"/>
          </rPr>
          <t xml:space="preserve">Caster Level:  </t>
        </r>
        <r>
          <rPr>
            <sz val="12"/>
            <color indexed="81"/>
            <rFont val="Times New Roman"/>
            <family val="1"/>
          </rPr>
          <t xml:space="preserve">11th
</t>
        </r>
        <r>
          <rPr>
            <b/>
            <sz val="12"/>
            <color indexed="81"/>
            <rFont val="Times New Roman"/>
            <family val="1"/>
          </rPr>
          <t xml:space="preserve">Aura:  </t>
        </r>
        <r>
          <rPr>
            <sz val="12"/>
            <color indexed="81"/>
            <rFont val="Times New Roman"/>
            <family val="1"/>
          </rPr>
          <t xml:space="preserve">Moderate; (DC 20) transmutation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
This golden circlet is engraved with dozens of different symbols and runes.
A circlet of rapid casting allows you to cast a small number of spells each day more quickly.  This circlet has 3 charges, which are renewed each day at dawn.  Spending 1 or more charges allows you to cast a single spell as part of the same swift action you used to activate the circlet.  This spell must be one that normally has a casting time of no longer than 1 standard action.  Doing this expends the prepared spell or spell slot as if you had cast the spell normally.
1 charge: Cast a single spell of up to 2nd level.
2 charges: Cast a single spell of up to 3rd level.
3 charges: Cast a single spell of up to 4th level.
MIC 86</t>
        </r>
      </text>
    </comment>
    <comment ref="A10" authorId="0" shapeId="0" xr:uid="{00000000-0006-0000-0600-000005000000}">
      <text>
        <r>
          <rPr>
            <sz val="12"/>
            <color indexed="81"/>
            <rFont val="Times New Roman"/>
            <family val="1"/>
          </rPr>
          <t>These thin leather gloves are very flexible and allow for delicate manipulation.  They add to the wearer’s Dexterity score in the form of an enhancement bonus of +2, +4, or +6.
Both gloves must be worn for the magic to be effective.
DMG 257</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B4" authorId="0" shapeId="0" xr:uid="{00000000-0006-0000-0700-000001000000}">
      <text>
        <r>
          <rPr>
            <i/>
            <sz val="12"/>
            <color indexed="81"/>
            <rFont val="Times New Roman"/>
            <family val="1"/>
          </rPr>
          <t>+2 enlarge person
+4 bull’s strength</t>
        </r>
      </text>
    </comment>
    <comment ref="B5" authorId="0" shapeId="0" xr:uid="{00000000-0006-0000-0700-000002000000}">
      <text>
        <r>
          <rPr>
            <sz val="12"/>
            <color indexed="81"/>
            <rFont val="Times New Roman"/>
            <family val="1"/>
          </rPr>
          <t xml:space="preserve">+2 Gloves of Dexterity
+4 </t>
        </r>
        <r>
          <rPr>
            <i/>
            <sz val="12"/>
            <color indexed="81"/>
            <rFont val="Times New Roman"/>
            <family val="1"/>
          </rPr>
          <t>cat’s grace</t>
        </r>
        <r>
          <rPr>
            <sz val="12"/>
            <color indexed="81"/>
            <rFont val="Times New Roman"/>
            <family val="1"/>
          </rPr>
          <t xml:space="preserve">
-2 </t>
        </r>
        <r>
          <rPr>
            <i/>
            <sz val="12"/>
            <color indexed="81"/>
            <rFont val="Times New Roman"/>
            <family val="1"/>
          </rPr>
          <t>enlarge person</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G2" authorId="0" shapeId="0" xr:uid="{00000000-0006-0000-0800-000001000000}">
      <text>
        <r>
          <rPr>
            <i/>
            <sz val="12"/>
            <color indexed="81"/>
            <rFont val="Times New Roman"/>
            <family val="1"/>
          </rPr>
          <t>bull’s strength +4
enlarge person +2</t>
        </r>
      </text>
    </comment>
    <comment ref="H2" authorId="0" shapeId="0" xr:uid="{00000000-0006-0000-0800-000002000000}">
      <text>
        <r>
          <rPr>
            <i/>
            <sz val="12"/>
            <color indexed="81"/>
            <rFont val="Times New Roman"/>
            <family val="1"/>
          </rPr>
          <t>cat’s grace +4
enlarge person -2</t>
        </r>
      </text>
    </comment>
    <comment ref="I2" authorId="0" shapeId="0" xr:uid="{00000000-0006-0000-0800-000003000000}">
      <text>
        <r>
          <rPr>
            <i/>
            <sz val="12"/>
            <color indexed="81"/>
            <rFont val="Times New Roman"/>
            <family val="1"/>
          </rPr>
          <t>bear’s endurance +4</t>
        </r>
      </text>
    </comment>
    <comment ref="L2" authorId="0" shapeId="0" xr:uid="{00000000-0006-0000-0800-000004000000}">
      <text>
        <r>
          <rPr>
            <i/>
            <sz val="12"/>
            <color indexed="81"/>
            <rFont val="Times New Roman"/>
            <family val="1"/>
          </rPr>
          <t>Cloak of Charisma +2</t>
        </r>
      </text>
    </comment>
    <comment ref="R2" authorId="0" shapeId="0" xr:uid="{00000000-0006-0000-0800-000005000000}">
      <text>
        <r>
          <rPr>
            <i/>
            <sz val="12"/>
            <color indexed="81"/>
            <rFont val="Times New Roman"/>
            <family val="1"/>
          </rPr>
          <t>enlarge person -1</t>
        </r>
      </text>
    </comment>
    <comment ref="S2" authorId="0" shapeId="0" xr:uid="{00000000-0006-0000-0800-000006000000}">
      <text>
        <r>
          <rPr>
            <i/>
            <sz val="12"/>
            <color indexed="81"/>
            <rFont val="Times New Roman"/>
            <family val="1"/>
          </rPr>
          <t>enlarge person -1</t>
        </r>
      </text>
    </comment>
    <comment ref="T2" authorId="0" shapeId="0" xr:uid="{00000000-0006-0000-0800-000007000000}">
      <text>
        <r>
          <rPr>
            <i/>
            <sz val="12"/>
            <color indexed="81"/>
            <rFont val="Times New Roman"/>
            <family val="1"/>
          </rPr>
          <t>barkskin +2
enlarge person -1</t>
        </r>
      </text>
    </comment>
    <comment ref="U2" authorId="0" shapeId="0" xr:uid="{00000000-0006-0000-0800-000008000000}">
      <text>
        <r>
          <rPr>
            <i/>
            <sz val="12"/>
            <color indexed="81"/>
            <rFont val="Times New Roman"/>
            <family val="1"/>
          </rPr>
          <t>barkskin +2
enlarge person -1</t>
        </r>
      </text>
    </comment>
    <comment ref="AA2" authorId="0" shapeId="0" xr:uid="{00000000-0006-0000-0800-000009000000}">
      <text>
        <r>
          <rPr>
            <b/>
            <sz val="12"/>
            <color indexed="81"/>
            <rFont val="Times New Roman"/>
            <family val="1"/>
          </rPr>
          <t>Formless Vest</t>
        </r>
        <r>
          <rPr>
            <sz val="12"/>
            <color indexed="81"/>
            <rFont val="Times New Roman"/>
            <family val="1"/>
          </rPr>
          <t xml:space="preserve">
</t>
        </r>
        <r>
          <rPr>
            <b/>
            <sz val="12"/>
            <color indexed="81"/>
            <rFont val="Times New Roman"/>
            <family val="1"/>
          </rPr>
          <t xml:space="preserve">Price (Item Level):  </t>
        </r>
        <r>
          <rPr>
            <sz val="12"/>
            <color indexed="81"/>
            <rFont val="Times New Roman"/>
            <family val="1"/>
          </rPr>
          <t xml:space="preserve">3,200 gp (8th)
</t>
        </r>
        <r>
          <rPr>
            <b/>
            <sz val="12"/>
            <color indexed="81"/>
            <rFont val="Times New Roman"/>
            <family val="1"/>
          </rPr>
          <t xml:space="preserve">Body Slot:  </t>
        </r>
        <r>
          <rPr>
            <sz val="12"/>
            <color indexed="81"/>
            <rFont val="Times New Roman"/>
            <family val="1"/>
          </rPr>
          <t xml:space="preserve">Torso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transmutation
</t>
        </r>
        <r>
          <rPr>
            <b/>
            <sz val="12"/>
            <color indexed="81"/>
            <rFont val="Times New Roman"/>
            <family val="1"/>
          </rPr>
          <t xml:space="preserve">Activation:  </t>
        </r>
        <r>
          <rPr>
            <sz val="12"/>
            <color indexed="81"/>
            <rFont val="Times New Roman"/>
            <family val="1"/>
          </rPr>
          <t xml:space="preserve">Immediate (mental)
</t>
        </r>
        <r>
          <rPr>
            <b/>
            <sz val="12"/>
            <color indexed="81"/>
            <rFont val="Times New Roman"/>
            <family val="1"/>
          </rPr>
          <t xml:space="preserve">Weight:  </t>
        </r>
        <r>
          <rPr>
            <sz val="12"/>
            <color indexed="81"/>
            <rFont val="Times New Roman"/>
            <family val="1"/>
          </rPr>
          <t>—
This simple tunic seems misshapen, but it actually fits perfectly well.
A formless vest allows you to briefly make your body amorphous, allowing you to avoid particularly deadly strikes.  Once per day, you can activate this vest to take half of the damage dealt to you by a critical hit or sneak attack.  You can activate the vest after damage has been determined, but before it has actually been dealt.
MIC 100</t>
        </r>
      </text>
    </comment>
    <comment ref="AB2" authorId="0" shapeId="0" xr:uid="{00000000-0006-0000-0800-00000A000000}">
      <text>
        <r>
          <rPr>
            <b/>
            <sz val="12"/>
            <color indexed="81"/>
            <rFont val="Times New Roman"/>
            <family val="1"/>
          </rPr>
          <t xml:space="preserve">Reciprocal Bracers
Price (Item Level):  </t>
        </r>
        <r>
          <rPr>
            <sz val="12"/>
            <color indexed="81"/>
            <rFont val="Times New Roman"/>
            <family val="1"/>
          </rPr>
          <t xml:space="preserve">5,000 gp (9th)
</t>
        </r>
        <r>
          <rPr>
            <b/>
            <sz val="12"/>
            <color indexed="81"/>
            <rFont val="Times New Roman"/>
            <family val="1"/>
          </rPr>
          <t xml:space="preserve">Body Slot:  </t>
        </r>
        <r>
          <rPr>
            <sz val="12"/>
            <color indexed="81"/>
            <rFont val="Times New Roman"/>
            <family val="1"/>
          </rPr>
          <t xml:space="preserve">Arms
</t>
        </r>
        <r>
          <rPr>
            <b/>
            <sz val="12"/>
            <color indexed="81"/>
            <rFont val="Times New Roman"/>
            <family val="1"/>
          </rPr>
          <t>Caster Level:</t>
        </r>
        <r>
          <rPr>
            <sz val="12"/>
            <color indexed="81"/>
            <rFont val="Times New Roman"/>
            <family val="1"/>
          </rPr>
          <t xml:space="preserve">  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Immediate (command)
</t>
        </r>
        <r>
          <rPr>
            <b/>
            <sz val="12"/>
            <color indexed="81"/>
            <rFont val="Times New Roman"/>
            <family val="1"/>
          </rPr>
          <t xml:space="preserve">Weight:  </t>
        </r>
        <r>
          <rPr>
            <sz val="12"/>
            <color indexed="81"/>
            <rFont val="Times New Roman"/>
            <family val="1"/>
          </rPr>
          <t>—
These dark adamantine bracers are slightly difficult to separate, as if a magical field attracts them to one another.
Warriors tired of taking more damage than they deal out appreciate the power of reciprocal bracers, which allow them to turn their enemies’ powerful strikes against them.  If you score a hit in melee against someone who scored a critical hit or sneak attack against you since your last turn, you can activate these bracers to automatically consider your attack roll a critical threat. You must still confi rm the critical hit as normal.
This ability functions two times per day.
MIC 120</t>
        </r>
      </text>
    </comment>
    <comment ref="J3" authorId="0" shapeId="0" xr:uid="{00000000-0006-0000-0800-00000B000000}">
      <text>
        <r>
          <rPr>
            <i/>
            <sz val="12"/>
            <color indexed="81"/>
            <rFont val="Times New Roman"/>
            <family val="1"/>
          </rPr>
          <t>fox’s cunning  +4</t>
        </r>
      </text>
    </comment>
    <comment ref="K3" authorId="0" shapeId="0" xr:uid="{00000000-0006-0000-0800-00000C000000}">
      <text>
        <r>
          <rPr>
            <i/>
            <sz val="12"/>
            <color indexed="81"/>
            <rFont val="Times New Roman"/>
            <family val="1"/>
          </rPr>
          <t>owl’s wisdom +4</t>
        </r>
      </text>
    </comment>
    <comment ref="S3" authorId="0" shapeId="0" xr:uid="{00000000-0006-0000-0800-00000D000000}">
      <text>
        <r>
          <rPr>
            <i/>
            <sz val="12"/>
            <color indexed="81"/>
            <rFont val="Times New Roman"/>
            <family val="1"/>
          </rPr>
          <t>shield of faith +3</t>
        </r>
      </text>
    </comment>
    <comment ref="T3" authorId="0" shapeId="0" xr:uid="{00000000-0006-0000-0800-00000E000000}">
      <text>
        <r>
          <rPr>
            <i/>
            <sz val="12"/>
            <color indexed="81"/>
            <rFont val="Times New Roman"/>
            <family val="1"/>
          </rPr>
          <t>shield of faith +3</t>
        </r>
      </text>
    </comment>
    <comment ref="U3" authorId="0" shapeId="0" xr:uid="{00000000-0006-0000-0800-00000F000000}">
      <text>
        <r>
          <rPr>
            <i/>
            <sz val="12"/>
            <color indexed="81"/>
            <rFont val="Times New Roman"/>
            <family val="1"/>
          </rPr>
          <t>shield of faith +3</t>
        </r>
      </text>
    </comment>
    <comment ref="H4" authorId="0" shapeId="0" xr:uid="{4533D7B6-120D-4CB2-A1F6-5DBAD73EA926}">
      <text>
        <r>
          <rPr>
            <i/>
            <sz val="12"/>
            <color indexed="81"/>
            <rFont val="Times New Roman"/>
            <family val="1"/>
          </rPr>
          <t>cat’s grace +4</t>
        </r>
      </text>
    </comment>
    <comment ref="L4" authorId="0" shapeId="0" xr:uid="{5CAE8CD6-DA6E-44A7-BC4B-41DA2AF7B1BB}">
      <text>
        <r>
          <rPr>
            <i/>
            <sz val="12"/>
            <color indexed="81"/>
            <rFont val="Times New Roman"/>
            <family val="1"/>
          </rPr>
          <t>Cloak of Charisma +4</t>
        </r>
      </text>
    </comment>
    <comment ref="O4" authorId="0" shapeId="0" xr:uid="{23523916-4C1B-4796-BA1F-129D8FC1364C}">
      <text>
        <r>
          <rPr>
            <i/>
            <sz val="12"/>
            <color indexed="81"/>
            <rFont val="Times New Roman"/>
            <family val="1"/>
          </rPr>
          <t>Vest of Resistance +3</t>
        </r>
      </text>
    </comment>
    <comment ref="P4" authorId="0" shapeId="0" xr:uid="{DA2509FC-B718-4C8C-9533-33FFEADF64AA}">
      <text>
        <r>
          <rPr>
            <i/>
            <sz val="12"/>
            <color indexed="81"/>
            <rFont val="Times New Roman"/>
            <family val="1"/>
          </rPr>
          <t>Vest of Resistance +3</t>
        </r>
      </text>
    </comment>
    <comment ref="Q4" authorId="0" shapeId="0" xr:uid="{4A9F8926-69A3-41D8-8FC8-968516512C1B}">
      <text>
        <r>
          <rPr>
            <i/>
            <sz val="12"/>
            <color indexed="81"/>
            <rFont val="Times New Roman"/>
            <family val="1"/>
          </rPr>
          <t>Vest of Resistance +3</t>
        </r>
      </text>
    </comment>
    <comment ref="T4" authorId="0" shapeId="0" xr:uid="{4B2F22FD-C950-4F6B-B9D4-5C8DC0D46826}">
      <text>
        <r>
          <rPr>
            <i/>
            <sz val="12"/>
            <color indexed="81"/>
            <rFont val="Times New Roman"/>
            <family val="1"/>
          </rPr>
          <t>mage armor +4</t>
        </r>
      </text>
    </comment>
    <comment ref="U4" authorId="0" shapeId="0" xr:uid="{05070E53-0EEB-4B9D-A861-966F3B711187}">
      <text>
        <r>
          <rPr>
            <i/>
            <sz val="12"/>
            <color indexed="81"/>
            <rFont val="Times New Roman"/>
            <family val="1"/>
          </rPr>
          <t>mage armor +4</t>
        </r>
      </text>
    </comment>
    <comment ref="H5" authorId="0" shapeId="0" xr:uid="{5E494D7C-A8F6-46ED-8E29-2BA785E1CF30}">
      <text>
        <r>
          <rPr>
            <i/>
            <sz val="12"/>
            <color indexed="81"/>
            <rFont val="Times New Roman"/>
            <family val="1"/>
          </rPr>
          <t>cat’s grace +4</t>
        </r>
      </text>
    </comment>
    <comment ref="L5" authorId="0" shapeId="0" xr:uid="{104CFCEE-F00A-41FC-962B-626B3BF13D9A}">
      <text>
        <r>
          <rPr>
            <i/>
            <sz val="12"/>
            <color indexed="81"/>
            <rFont val="Times New Roman"/>
            <family val="1"/>
          </rPr>
          <t>eagle’s splendor+4</t>
        </r>
      </text>
    </comment>
    <comment ref="P5" authorId="0" shapeId="0" xr:uid="{CE1B7F99-460A-4472-B2AD-A5CED08ABBAF}">
      <text>
        <r>
          <rPr>
            <i/>
            <sz val="12"/>
            <color indexed="81"/>
            <rFont val="Times New Roman"/>
            <family val="1"/>
          </rPr>
          <t>Grace +2</t>
        </r>
      </text>
    </comment>
  </commentList>
</comments>
</file>

<file path=xl/sharedStrings.xml><?xml version="1.0" encoding="utf-8"?>
<sst xmlns="http://schemas.openxmlformats.org/spreadsheetml/2006/main" count="785" uniqueCount="454">
  <si>
    <t>Race:</t>
  </si>
  <si>
    <t>Strength:</t>
  </si>
  <si>
    <t>Dexterity:</t>
  </si>
  <si>
    <t>Properties</t>
  </si>
  <si>
    <t>Melee Weapon</t>
  </si>
  <si>
    <t>Dmg</t>
  </si>
  <si>
    <t>Qty.</t>
  </si>
  <si>
    <t>Ranged Weapon</t>
  </si>
  <si>
    <t>Rng.</t>
  </si>
  <si>
    <t>Charisma:</t>
  </si>
  <si>
    <t>Constitution:</t>
  </si>
  <si>
    <t>Intelligence:</t>
  </si>
  <si>
    <t>Hit Points:</t>
  </si>
  <si>
    <t>Wisdom:</t>
  </si>
  <si>
    <t>Concentration</t>
  </si>
  <si>
    <t>Handle Animal</t>
  </si>
  <si>
    <t>Move Silently</t>
  </si>
  <si>
    <t>Ride</t>
  </si>
  <si>
    <t>Search</t>
  </si>
  <si>
    <t>Swim</t>
  </si>
  <si>
    <t>Weapons and Armor</t>
  </si>
  <si>
    <t>Type</t>
  </si>
  <si>
    <t>Duration</t>
  </si>
  <si>
    <t>Personality, History, and Notes</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</si>
  <si>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</si>
  <si>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</si>
  <si>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</si>
  <si>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</si>
  <si>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</si>
  <si>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</si>
  <si>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</si>
  <si>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</si>
  <si>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</si>
  <si>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</si>
  <si>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</si>
  <si>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</si>
  <si>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</si>
  <si>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</si>
  <si>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</si>
  <si>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</si>
  <si>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</si>
  <si>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</si>
  <si>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</si>
  <si>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</si>
  <si>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</si>
  <si>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</si>
  <si>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</si>
  <si>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</si>
  <si>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</si>
  <si>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</si>
  <si>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</si>
  <si>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</si>
  <si>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</si>
  <si>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</si>
  <si>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</si>
  <si>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</si>
  <si>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</si>
  <si>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</si>
  <si>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</si>
  <si>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</si>
  <si>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</si>
  <si>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Current HP:</t>
  </si>
  <si>
    <t>Class:</t>
  </si>
  <si>
    <t>Level:</t>
  </si>
  <si>
    <t>Alignment:</t>
  </si>
  <si>
    <t>Total</t>
  </si>
  <si>
    <t>Critical</t>
  </si>
  <si>
    <t>Range</t>
  </si>
  <si>
    <t>Fortitude</t>
  </si>
  <si>
    <t>Reflex</t>
  </si>
  <si>
    <t>Will</t>
  </si>
  <si>
    <t>Armor &amp; Shield</t>
  </si>
  <si>
    <t>Missiles</t>
  </si>
  <si>
    <t>Instant</t>
  </si>
  <si>
    <t>Lb. Capacity:</t>
  </si>
  <si>
    <t>Lb. Carried:</t>
  </si>
  <si>
    <t>+0</t>
  </si>
  <si>
    <t>Spell</t>
  </si>
  <si>
    <t>Languages</t>
  </si>
  <si>
    <t>Equipment Worn</t>
  </si>
  <si>
    <t>Item</t>
  </si>
  <si>
    <t>Mass</t>
  </si>
  <si>
    <t>Effects/</t>
  </si>
  <si>
    <t>Notes</t>
  </si>
  <si>
    <t>Equipment Carried</t>
  </si>
  <si>
    <t>Horse Encumbrance:</t>
  </si>
  <si>
    <t>Check</t>
  </si>
  <si>
    <t>Arcane</t>
  </si>
  <si>
    <t>Speed</t>
  </si>
  <si>
    <t>19-20, x2</t>
  </si>
  <si>
    <t>Bolt</t>
  </si>
  <si>
    <t>Perform:  (type)</t>
  </si>
  <si>
    <t>Knowledge:  Arcana</t>
  </si>
  <si>
    <t>Male</t>
  </si>
  <si>
    <t>195 lbs.</t>
  </si>
  <si>
    <t>Profession:  (type)</t>
  </si>
  <si>
    <t>Waterskin</t>
  </si>
  <si>
    <t>Sleight of Hand</t>
  </si>
  <si>
    <t>Survival</t>
  </si>
  <si>
    <t>Touch AC:</t>
  </si>
  <si>
    <t>Template:</t>
  </si>
  <si>
    <t>Shade</t>
  </si>
  <si>
    <t>+4 Luck bonus on Saving Throws</t>
  </si>
  <si>
    <t>+2 to BAB &amp; damage</t>
  </si>
  <si>
    <t>2</t>
  </si>
  <si>
    <t>Piercing</t>
  </si>
  <si>
    <t>the Geistfather</t>
  </si>
  <si>
    <t>Whisper</t>
  </si>
  <si>
    <t>Proficiencies</t>
  </si>
  <si>
    <t>Attack Bonus:</t>
  </si>
  <si>
    <t>Atk</t>
  </si>
  <si>
    <t>5</t>
  </si>
  <si>
    <t>Feats</t>
  </si>
  <si>
    <t>Bludgeon</t>
  </si>
  <si>
    <t>x2</t>
  </si>
  <si>
    <t>Shade Abilities</t>
  </si>
  <si>
    <t>100’ + 10’/lvl</t>
  </si>
  <si>
    <t>1 SA</t>
  </si>
  <si>
    <t>V S</t>
  </si>
  <si>
    <t>Evocation</t>
  </si>
  <si>
    <t>Magic Missile</t>
  </si>
  <si>
    <t>25’ + 2½’/lvl</t>
  </si>
  <si>
    <t>V S F</t>
  </si>
  <si>
    <t>Casting</t>
  </si>
  <si>
    <t xml:space="preserve">Components </t>
  </si>
  <si>
    <t>School</t>
  </si>
  <si>
    <t>Level</t>
  </si>
  <si>
    <t>Spells</t>
  </si>
  <si>
    <t>Backpack</t>
  </si>
  <si>
    <t>Flint and Steel</t>
  </si>
  <si>
    <t>Metal Cup</t>
  </si>
  <si>
    <t>Scroll Case</t>
  </si>
  <si>
    <t>0th</t>
  </si>
  <si>
    <t>1st</t>
  </si>
  <si>
    <t>2nd</t>
  </si>
  <si>
    <t>3rd</t>
  </si>
  <si>
    <t>4th</t>
  </si>
  <si>
    <t>5th</t>
  </si>
  <si>
    <t>6th</t>
  </si>
  <si>
    <t>7th</t>
  </si>
  <si>
    <t>8th</t>
  </si>
  <si>
    <t>9th</t>
  </si>
  <si>
    <t>Total Spells</t>
  </si>
  <si>
    <t>Charisma Bonus</t>
  </si>
  <si>
    <t>Base Spells</t>
  </si>
  <si>
    <t>Summon Familiar</t>
  </si>
  <si>
    <t>Craft:  Torture Devices</t>
  </si>
  <si>
    <t>Cast?</t>
  </si>
  <si>
    <t>Spells per Day by Level</t>
  </si>
  <si>
    <t>Electric Jolt</t>
  </si>
  <si>
    <t>Ray of Frost</t>
  </si>
  <si>
    <t>Acid Splash</t>
  </si>
  <si>
    <t>Conjuration</t>
  </si>
  <si>
    <t>2 Silver Daggers</t>
  </si>
  <si>
    <t>Armored Mage (Light)</t>
  </si>
  <si>
    <t>Battle Sorcerer</t>
  </si>
  <si>
    <t>Will:</t>
  </si>
  <si>
    <t>Ref:</t>
  </si>
  <si>
    <t>Fort:</t>
  </si>
  <si>
    <t>Size:</t>
  </si>
  <si>
    <t>Familiar</t>
  </si>
  <si>
    <t>Mage Robes</t>
  </si>
  <si>
    <t>Initiative:</t>
  </si>
  <si>
    <t>Quasit</t>
  </si>
  <si>
    <t>Tiny</t>
  </si>
  <si>
    <t>Typhoid</t>
  </si>
  <si>
    <t>+7</t>
  </si>
  <si>
    <t>Flight Speed:</t>
  </si>
  <si>
    <t>Land Speed:</t>
  </si>
  <si>
    <t>Fast Healing (2 hp/round)</t>
  </si>
  <si>
    <t>Touch</t>
  </si>
  <si>
    <t>Ranged Touch Attack</t>
  </si>
  <si>
    <t>varies</t>
  </si>
  <si>
    <t>On Mount:  Warhorse</t>
  </si>
  <si>
    <t>Gold Pieces</t>
  </si>
  <si>
    <t>Amulet of Undetectable Alignment</t>
  </si>
  <si>
    <t>Conceals alignment</t>
  </si>
  <si>
    <t>Human</t>
  </si>
  <si>
    <t>Variant Penalty</t>
  </si>
  <si>
    <t>Familiar Bonuses</t>
  </si>
  <si>
    <t>Alertness</t>
  </si>
  <si>
    <t>Improved Evasion</t>
  </si>
  <si>
    <t>Deliver Touch Spells</t>
  </si>
  <si>
    <t>Speak with Master</t>
  </si>
  <si>
    <t>Speak with Animals of Its Kind</t>
  </si>
  <si>
    <t>Battle Sorcerer 5</t>
  </si>
  <si>
    <t>Chaotic Evil</t>
  </si>
  <si>
    <t>Roll</t>
  </si>
  <si>
    <t>Type:</t>
  </si>
  <si>
    <t>Blade Fire Bolts</t>
  </si>
  <si>
    <t>Blade Fire Damage</t>
  </si>
  <si>
    <t>Battle Sorcerer 2</t>
  </si>
  <si>
    <t>Battle Sorcerer 4</t>
  </si>
  <si>
    <t>Battle Sorcerer 3</t>
  </si>
  <si>
    <t>Battle Sorcerer 1</t>
  </si>
  <si>
    <t>Launch Item</t>
  </si>
  <si>
    <t>S</t>
  </si>
  <si>
    <t>Battle Sorcerer 6</t>
  </si>
  <si>
    <t>V S M</t>
  </si>
  <si>
    <t>Skill/Save</t>
  </si>
  <si>
    <t>Fly</t>
  </si>
  <si>
    <t>Message</t>
  </si>
  <si>
    <t>Shadesight (60’ Darkvision)</t>
  </si>
  <si>
    <t>Armor (Light), Simple Weapons, Flail</t>
  </si>
  <si>
    <t>n.a.</t>
  </si>
  <si>
    <t>6’</t>
  </si>
  <si>
    <t>30’</t>
  </si>
  <si>
    <t>50’</t>
  </si>
  <si>
    <t>80’</t>
  </si>
  <si>
    <t>50’ fly (perfect)</t>
  </si>
  <si>
    <t>20’</t>
  </si>
  <si>
    <t>Results</t>
  </si>
  <si>
    <t>Enlarge Person</t>
  </si>
  <si>
    <t>Mage Armor</t>
  </si>
  <si>
    <t>Touch of Fatigue</t>
  </si>
  <si>
    <t>Darkness Speed:</t>
  </si>
  <si>
    <t>FF AC:</t>
  </si>
  <si>
    <t>Transmutation</t>
  </si>
  <si>
    <t>1 FR</t>
  </si>
  <si>
    <t>1 min/lvl</t>
  </si>
  <si>
    <t>Battle Sorcerer 7</t>
  </si>
  <si>
    <t>NPC</t>
  </si>
  <si>
    <t>Human:  Improved Familiar</t>
  </si>
  <si>
    <t>20/20/23</t>
  </si>
  <si>
    <t>V S F/DF</t>
  </si>
  <si>
    <t>10 min/lvl</t>
  </si>
  <si>
    <t>Flask, Alchemist’s Fire</t>
  </si>
  <si>
    <t>Flask, Acid</t>
  </si>
  <si>
    <t>10’</t>
  </si>
  <si>
    <t>special</t>
  </si>
  <si>
    <t>Class Features</t>
  </si>
  <si>
    <t>1d8+</t>
  </si>
  <si>
    <t>+ Mod</t>
  </si>
  <si>
    <t>AC +</t>
  </si>
  <si>
    <t>+2 damage in darkness</t>
  </si>
  <si>
    <t>MW Light Crossbow</t>
  </si>
  <si>
    <t>1</t>
  </si>
  <si>
    <t>Level Adjust:</t>
  </si>
  <si>
    <t>1 hr/lvl</t>
  </si>
  <si>
    <t>Reference</t>
  </si>
  <si>
    <t>Page</t>
  </si>
  <si>
    <t>PHB</t>
  </si>
  <si>
    <t>Spell Compendium</t>
  </si>
  <si>
    <t>Book of Vile Darkness</t>
  </si>
  <si>
    <t>dr 5/fire, cold and acid</t>
  </si>
  <si>
    <t>3 (0 thrown)</t>
  </si>
  <si>
    <t>Stash</t>
  </si>
  <si>
    <t>1d4</t>
  </si>
  <si>
    <t>No Light</t>
  </si>
  <si>
    <t>Necromancy</t>
  </si>
  <si>
    <t>1 rnd/lvl</t>
  </si>
  <si>
    <t>Battle Sorcerer 8</t>
  </si>
  <si>
    <t>Flail, 2nd Attack</t>
  </si>
  <si>
    <t>Daggers, 2nd Attack</t>
  </si>
  <si>
    <t>6 (0 thrown)</t>
  </si>
  <si>
    <t>-</t>
  </si>
  <si>
    <t>Bull’s Strength</t>
  </si>
  <si>
    <t>Battle Sorcerer 9</t>
  </si>
  <si>
    <t>Battle Sorcerer 10</t>
  </si>
  <si>
    <t>V S M/DF</t>
  </si>
  <si>
    <t>Enhance Familiar</t>
  </si>
  <si>
    <t>Universal</t>
  </si>
  <si>
    <t>Complete Arcane</t>
  </si>
  <si>
    <t>Burning Blood</t>
  </si>
  <si>
    <t>Prestidigitation</t>
  </si>
  <si>
    <t>1 hour</t>
  </si>
  <si>
    <t>Gloves of Dexterity +2</t>
  </si>
  <si>
    <t>Scrolls and Potions</t>
  </si>
  <si>
    <t>CLev</t>
  </si>
  <si>
    <t>50 charges</t>
  </si>
  <si>
    <t>1d10</t>
  </si>
  <si>
    <t>Control Light (100’ radius)</t>
  </si>
  <si>
    <t>Name</t>
  </si>
  <si>
    <t>Race</t>
  </si>
  <si>
    <t>Class</t>
  </si>
  <si>
    <t>ECL</t>
  </si>
  <si>
    <t>Sex</t>
  </si>
  <si>
    <t>Align</t>
  </si>
  <si>
    <t>m</t>
  </si>
  <si>
    <t>Init</t>
  </si>
  <si>
    <t>Fort</t>
  </si>
  <si>
    <t>Ref</t>
  </si>
  <si>
    <t>Wil</t>
  </si>
  <si>
    <t>AC</t>
  </si>
  <si>
    <t>TAC</t>
  </si>
  <si>
    <t>FF</t>
  </si>
  <si>
    <t>HP</t>
  </si>
  <si>
    <t>Spells Known</t>
  </si>
  <si>
    <t>Weapons</t>
  </si>
  <si>
    <t>Armor</t>
  </si>
  <si>
    <t>Notable Equipment</t>
  </si>
  <si>
    <t>M</t>
  </si>
  <si>
    <t>F</t>
  </si>
  <si>
    <t>LE</t>
  </si>
  <si>
    <t>Abilities/Feats</t>
  </si>
  <si>
    <t>Battle Sorcerer Variant</t>
  </si>
  <si>
    <t>Blackthorn Shillelagh +2, Dispelling Dagger</t>
  </si>
  <si>
    <t>Wither Limb</t>
  </si>
  <si>
    <t>Orb of Sound, Lesser</t>
  </si>
  <si>
    <t>Tch, FF, AC:</t>
  </si>
  <si>
    <t>Grapple</t>
  </si>
  <si>
    <t>Battle Sorcerer 11</t>
  </si>
  <si>
    <t>Battle Sorcerer 12</t>
  </si>
  <si>
    <t>Necrotic Skull Bomb</t>
  </si>
  <si>
    <t>Champions of Ruin</t>
  </si>
  <si>
    <t>Sinsabur’s Baleful Bolt</t>
  </si>
  <si>
    <t>Unapproachable East</t>
  </si>
  <si>
    <t>Resonating Bolt</t>
  </si>
  <si>
    <t>60’</t>
  </si>
  <si>
    <t>Scorching Ray</t>
  </si>
  <si>
    <t>Cloud of Knives</t>
  </si>
  <si>
    <t>Personal</t>
  </si>
  <si>
    <t>PHB II</t>
  </si>
  <si>
    <t>Invisibility* (1/round)</t>
  </si>
  <si>
    <t>Shadow Image* (3/day as Mirror Image)</t>
  </si>
  <si>
    <t>Shadow Stride*</t>
  </si>
  <si>
    <t>Shadow Travel*</t>
  </si>
  <si>
    <t>* This ability can be quickened.</t>
  </si>
  <si>
    <t>Common, Midani, Draconic</t>
  </si>
  <si>
    <t>AC Bonus</t>
  </si>
  <si>
    <t>Armbands of Strength +2</t>
  </si>
  <si>
    <t>Circlet of Rapid Casting</t>
  </si>
  <si>
    <t>Darkness DC</t>
  </si>
  <si>
    <t>Daylight DC</t>
  </si>
  <si>
    <t>Anauroch</t>
  </si>
  <si>
    <t>Acid Fog</t>
  </si>
  <si>
    <t>V S M DF</t>
  </si>
  <si>
    <t>Vest of Resistance +2</t>
  </si>
  <si>
    <t>the Nastiest</t>
  </si>
  <si>
    <t>Hammerblock Mithral Chain Shirt +2, Ring of Protection +2</t>
  </si>
  <si>
    <t>Shadow Maniple</t>
  </si>
  <si>
    <t>Touch Attack</t>
  </si>
  <si>
    <t>in the darkness</t>
  </si>
  <si>
    <t>Knowledge:  Architecture &amp; Engineering</t>
  </si>
  <si>
    <t>Whisper cannot actually use this item, but he can trade it</t>
  </si>
  <si>
    <t>Circlet</t>
  </si>
  <si>
    <t>of Rapid</t>
  </si>
  <si>
    <t>+2</t>
  </si>
  <si>
    <t>Mithral Chain Shirt +2</t>
  </si>
  <si>
    <t>4</t>
  </si>
  <si>
    <t>Sorcerer Known Spells</t>
  </si>
  <si>
    <t>Battle</t>
  </si>
  <si>
    <t>Sorcerer</t>
  </si>
  <si>
    <t>Formless Vested Half-plate +2; Reciprocal Bracers
Spiked Shield +1</t>
  </si>
  <si>
    <t>ü</t>
  </si>
  <si>
    <t>see Kedrik, modified for evil</t>
  </si>
  <si>
    <t>Riding Boots</t>
  </si>
  <si>
    <t>Bypass Spell Resistance</t>
  </si>
  <si>
    <t>Battle Sorcerer 13</t>
  </si>
  <si>
    <t>Unholy Heavy Flail +3</t>
  </si>
  <si>
    <t>Ice Storm</t>
  </si>
  <si>
    <t>400’ + 40’/lvl</t>
  </si>
  <si>
    <t>1 full round</t>
  </si>
  <si>
    <t>Vitriolic Sphere</t>
  </si>
  <si>
    <t>Power Attack, Cleave, Quicken Spell-Like Ability, Knight’s Fighting Challenge +2, Mounted Combat, Shield Block +2, Bulwark of Defense, Armor Mastery (heavy), Test of Mettle, Vigilant Defender, Shield Ally, Call to Battle, Daunting Challenge</t>
  </si>
  <si>
    <t>Quicken Spell-Like Ability, Dark Knowledge (tactics, pusissance, foe, dread secret), Academic Priest, Shade Archivist [replace Outsiders with with Humanoids], Silent Spell, Still Spell, Spell Focus: Abjur.
4/6/6/6/5/4/2</t>
  </si>
  <si>
    <t>Domineering Greataxe; Spiked Shield +1</t>
  </si>
  <si>
    <t>Skills</t>
  </si>
  <si>
    <t>Knight 13</t>
  </si>
  <si>
    <t>Archivist 13</t>
  </si>
  <si>
    <t>Goliath Shade (+2 ECL)</t>
  </si>
  <si>
    <t>Halfling Shade (+2 ECL)</t>
  </si>
  <si>
    <t>Ring of Arming, Vest of Resistance +2, Wink Brooch, Cloak of Charisma +2, Potion of barkskin CL12 +3, Potion of bull’s strength, Potion of cat’s grace, Potion of bear’s endurance, Potions of cure critical wounds 0/3</t>
  </si>
  <si>
    <t>Scry Shroud, Vest of Resistance +2, Water Cloak, Potion of fox’s cunning; Potion of owl’s wisdom; scrolls of teleport (CL 12) 1, Potions of cure moderate wounds 3</t>
  </si>
  <si>
    <t>Dark Total</t>
  </si>
  <si>
    <t>Dark Check</t>
  </si>
  <si>
    <t>Region</t>
  </si>
  <si>
    <t>Template</t>
  </si>
  <si>
    <t>Alignment</t>
  </si>
  <si>
    <t>Height</t>
  </si>
  <si>
    <t>Weight</t>
  </si>
  <si>
    <t>Attack Bonus</t>
  </si>
  <si>
    <t>Daytime Speed</t>
  </si>
  <si>
    <t>Strength</t>
  </si>
  <si>
    <t>Lb. Capacity</t>
  </si>
  <si>
    <t>Dexterity</t>
  </si>
  <si>
    <t>Lb. Carried</t>
  </si>
  <si>
    <t>Constitution</t>
  </si>
  <si>
    <t>Hit Points</t>
  </si>
  <si>
    <t>Intelligence</t>
  </si>
  <si>
    <t>Touch AC</t>
  </si>
  <si>
    <t>Wisdom</t>
  </si>
  <si>
    <t>FF AC</t>
  </si>
  <si>
    <t>Charisma</t>
  </si>
  <si>
    <t>Battle Sorcerer 14</t>
  </si>
  <si>
    <t>AC:</t>
  </si>
  <si>
    <t>Halfling Shade</t>
  </si>
  <si>
    <t>Sorceress 12</t>
  </si>
  <si>
    <t>NE</t>
  </si>
  <si>
    <t>Empower Spell, Enlarge Spell, Silent Spell, Quicken Spell-like Ability, Familiar (bat)</t>
  </si>
  <si>
    <t>Quarterstaff +3; QR Hand Crossbow +2</t>
  </si>
  <si>
    <t>Yurm the Sprinter</t>
  </si>
  <si>
    <t>Weapon Finesse, Grace +2, Insightful Strike, Dodge Bonus +2, Acrobatic Charge, Improved Flanking, Lucky, Acrobatic Skill Mastery</t>
  </si>
  <si>
    <t>QR Hand Crossbow +3; Unholy Cutlass</t>
  </si>
  <si>
    <t>Studded Leather +3, Ring of Protection +3</t>
  </si>
  <si>
    <t>DARKVISION-GRANTING ITEM</t>
  </si>
  <si>
    <t>Equity:</t>
  </si>
  <si>
    <t>Equity Cap:</t>
  </si>
  <si>
    <t>Cloak of Charisma +6</t>
  </si>
  <si>
    <t>Necropolitan</t>
  </si>
  <si>
    <t>Gaylord Faulkner</t>
  </si>
  <si>
    <t>N</t>
  </si>
  <si>
    <t>Ill-at-Ease</t>
  </si>
  <si>
    <t>Hengeyokai</t>
  </si>
  <si>
    <t>Sohei</t>
  </si>
  <si>
    <t>Aristocrat 2</t>
  </si>
  <si>
    <t>Swashbuckler 10</t>
  </si>
  <si>
    <t>Snafu Roachmunch</t>
  </si>
  <si>
    <t>Ghast</t>
  </si>
  <si>
    <t>Ninja</t>
  </si>
  <si>
    <t>phantom strike, sudden strike +2d6; ghost step (invisible), incorporeal jaunt, ki power 4/day; potion of inflict moderate wounds</t>
  </si>
  <si>
    <t>natural (claws/bite)</t>
  </si>
  <si>
    <t>none</t>
  </si>
  <si>
    <t>Potion of IMW</t>
  </si>
  <si>
    <t>Naginata +1</t>
  </si>
  <si>
    <t>Leather +2</t>
  </si>
  <si>
    <t>Quarterstaff</t>
  </si>
  <si>
    <t>Ki frenzy 2/day, Deflect Arrows, Remain Conscious, Strength of Mind</t>
  </si>
  <si>
    <r>
      <t>66</t>
    </r>
    <r>
      <rPr>
        <sz val="13"/>
        <rFont val="Calibri"/>
        <family val="2"/>
        <scheme val="minor"/>
      </rPr>
      <t>/</t>
    </r>
    <r>
      <rPr>
        <sz val="13"/>
        <color indexed="51"/>
        <rFont val="Calibri"/>
        <family val="2"/>
        <scheme val="minor"/>
      </rPr>
      <t>133</t>
    </r>
    <r>
      <rPr>
        <sz val="13"/>
        <rFont val="Calibri"/>
        <family val="2"/>
        <scheme val="minor"/>
      </rPr>
      <t>/</t>
    </r>
    <r>
      <rPr>
        <sz val="13"/>
        <color indexed="10"/>
        <rFont val="Calibri"/>
        <family val="2"/>
        <scheme val="minor"/>
      </rPr>
      <t>200</t>
    </r>
  </si>
  <si>
    <r>
      <t>Medium Outsider</t>
    </r>
    <r>
      <rPr>
        <sz val="12"/>
        <color theme="0"/>
        <rFont val="Calibri"/>
        <family val="2"/>
        <scheme val="minor"/>
      </rPr>
      <t xml:space="preserve"> [Native to Material Plane]</t>
    </r>
  </si>
  <si>
    <r>
      <t>66</t>
    </r>
    <r>
      <rPr>
        <b/>
        <sz val="13"/>
        <color theme="0"/>
        <rFont val="Calibri"/>
        <family val="2"/>
        <scheme val="minor"/>
      </rPr>
      <t>/</t>
    </r>
    <r>
      <rPr>
        <b/>
        <sz val="13"/>
        <color indexed="51"/>
        <rFont val="Calibri"/>
        <family val="2"/>
        <scheme val="minor"/>
      </rPr>
      <t>133</t>
    </r>
    <r>
      <rPr>
        <b/>
        <sz val="13"/>
        <color theme="0"/>
        <rFont val="Calibri"/>
        <family val="2"/>
        <scheme val="minor"/>
      </rPr>
      <t>/</t>
    </r>
    <r>
      <rPr>
        <b/>
        <sz val="13"/>
        <color indexed="10"/>
        <rFont val="Calibri"/>
        <family val="2"/>
        <scheme val="minor"/>
      </rPr>
      <t>200</t>
    </r>
  </si>
  <si>
    <r>
      <t>1</t>
    </r>
    <r>
      <rPr>
        <vertAlign val="superscript"/>
        <sz val="13"/>
        <color rgb="FF0000FF"/>
        <rFont val="Calibri"/>
        <family val="2"/>
        <scheme val="minor"/>
      </rPr>
      <t>st</t>
    </r>
    <r>
      <rPr>
        <sz val="13"/>
        <color rgb="FF0000FF"/>
        <rFont val="Calibri"/>
        <family val="2"/>
        <scheme val="minor"/>
      </rPr>
      <t>:  Empower Spell</t>
    </r>
  </si>
  <si>
    <r>
      <t>3</t>
    </r>
    <r>
      <rPr>
        <vertAlign val="superscript"/>
        <sz val="13"/>
        <color rgb="FFFF0000"/>
        <rFont val="Calibri"/>
        <family val="2"/>
        <scheme val="minor"/>
      </rPr>
      <t>rd</t>
    </r>
    <r>
      <rPr>
        <sz val="13"/>
        <color rgb="FFFF0000"/>
        <rFont val="Calibri"/>
        <family val="2"/>
        <scheme val="minor"/>
      </rPr>
      <t>:  Weapon Focus (Ranged Spell)</t>
    </r>
  </si>
  <si>
    <r>
      <t>6</t>
    </r>
    <r>
      <rPr>
        <vertAlign val="superscript"/>
        <sz val="13"/>
        <color rgb="FF0000FF"/>
        <rFont val="Calibri"/>
        <family val="2"/>
        <scheme val="minor"/>
      </rPr>
      <t>th</t>
    </r>
    <r>
      <rPr>
        <sz val="13"/>
        <color rgb="FF0000FF"/>
        <rFont val="Calibri"/>
        <family val="2"/>
        <scheme val="minor"/>
      </rPr>
      <t>:  Quicken Spell-like Ability</t>
    </r>
  </si>
  <si>
    <r>
      <t>9</t>
    </r>
    <r>
      <rPr>
        <vertAlign val="superscript"/>
        <sz val="13"/>
        <color rgb="FFFF0000"/>
        <rFont val="Calibri"/>
        <family val="2"/>
        <scheme val="minor"/>
      </rPr>
      <t>th</t>
    </r>
    <r>
      <rPr>
        <sz val="13"/>
        <color rgb="FFFF0000"/>
        <rFont val="Calibri"/>
        <family val="2"/>
        <scheme val="minor"/>
      </rPr>
      <t>:  Ranged Spell Specialization</t>
    </r>
  </si>
  <si>
    <r>
      <t>12</t>
    </r>
    <r>
      <rPr>
        <vertAlign val="superscript"/>
        <sz val="13"/>
        <color rgb="FF0000FF"/>
        <rFont val="Calibri"/>
        <family val="2"/>
        <scheme val="minor"/>
      </rPr>
      <t>th</t>
    </r>
    <r>
      <rPr>
        <sz val="13"/>
        <color rgb="FF0000FF"/>
        <rFont val="Calibri"/>
        <family val="2"/>
        <scheme val="minor"/>
      </rPr>
      <t>:  Silent Spell</t>
    </r>
  </si>
  <si>
    <r>
      <t>15</t>
    </r>
    <r>
      <rPr>
        <vertAlign val="superscript"/>
        <sz val="13"/>
        <color rgb="FF0000FF"/>
        <rFont val="Calibri"/>
        <family val="2"/>
        <scheme val="minor"/>
      </rPr>
      <t>th</t>
    </r>
    <r>
      <rPr>
        <sz val="13"/>
        <color indexed="12"/>
        <rFont val="Calibri"/>
        <family val="2"/>
        <scheme val="minor"/>
      </rPr>
      <t xml:space="preserve">:  </t>
    </r>
  </si>
  <si>
    <r>
      <t xml:space="preserve">Flail, </t>
    </r>
    <r>
      <rPr>
        <i/>
        <sz val="12"/>
        <rFont val="Calibri"/>
        <family val="2"/>
        <scheme val="minor"/>
      </rPr>
      <t>haste</t>
    </r>
  </si>
  <si>
    <r>
      <t xml:space="preserve">Daggers, </t>
    </r>
    <r>
      <rPr>
        <i/>
        <sz val="12"/>
        <rFont val="Calibri"/>
        <family val="2"/>
        <scheme val="minor"/>
      </rPr>
      <t>haste</t>
    </r>
  </si>
  <si>
    <r>
      <t xml:space="preserve">Potion of </t>
    </r>
    <r>
      <rPr>
        <i/>
        <sz val="12"/>
        <rFont val="Calibri"/>
        <family val="2"/>
        <scheme val="minor"/>
      </rPr>
      <t>cure moderate wounds</t>
    </r>
  </si>
  <si>
    <r>
      <t xml:space="preserve">Scroll of </t>
    </r>
    <r>
      <rPr>
        <i/>
        <sz val="12"/>
        <rFont val="Calibri"/>
        <family val="2"/>
        <scheme val="minor"/>
      </rPr>
      <t>grease</t>
    </r>
  </si>
  <si>
    <r>
      <t xml:space="preserve">Scroll of </t>
    </r>
    <r>
      <rPr>
        <i/>
        <sz val="12"/>
        <rFont val="Calibri"/>
        <family val="2"/>
        <scheme val="minor"/>
      </rPr>
      <t>ray of clumsiness</t>
    </r>
  </si>
  <si>
    <r>
      <t xml:space="preserve">Scroll of </t>
    </r>
    <r>
      <rPr>
        <i/>
        <sz val="12"/>
        <rFont val="Calibri"/>
        <family val="2"/>
        <scheme val="minor"/>
      </rPr>
      <t>ray of enfeeblement</t>
    </r>
  </si>
  <si>
    <r>
      <t xml:space="preserve">Scroll of </t>
    </r>
    <r>
      <rPr>
        <i/>
        <sz val="12"/>
        <rFont val="Calibri"/>
        <family val="2"/>
        <scheme val="minor"/>
      </rPr>
      <t>scatterspray</t>
    </r>
  </si>
  <si>
    <r>
      <t xml:space="preserve">Scroll of </t>
    </r>
    <r>
      <rPr>
        <i/>
        <sz val="12"/>
        <rFont val="Calibri"/>
        <family val="2"/>
        <scheme val="minor"/>
      </rPr>
      <t>shield</t>
    </r>
  </si>
  <si>
    <r>
      <t xml:space="preserve">Scroll of </t>
    </r>
    <r>
      <rPr>
        <i/>
        <sz val="12"/>
        <rFont val="Calibri"/>
        <family val="2"/>
        <scheme val="minor"/>
      </rPr>
      <t>targeting ray</t>
    </r>
  </si>
  <si>
    <r>
      <t xml:space="preserve">Scroll of </t>
    </r>
    <r>
      <rPr>
        <i/>
        <sz val="12"/>
        <rFont val="Calibri"/>
        <family val="2"/>
        <scheme val="minor"/>
      </rPr>
      <t>teleport</t>
    </r>
  </si>
  <si>
    <r>
      <t xml:space="preserve">Scroll of </t>
    </r>
    <r>
      <rPr>
        <i/>
        <sz val="12"/>
        <rFont val="Calibri"/>
        <family val="2"/>
        <scheme val="minor"/>
      </rPr>
      <t>touch of fatigue</t>
    </r>
  </si>
  <si>
    <r>
      <t xml:space="preserve">Scroll of </t>
    </r>
    <r>
      <rPr>
        <i/>
        <sz val="12"/>
        <rFont val="Calibri"/>
        <family val="2"/>
        <scheme val="minor"/>
      </rPr>
      <t>true strike</t>
    </r>
  </si>
  <si>
    <r>
      <t xml:space="preserve">Scroll of </t>
    </r>
    <r>
      <rPr>
        <i/>
        <sz val="12"/>
        <rFont val="Calibri"/>
        <family val="2"/>
        <scheme val="minor"/>
      </rPr>
      <t>unnerving gaze</t>
    </r>
  </si>
  <si>
    <r>
      <t xml:space="preserve">Wand of </t>
    </r>
    <r>
      <rPr>
        <i/>
        <sz val="12"/>
        <rFont val="Calibri"/>
        <family val="2"/>
        <scheme val="minor"/>
      </rPr>
      <t>cure light wounds</t>
    </r>
  </si>
  <si>
    <r>
      <t>Spells Prepared/</t>
    </r>
    <r>
      <rPr>
        <b/>
        <sz val="12"/>
        <color rgb="FFFF0000"/>
        <rFont val="Calibri"/>
        <family val="2"/>
        <scheme val="minor"/>
      </rPr>
      <t>Cast</t>
    </r>
  </si>
  <si>
    <r>
      <t xml:space="preserve">Lady Asunder </t>
    </r>
    <r>
      <rPr>
        <b/>
        <i/>
        <sz val="12"/>
        <color rgb="FFFF33CC"/>
        <rFont val="Calibri"/>
        <family val="2"/>
        <scheme val="minor"/>
      </rPr>
      <t>[invisible]</t>
    </r>
  </si>
  <si>
    <r>
      <t xml:space="preserve">Grim Gerome </t>
    </r>
    <r>
      <rPr>
        <b/>
        <i/>
        <sz val="12"/>
        <color rgb="FFFF33CC"/>
        <rFont val="Calibri"/>
        <family val="2"/>
        <scheme val="minor"/>
      </rPr>
      <t xml:space="preserve">[invisible, </t>
    </r>
    <r>
      <rPr>
        <b/>
        <i/>
        <sz val="12"/>
        <color rgb="FF7030A0"/>
        <rFont val="Calibri"/>
        <family val="2"/>
        <scheme val="minor"/>
      </rPr>
      <t xml:space="preserve">detecting magic, </t>
    </r>
    <r>
      <rPr>
        <b/>
        <i/>
        <sz val="12"/>
        <color rgb="FF0000FF"/>
        <rFont val="Calibri"/>
        <family val="2"/>
        <scheme val="minor"/>
      </rPr>
      <t>10 bolts</t>
    </r>
    <r>
      <rPr>
        <b/>
        <i/>
        <sz val="12"/>
        <color rgb="FFFF33CC"/>
        <rFont val="Calibri"/>
        <family val="2"/>
        <scheme val="minor"/>
      </rPr>
      <t>]</t>
    </r>
  </si>
  <si>
    <r>
      <t xml:space="preserve">Myrtle Eyes </t>
    </r>
    <r>
      <rPr>
        <b/>
        <i/>
        <sz val="12"/>
        <color rgb="FFFF33CC"/>
        <rFont val="Calibri"/>
        <family val="2"/>
        <scheme val="minor"/>
      </rPr>
      <t xml:space="preserve">[invisible, </t>
    </r>
    <r>
      <rPr>
        <b/>
        <i/>
        <sz val="12"/>
        <color rgb="FF0000FF"/>
        <rFont val="Calibri"/>
        <family val="2"/>
        <scheme val="minor"/>
      </rPr>
      <t>flying</t>
    </r>
    <r>
      <rPr>
        <b/>
        <i/>
        <sz val="12"/>
        <color rgb="FFFF33CC"/>
        <rFont val="Calibri"/>
        <family val="2"/>
        <scheme val="minor"/>
      </rPr>
      <t>]</t>
    </r>
  </si>
  <si>
    <r>
      <t xml:space="preserve">Mithral Chain Shirt +1, </t>
    </r>
    <r>
      <rPr>
        <i/>
        <sz val="10"/>
        <rFont val="Calibri"/>
        <family val="2"/>
        <scheme val="minor"/>
      </rPr>
      <t>mage armor</t>
    </r>
  </si>
  <si>
    <r>
      <t xml:space="preserve">Robe of Retaliation, Scout’s Headband, Cloak of Charisma +4, Vest of Resistance +3, </t>
    </r>
    <r>
      <rPr>
        <sz val="10"/>
        <color rgb="FF00B050"/>
        <rFont val="Calibri"/>
        <family val="2"/>
        <scheme val="minor"/>
      </rPr>
      <t>*</t>
    </r>
    <r>
      <rPr>
        <sz val="10"/>
        <rFont val="Calibri"/>
        <family val="2"/>
        <scheme val="minor"/>
      </rPr>
      <t xml:space="preserve">Ring of Sorcery I, Potions of </t>
    </r>
    <r>
      <rPr>
        <i/>
        <sz val="10"/>
        <rFont val="Calibri"/>
        <family val="2"/>
        <scheme val="minor"/>
      </rPr>
      <t xml:space="preserve">cure serious wounds </t>
    </r>
    <r>
      <rPr>
        <sz val="10"/>
        <color rgb="FFFF0000"/>
        <rFont val="Calibri"/>
        <family val="2"/>
        <scheme val="minor"/>
      </rPr>
      <t>0</t>
    </r>
    <r>
      <rPr>
        <sz val="10"/>
        <rFont val="Calibri"/>
        <family val="2"/>
        <scheme val="minor"/>
      </rPr>
      <t>/3</t>
    </r>
  </si>
  <si>
    <t>deceased</t>
  </si>
  <si>
    <r>
      <t xml:space="preserve">Acid Splash, Electric Jolt, Launch Item, Ray of Frost; </t>
    </r>
    <r>
      <rPr>
        <b/>
        <sz val="10"/>
        <rFont val="Calibri"/>
        <family val="2"/>
        <scheme val="minor"/>
      </rPr>
      <t xml:space="preserve">Jet of Steam, Mage Armor </t>
    </r>
    <r>
      <rPr>
        <b/>
        <sz val="10"/>
        <color rgb="FFFF0000"/>
        <rFont val="Wingdings"/>
        <charset val="2"/>
      </rPr>
      <t>ü</t>
    </r>
    <r>
      <rPr>
        <b/>
        <sz val="10"/>
        <rFont val="Calibri"/>
        <family val="2"/>
        <scheme val="minor"/>
      </rPr>
      <t xml:space="preserve">, Magic Missile, Swift Expeditious Retreat; </t>
    </r>
    <r>
      <rPr>
        <i/>
        <sz val="10"/>
        <rFont val="Calibri"/>
        <family val="2"/>
        <scheme val="minor"/>
      </rPr>
      <t xml:space="preserve">Conjure Ice Beast II, Cat’s Grace </t>
    </r>
    <r>
      <rPr>
        <i/>
        <sz val="10"/>
        <color rgb="FFFF0000"/>
        <rFont val="Wingdings"/>
        <charset val="2"/>
      </rPr>
      <t>üü</t>
    </r>
    <r>
      <rPr>
        <i/>
        <sz val="10"/>
        <rFont val="Calibri"/>
        <family val="2"/>
        <scheme val="minor"/>
      </rPr>
      <t>, Melf’s Acid Arrow</t>
    </r>
    <r>
      <rPr>
        <sz val="10"/>
        <rFont val="Calibri"/>
        <family val="2"/>
        <scheme val="minor"/>
      </rPr>
      <t xml:space="preserve">; </t>
    </r>
    <r>
      <rPr>
        <b/>
        <i/>
        <sz val="10"/>
        <rFont val="Calibri"/>
        <family val="2"/>
        <scheme val="minor"/>
      </rPr>
      <t xml:space="preserve">Chain Missile </t>
    </r>
    <r>
      <rPr>
        <b/>
        <i/>
        <sz val="10"/>
        <color rgb="FFFF0000"/>
        <rFont val="Wingdings"/>
        <charset val="2"/>
      </rPr>
      <t>ü</t>
    </r>
    <r>
      <rPr>
        <b/>
        <i/>
        <sz val="10"/>
        <rFont val="Calibri"/>
        <family val="2"/>
        <scheme val="minor"/>
      </rPr>
      <t xml:space="preserve">, Fly </t>
    </r>
    <r>
      <rPr>
        <b/>
        <i/>
        <sz val="10"/>
        <color rgb="FFFF0000"/>
        <rFont val="Wingdings"/>
        <charset val="2"/>
      </rPr>
      <t>ü</t>
    </r>
    <r>
      <rPr>
        <b/>
        <i/>
        <sz val="10"/>
        <rFont val="Calibri"/>
        <family val="2"/>
        <scheme val="minor"/>
      </rPr>
      <t xml:space="preserve">; </t>
    </r>
    <r>
      <rPr>
        <sz val="10"/>
        <rFont val="Calibri"/>
        <family val="2"/>
        <scheme val="minor"/>
      </rPr>
      <t xml:space="preserve">Summon Undead IV </t>
    </r>
    <r>
      <rPr>
        <sz val="10"/>
        <color rgb="FFFF0000"/>
        <rFont val="Wingdings"/>
        <charset val="2"/>
      </rPr>
      <t>ü</t>
    </r>
    <r>
      <rPr>
        <sz val="10"/>
        <rFont val="Calibri"/>
        <family val="2"/>
        <scheme val="minor"/>
      </rPr>
      <t xml:space="preserve">; </t>
    </r>
    <r>
      <rPr>
        <b/>
        <sz val="10"/>
        <rFont val="Calibri"/>
        <family val="2"/>
        <scheme val="minor"/>
      </rPr>
      <t>Baleful Polymorph</t>
    </r>
    <r>
      <rPr>
        <sz val="10"/>
        <rFont val="Calibri"/>
        <family val="2"/>
        <scheme val="minor"/>
      </rPr>
      <t xml:space="preserve"> </t>
    </r>
    <r>
      <rPr>
        <sz val="10"/>
        <color rgb="FFFF0000"/>
        <rFont val="Wingdings"/>
        <charset val="2"/>
      </rPr>
      <t>ü</t>
    </r>
  </si>
  <si>
    <r>
      <t>9/[5x2=10]</t>
    </r>
    <r>
      <rPr>
        <sz val="10"/>
        <color rgb="FF00B050"/>
        <rFont val="Calibri"/>
        <family val="2"/>
        <scheme val="minor"/>
      </rPr>
      <t>*</t>
    </r>
    <r>
      <rPr>
        <sz val="10"/>
        <rFont val="Calibri"/>
        <family val="2"/>
        <scheme val="minor"/>
      </rPr>
      <t xml:space="preserve">/4/3/2/1
</t>
    </r>
    <r>
      <rPr>
        <sz val="10"/>
        <color rgb="FFFF0000"/>
        <rFont val="Calibri"/>
        <family val="2"/>
        <scheme val="minor"/>
      </rPr>
      <t>0/1/2/3/2/1</t>
    </r>
  </si>
  <si>
    <r>
      <t xml:space="preserve">Detect Magic </t>
    </r>
    <r>
      <rPr>
        <sz val="10"/>
        <color rgb="FFFF0000"/>
        <rFont val="Calibri"/>
        <family val="2"/>
        <scheme val="minor"/>
      </rPr>
      <t>1/</t>
    </r>
    <r>
      <rPr>
        <sz val="10"/>
        <rFont val="Calibri"/>
        <family val="2"/>
        <scheme val="minor"/>
      </rPr>
      <t xml:space="preserve">2, Read Magic, Preserve Organ; </t>
    </r>
    <r>
      <rPr>
        <b/>
        <sz val="10"/>
        <rFont val="Calibri"/>
        <family val="2"/>
        <scheme val="minor"/>
      </rPr>
      <t xml:space="preserve">Cure Light Wounds </t>
    </r>
    <r>
      <rPr>
        <b/>
        <sz val="10"/>
        <color rgb="FFFF0000"/>
        <rFont val="Calibri"/>
        <family val="2"/>
        <scheme val="minor"/>
      </rPr>
      <t>0</t>
    </r>
    <r>
      <rPr>
        <b/>
        <sz val="10"/>
        <rFont val="Calibri"/>
        <family val="2"/>
        <scheme val="minor"/>
      </rPr>
      <t xml:space="preserve">/2, Sanctuary, Ice Slick, Shield of Faith </t>
    </r>
    <r>
      <rPr>
        <b/>
        <sz val="10"/>
        <color rgb="FFFF0000"/>
        <rFont val="Calibri"/>
        <family val="2"/>
        <scheme val="minor"/>
      </rPr>
      <t>0</t>
    </r>
    <r>
      <rPr>
        <b/>
        <sz val="10"/>
        <rFont val="Calibri"/>
        <family val="2"/>
        <scheme val="minor"/>
      </rPr>
      <t xml:space="preserve">/2; </t>
    </r>
    <r>
      <rPr>
        <i/>
        <sz val="10"/>
        <rFont val="Calibri"/>
        <family val="2"/>
        <scheme val="minor"/>
      </rPr>
      <t xml:space="preserve">Cure Moderate Wounds, Flaming Sphere, Hold Person </t>
    </r>
    <r>
      <rPr>
        <i/>
        <sz val="10"/>
        <color rgb="FFFF0000"/>
        <rFont val="Calibri"/>
        <family val="2"/>
        <scheme val="minor"/>
      </rPr>
      <t>0</t>
    </r>
    <r>
      <rPr>
        <i/>
        <sz val="10"/>
        <rFont val="Calibri"/>
        <family val="2"/>
        <scheme val="minor"/>
      </rPr>
      <t xml:space="preserve">/3, </t>
    </r>
    <r>
      <rPr>
        <i/>
        <sz val="10"/>
        <color rgb="FFFF0000"/>
        <rFont val="Calibri"/>
        <family val="2"/>
        <scheme val="minor"/>
      </rPr>
      <t>See Invisibility</t>
    </r>
    <r>
      <rPr>
        <i/>
        <sz val="10"/>
        <rFont val="Calibri"/>
        <family val="2"/>
        <scheme val="minor"/>
      </rPr>
      <t xml:space="preserve">, Hold Person,  Silence; </t>
    </r>
    <r>
      <rPr>
        <b/>
        <i/>
        <sz val="10"/>
        <color rgb="FFFF0000"/>
        <rFont val="Calibri"/>
        <family val="2"/>
        <scheme val="minor"/>
      </rPr>
      <t>Call Lightning</t>
    </r>
    <r>
      <rPr>
        <b/>
        <i/>
        <sz val="10"/>
        <rFont val="Calibri"/>
        <family val="2"/>
        <scheme val="minor"/>
      </rPr>
      <t xml:space="preserve">, Dispel Magic, Cure Serious Wounds </t>
    </r>
    <r>
      <rPr>
        <b/>
        <i/>
        <sz val="10"/>
        <color rgb="FFFF0000"/>
        <rFont val="Calibri"/>
        <family val="2"/>
        <scheme val="minor"/>
      </rPr>
      <t>0</t>
    </r>
    <r>
      <rPr>
        <b/>
        <i/>
        <sz val="10"/>
        <rFont val="Calibri"/>
        <family val="2"/>
        <scheme val="minor"/>
      </rPr>
      <t xml:space="preserve">/2, Footsteps of the Divine; </t>
    </r>
    <r>
      <rPr>
        <sz val="10"/>
        <rFont val="Calibri"/>
        <family val="2"/>
        <scheme val="minor"/>
      </rPr>
      <t xml:space="preserve">Castigate, Divine Storm </t>
    </r>
    <r>
      <rPr>
        <sz val="10"/>
        <color rgb="FFFF0000"/>
        <rFont val="Calibri"/>
        <family val="2"/>
        <scheme val="minor"/>
      </rPr>
      <t>1</t>
    </r>
    <r>
      <rPr>
        <sz val="10"/>
        <rFont val="Calibri"/>
        <family val="2"/>
        <scheme val="minor"/>
      </rPr>
      <t xml:space="preserve">/2, Cure Critical Wounds </t>
    </r>
    <r>
      <rPr>
        <sz val="10"/>
        <color rgb="FFFF0000"/>
        <rFont val="Calibri"/>
        <family val="2"/>
        <scheme val="minor"/>
      </rPr>
      <t>0</t>
    </r>
    <r>
      <rPr>
        <sz val="10"/>
        <rFont val="Calibri"/>
        <family val="2"/>
        <scheme val="minor"/>
      </rPr>
      <t xml:space="preserve">/2; </t>
    </r>
    <r>
      <rPr>
        <b/>
        <sz val="10"/>
        <rFont val="Calibri"/>
        <family val="2"/>
        <scheme val="minor"/>
      </rPr>
      <t xml:space="preserve">Bear’s Heart </t>
    </r>
    <r>
      <rPr>
        <b/>
        <sz val="10"/>
        <color rgb="FFFF0000"/>
        <rFont val="Calibri"/>
        <family val="2"/>
        <scheme val="minor"/>
      </rPr>
      <t>0</t>
    </r>
    <r>
      <rPr>
        <b/>
        <sz val="10"/>
        <rFont val="Calibri"/>
        <family val="2"/>
        <scheme val="minor"/>
      </rPr>
      <t xml:space="preserve">/3, Blasphemy, </t>
    </r>
    <r>
      <rPr>
        <b/>
        <sz val="10"/>
        <color rgb="FFFF0000"/>
        <rFont val="Calibri"/>
        <family val="2"/>
        <scheme val="minor"/>
      </rPr>
      <t>Flame Strike 2/2</t>
    </r>
    <r>
      <rPr>
        <b/>
        <sz val="10"/>
        <rFont val="Calibri"/>
        <family val="2"/>
        <scheme val="minor"/>
      </rPr>
      <t xml:space="preserve">; </t>
    </r>
    <r>
      <rPr>
        <i/>
        <sz val="10"/>
        <color rgb="FFFF0000"/>
        <rFont val="Calibri"/>
        <family val="2"/>
        <scheme val="minor"/>
      </rPr>
      <t>Summon Monster VI, Blade Barrier</t>
    </r>
  </si>
  <si>
    <t>CE</t>
  </si>
  <si>
    <t>Deity</t>
  </si>
  <si>
    <t>Shar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</si>
</sst>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0\ [$₲-474]"/>
  </numFmts>
  <fonts count="111" x14ac:knownFonts="1">
    <font>
      <sz val="12"/>
      <name val="Times New Roman"/>
    </font>
    <font>
      <sz val="12"/>
      <color theme="1"/>
      <name val="Times New Roman"/>
      <family val="2"/>
    </font>
    <font>
      <sz val="12"/>
      <name val="Times New Roman"/>
      <family val="1"/>
    </font>
    <font>
      <u/>
      <sz val="12"/>
      <color indexed="12"/>
      <name val="Times New Roman"/>
      <family val="1"/>
    </font>
    <font>
      <sz val="12"/>
      <color indexed="81"/>
      <name val="Times New Roman"/>
      <family val="1"/>
    </font>
    <font>
      <b/>
      <sz val="12"/>
      <color indexed="81"/>
      <name val="Times New Roman"/>
      <family val="1"/>
    </font>
    <font>
      <sz val="12"/>
      <name val="Times New Roman"/>
      <family val="1"/>
    </font>
    <font>
      <sz val="12"/>
      <name val="Times New Roman"/>
      <family val="1"/>
      <charset val="1"/>
    </font>
    <font>
      <b/>
      <i/>
      <sz val="12"/>
      <color indexed="81"/>
      <name val="Times New Roman"/>
      <family val="1"/>
    </font>
    <font>
      <i/>
      <sz val="12"/>
      <color indexed="81"/>
      <name val="Times New Roman"/>
      <family val="1"/>
    </font>
    <font>
      <sz val="12"/>
      <name val="Wingdings"/>
      <charset val="2"/>
    </font>
    <font>
      <i/>
      <sz val="22"/>
      <color theme="0"/>
      <name val="Calibri"/>
      <family val="2"/>
      <scheme val="minor"/>
    </font>
    <font>
      <i/>
      <sz val="22"/>
      <color indexed="17"/>
      <name val="Calibri"/>
      <family val="2"/>
      <scheme val="minor"/>
    </font>
    <font>
      <b/>
      <sz val="12"/>
      <name val="Calibri"/>
      <family val="2"/>
      <scheme val="minor"/>
    </font>
    <font>
      <sz val="12"/>
      <name val="Calibri"/>
      <family val="2"/>
      <scheme val="minor"/>
    </font>
    <font>
      <i/>
      <sz val="12"/>
      <color indexed="13"/>
      <name val="Calibri"/>
      <family val="2"/>
      <scheme val="minor"/>
    </font>
    <font>
      <b/>
      <sz val="13"/>
      <name val="Calibri"/>
      <family val="2"/>
      <scheme val="minor"/>
    </font>
    <font>
      <sz val="13"/>
      <name val="Calibri"/>
      <family val="2"/>
      <scheme val="minor"/>
    </font>
    <font>
      <sz val="13"/>
      <color theme="0" tint="-0.249977111117893"/>
      <name val="Calibri"/>
      <family val="2"/>
      <scheme val="minor"/>
    </font>
    <font>
      <b/>
      <sz val="13"/>
      <color indexed="10"/>
      <name val="Calibri"/>
      <family val="2"/>
      <scheme val="minor"/>
    </font>
    <font>
      <b/>
      <sz val="13"/>
      <color rgb="FFFFFF00"/>
      <name val="Calibri"/>
      <family val="2"/>
      <scheme val="minor"/>
    </font>
    <font>
      <sz val="13"/>
      <color indexed="23"/>
      <name val="Calibri"/>
      <family val="2"/>
      <scheme val="minor"/>
    </font>
    <font>
      <sz val="13"/>
      <color indexed="17"/>
      <name val="Calibri"/>
      <family val="2"/>
      <scheme val="minor"/>
    </font>
    <font>
      <sz val="13"/>
      <color indexed="51"/>
      <name val="Calibri"/>
      <family val="2"/>
      <scheme val="minor"/>
    </font>
    <font>
      <sz val="13"/>
      <color indexed="10"/>
      <name val="Calibri"/>
      <family val="2"/>
      <scheme val="minor"/>
    </font>
    <font>
      <b/>
      <sz val="13"/>
      <color indexed="46"/>
      <name val="Calibri"/>
      <family val="2"/>
      <scheme val="minor"/>
    </font>
    <font>
      <b/>
      <sz val="13"/>
      <color indexed="12"/>
      <name val="Calibri"/>
      <family val="2"/>
      <scheme val="minor"/>
    </font>
    <font>
      <b/>
      <sz val="13"/>
      <color rgb="FF00CC00"/>
      <name val="Calibri"/>
      <family val="2"/>
      <scheme val="minor"/>
    </font>
    <font>
      <b/>
      <sz val="13"/>
      <color indexed="17"/>
      <name val="Calibri"/>
      <family val="2"/>
      <scheme val="minor"/>
    </font>
    <font>
      <b/>
      <sz val="13"/>
      <color indexed="51"/>
      <name val="Calibri"/>
      <family val="2"/>
      <scheme val="minor"/>
    </font>
    <font>
      <b/>
      <sz val="13"/>
      <color indexed="52"/>
      <name val="Calibri"/>
      <family val="2"/>
      <scheme val="minor"/>
    </font>
    <font>
      <b/>
      <sz val="13"/>
      <color theme="0"/>
      <name val="Calibri"/>
      <family val="2"/>
      <scheme val="minor"/>
    </font>
    <font>
      <i/>
      <sz val="18"/>
      <name val="Calibri"/>
      <family val="2"/>
      <scheme val="minor"/>
    </font>
    <font>
      <sz val="18"/>
      <name val="Calibri"/>
      <family val="2"/>
      <scheme val="minor"/>
    </font>
    <font>
      <b/>
      <sz val="18"/>
      <name val="Calibri"/>
      <family val="2"/>
      <scheme val="minor"/>
    </font>
    <font>
      <sz val="13"/>
      <color theme="0"/>
      <name val="Calibri"/>
      <family val="2"/>
      <scheme val="minor"/>
    </font>
    <font>
      <sz val="12"/>
      <color theme="0"/>
      <name val="Calibri"/>
      <family val="2"/>
      <scheme val="minor"/>
    </font>
    <font>
      <b/>
      <sz val="11"/>
      <color theme="0"/>
      <name val="Calibri"/>
      <family val="2"/>
      <scheme val="minor"/>
    </font>
    <font>
      <sz val="13"/>
      <color rgb="FFFFFF00"/>
      <name val="Calibri"/>
      <family val="2"/>
      <scheme val="minor"/>
    </font>
    <font>
      <i/>
      <sz val="18"/>
      <color indexed="17"/>
      <name val="Calibri"/>
      <family val="2"/>
      <scheme val="minor"/>
    </font>
    <font>
      <b/>
      <sz val="13"/>
      <color indexed="9"/>
      <name val="Calibri"/>
      <family val="2"/>
      <scheme val="minor"/>
    </font>
    <font>
      <b/>
      <sz val="13"/>
      <color rgb="FFFFC000"/>
      <name val="Calibri"/>
      <family val="2"/>
      <scheme val="minor"/>
    </font>
    <font>
      <b/>
      <sz val="13"/>
      <color rgb="FFFF0000"/>
      <name val="Calibri"/>
      <family val="2"/>
      <scheme val="minor"/>
    </font>
    <font>
      <b/>
      <sz val="13"/>
      <color rgb="FF0000FF"/>
      <name val="Calibri"/>
      <family val="2"/>
      <scheme val="minor"/>
    </font>
    <font>
      <sz val="13"/>
      <color rgb="FFFFC000"/>
      <name val="Calibri"/>
      <family val="2"/>
      <scheme val="minor"/>
    </font>
    <font>
      <b/>
      <sz val="13"/>
      <color rgb="FF7030A0"/>
      <name val="Calibri"/>
      <family val="2"/>
      <scheme val="minor"/>
    </font>
    <font>
      <b/>
      <sz val="14"/>
      <color indexed="17"/>
      <name val="Calibri"/>
      <family val="2"/>
      <scheme val="minor"/>
    </font>
    <font>
      <sz val="12"/>
      <color indexed="17"/>
      <name val="Calibri"/>
      <family val="2"/>
      <scheme val="minor"/>
    </font>
    <font>
      <sz val="13"/>
      <color indexed="46"/>
      <name val="Calibri"/>
      <family val="2"/>
      <scheme val="minor"/>
    </font>
    <font>
      <sz val="13"/>
      <color rgb="FFFF0000"/>
      <name val="Calibri"/>
      <family val="2"/>
      <scheme val="minor"/>
    </font>
    <font>
      <sz val="12"/>
      <color indexed="51"/>
      <name val="Calibri"/>
      <family val="2"/>
      <scheme val="minor"/>
    </font>
    <font>
      <sz val="13"/>
      <color indexed="52"/>
      <name val="Calibri"/>
      <family val="2"/>
      <scheme val="minor"/>
    </font>
    <font>
      <sz val="12"/>
      <color indexed="52"/>
      <name val="Calibri"/>
      <family val="2"/>
      <scheme val="minor"/>
    </font>
    <font>
      <sz val="12"/>
      <color indexed="46"/>
      <name val="Calibri"/>
      <family val="2"/>
      <scheme val="minor"/>
    </font>
    <font>
      <sz val="13"/>
      <color indexed="12"/>
      <name val="Calibri"/>
      <family val="2"/>
      <scheme val="minor"/>
    </font>
    <font>
      <sz val="13"/>
      <color indexed="22"/>
      <name val="Calibri"/>
      <family val="2"/>
      <scheme val="minor"/>
    </font>
    <font>
      <sz val="12"/>
      <color indexed="10"/>
      <name val="Calibri"/>
      <family val="2"/>
      <scheme val="minor"/>
    </font>
    <font>
      <i/>
      <sz val="18"/>
      <color indexed="20"/>
      <name val="Calibri"/>
      <family val="2"/>
      <scheme val="minor"/>
    </font>
    <font>
      <b/>
      <sz val="12"/>
      <color indexed="9"/>
      <name val="Calibri"/>
      <family val="2"/>
      <scheme val="minor"/>
    </font>
    <font>
      <sz val="13"/>
      <color indexed="20"/>
      <name val="Calibri"/>
      <family val="2"/>
      <scheme val="minor"/>
    </font>
    <font>
      <b/>
      <sz val="12"/>
      <name val="Wingdings"/>
      <charset val="2"/>
    </font>
    <font>
      <i/>
      <sz val="18"/>
      <color rgb="FF7030A0"/>
      <name val="Calibri"/>
      <family val="2"/>
      <scheme val="minor"/>
    </font>
    <font>
      <i/>
      <sz val="18"/>
      <color indexed="53"/>
      <name val="Calibri"/>
      <family val="2"/>
      <scheme val="minor"/>
    </font>
    <font>
      <i/>
      <sz val="18"/>
      <color rgb="FF0000FF"/>
      <name val="Calibri"/>
      <family val="2"/>
      <scheme val="minor"/>
    </font>
    <font>
      <b/>
      <sz val="12"/>
      <color theme="1"/>
      <name val="Calibri"/>
      <family val="2"/>
      <scheme val="minor"/>
    </font>
    <font>
      <sz val="12"/>
      <color theme="0" tint="-0.499984740745262"/>
      <name val="Calibri"/>
      <family val="2"/>
      <scheme val="minor"/>
    </font>
    <font>
      <sz val="13"/>
      <color rgb="FF0000FF"/>
      <name val="Calibri"/>
      <family val="2"/>
      <scheme val="minor"/>
    </font>
    <font>
      <vertAlign val="superscript"/>
      <sz val="13"/>
      <color rgb="FF0000FF"/>
      <name val="Calibri"/>
      <family val="2"/>
      <scheme val="minor"/>
    </font>
    <font>
      <b/>
      <sz val="12"/>
      <color rgb="FFFF0000"/>
      <name val="Calibri"/>
      <family val="2"/>
      <scheme val="minor"/>
    </font>
    <font>
      <vertAlign val="superscript"/>
      <sz val="13"/>
      <color rgb="FFFF0000"/>
      <name val="Calibri"/>
      <family val="2"/>
      <scheme val="minor"/>
    </font>
    <font>
      <b/>
      <sz val="12"/>
      <color rgb="FFFF9900"/>
      <name val="Calibri"/>
      <family val="2"/>
      <scheme val="minor"/>
    </font>
    <font>
      <b/>
      <sz val="12"/>
      <color rgb="FF7030A0"/>
      <name val="Calibri"/>
      <family val="2"/>
      <scheme val="minor"/>
    </font>
    <font>
      <b/>
      <sz val="12"/>
      <color theme="0"/>
      <name val="Calibri"/>
      <family val="2"/>
      <scheme val="minor"/>
    </font>
    <font>
      <b/>
      <sz val="12"/>
      <color theme="0" tint="-0.499984740745262"/>
      <name val="Calibri"/>
      <family val="2"/>
      <scheme val="minor"/>
    </font>
    <font>
      <i/>
      <sz val="18"/>
      <color indexed="10"/>
      <name val="Calibri"/>
      <family val="2"/>
      <scheme val="minor"/>
    </font>
    <font>
      <i/>
      <sz val="18"/>
      <color indexed="57"/>
      <name val="Calibri"/>
      <family val="2"/>
      <scheme val="minor"/>
    </font>
    <font>
      <b/>
      <sz val="12"/>
      <color rgb="FFFFC000"/>
      <name val="Calibri"/>
      <family val="2"/>
      <scheme val="minor"/>
    </font>
    <font>
      <sz val="12"/>
      <color rgb="FFFFC000"/>
      <name val="Calibri"/>
      <family val="2"/>
      <scheme val="minor"/>
    </font>
    <font>
      <i/>
      <sz val="12"/>
      <name val="Calibri"/>
      <family val="2"/>
      <scheme val="minor"/>
    </font>
    <font>
      <sz val="11"/>
      <name val="Calibri"/>
      <family val="2"/>
      <scheme val="minor"/>
    </font>
    <font>
      <i/>
      <sz val="20"/>
      <color rgb="FF9966FF"/>
      <name val="Calibri"/>
      <family val="2"/>
      <scheme val="minor"/>
    </font>
    <font>
      <b/>
      <sz val="12"/>
      <color indexed="48"/>
      <name val="Calibri"/>
      <family val="2"/>
      <scheme val="minor"/>
    </font>
    <font>
      <i/>
      <sz val="12"/>
      <color indexed="9"/>
      <name val="Calibri"/>
      <family val="2"/>
      <scheme val="minor"/>
    </font>
    <font>
      <b/>
      <sz val="13"/>
      <color indexed="20"/>
      <name val="Calibri"/>
      <family val="2"/>
      <scheme val="minor"/>
    </font>
    <font>
      <b/>
      <i/>
      <sz val="12"/>
      <name val="Calibri"/>
      <family val="2"/>
      <scheme val="minor"/>
    </font>
    <font>
      <b/>
      <sz val="12"/>
      <color indexed="10"/>
      <name val="Calibri"/>
      <family val="2"/>
      <scheme val="minor"/>
    </font>
    <font>
      <b/>
      <sz val="12"/>
      <color indexed="46"/>
      <name val="Calibri"/>
      <family val="2"/>
      <scheme val="minor"/>
    </font>
    <font>
      <b/>
      <sz val="12"/>
      <color indexed="12"/>
      <name val="Calibri"/>
      <family val="2"/>
      <scheme val="minor"/>
    </font>
    <font>
      <b/>
      <sz val="12"/>
      <color indexed="17"/>
      <name val="Calibri"/>
      <family val="2"/>
      <scheme val="minor"/>
    </font>
    <font>
      <b/>
      <sz val="12"/>
      <color indexed="51"/>
      <name val="Calibri"/>
      <family val="2"/>
      <scheme val="minor"/>
    </font>
    <font>
      <b/>
      <sz val="12"/>
      <color indexed="52"/>
      <name val="Calibri"/>
      <family val="2"/>
      <scheme val="minor"/>
    </font>
    <font>
      <b/>
      <sz val="12"/>
      <color rgb="FF00FF00"/>
      <name val="Calibri"/>
      <family val="2"/>
      <scheme val="minor"/>
    </font>
    <font>
      <b/>
      <sz val="12"/>
      <color indexed="8"/>
      <name val="Calibri"/>
      <family val="2"/>
      <scheme val="minor"/>
    </font>
    <font>
      <b/>
      <i/>
      <sz val="12"/>
      <color theme="1"/>
      <name val="Calibri"/>
      <family val="2"/>
      <scheme val="minor"/>
    </font>
    <font>
      <b/>
      <i/>
      <sz val="12"/>
      <color rgb="FFFF33CC"/>
      <name val="Calibri"/>
      <family val="2"/>
      <scheme val="minor"/>
    </font>
    <font>
      <sz val="10"/>
      <name val="Calibri"/>
      <family val="2"/>
      <scheme val="minor"/>
    </font>
    <font>
      <b/>
      <i/>
      <sz val="12"/>
      <color rgb="FF7030A0"/>
      <name val="Calibri"/>
      <family val="2"/>
      <scheme val="minor"/>
    </font>
    <font>
      <b/>
      <i/>
      <sz val="12"/>
      <color rgb="FF0000FF"/>
      <name val="Calibri"/>
      <family val="2"/>
      <scheme val="minor"/>
    </font>
    <font>
      <sz val="10"/>
      <color rgb="FFFF0000"/>
      <name val="Calibri"/>
      <family val="2"/>
      <scheme val="minor"/>
    </font>
    <font>
      <b/>
      <sz val="10"/>
      <name val="Calibri"/>
      <family val="2"/>
      <scheme val="minor"/>
    </font>
    <font>
      <b/>
      <sz val="10"/>
      <color rgb="FFFF0000"/>
      <name val="Calibri"/>
      <family val="2"/>
      <scheme val="minor"/>
    </font>
    <font>
      <i/>
      <sz val="10"/>
      <name val="Calibri"/>
      <family val="2"/>
      <scheme val="minor"/>
    </font>
    <font>
      <i/>
      <sz val="10"/>
      <color rgb="FFFF0000"/>
      <name val="Calibri"/>
      <family val="2"/>
      <scheme val="minor"/>
    </font>
    <font>
      <b/>
      <i/>
      <sz val="10"/>
      <name val="Calibri"/>
      <family val="2"/>
      <scheme val="minor"/>
    </font>
    <font>
      <b/>
      <i/>
      <sz val="10"/>
      <color rgb="FFFF0000"/>
      <name val="Calibri"/>
      <family val="2"/>
      <scheme val="minor"/>
    </font>
    <font>
      <sz val="10"/>
      <color rgb="FF00B050"/>
      <name val="Calibri"/>
      <family val="2"/>
      <scheme val="minor"/>
    </font>
    <font>
      <b/>
      <i/>
      <sz val="12"/>
      <color rgb="FFFF0000"/>
      <name val="Calibri"/>
      <family val="2"/>
      <scheme val="minor"/>
    </font>
    <font>
      <b/>
      <sz val="10"/>
      <color rgb="FFFF0000"/>
      <name val="Wingdings"/>
      <charset val="2"/>
    </font>
    <font>
      <i/>
      <sz val="10"/>
      <color rgb="FFFF0000"/>
      <name val="Wingdings"/>
      <charset val="2"/>
    </font>
    <font>
      <b/>
      <i/>
      <sz val="10"/>
      <color rgb="FFFF0000"/>
      <name val="Wingdings"/>
      <charset val="2"/>
    </font>
    <font>
      <sz val="10"/>
      <color rgb="FFFF0000"/>
      <name val="Wingdings"/>
      <charset val="2"/>
    </font>
  </fonts>
  <fills count="23">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17"/>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indexed="46"/>
        <bgColor indexed="64"/>
      </patternFill>
    </fill>
    <fill>
      <patternFill patternType="solid">
        <fgColor theme="1"/>
        <bgColor indexed="64"/>
      </patternFill>
    </fill>
    <fill>
      <patternFill patternType="solid">
        <fgColor rgb="FFCCFFCC"/>
        <bgColor indexed="64"/>
      </patternFill>
    </fill>
    <fill>
      <patternFill patternType="solid">
        <fgColor theme="0" tint="-0.249977111117893"/>
        <bgColor indexed="64"/>
      </patternFill>
    </fill>
    <fill>
      <patternFill patternType="solid">
        <fgColor rgb="FF7030A0"/>
        <bgColor indexed="64"/>
      </patternFill>
    </fill>
    <fill>
      <patternFill patternType="solid">
        <fgColor rgb="FF00FF00"/>
        <bgColor indexed="64"/>
      </patternFill>
    </fill>
    <fill>
      <patternFill patternType="solid">
        <fgColor rgb="FFFF0000"/>
        <bgColor indexed="64"/>
      </patternFill>
    </fill>
    <fill>
      <patternFill patternType="solid">
        <fgColor theme="7" tint="0.39997558519241921"/>
        <bgColor indexed="64"/>
      </patternFill>
    </fill>
    <fill>
      <patternFill patternType="solid">
        <fgColor rgb="FF9966FF"/>
        <bgColor indexed="64"/>
      </patternFill>
    </fill>
    <fill>
      <patternFill patternType="solid">
        <fgColor rgb="FF9933FF"/>
        <bgColor indexed="64"/>
      </patternFill>
    </fill>
    <fill>
      <patternFill patternType="solid">
        <fgColor theme="0"/>
        <bgColor indexed="64"/>
      </patternFill>
    </fill>
    <fill>
      <patternFill patternType="solid">
        <fgColor rgb="FFCC99FF"/>
        <bgColor indexed="64"/>
      </patternFill>
    </fill>
    <fill>
      <patternFill patternType="solid">
        <fgColor rgb="FF00FFFF"/>
        <bgColor indexed="64"/>
      </patternFill>
    </fill>
    <fill>
      <patternFill patternType="solid">
        <fgColor rgb="FFFFFF00"/>
        <bgColor indexed="64"/>
      </patternFill>
    </fill>
  </fills>
  <borders count="171">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9"/>
      </top>
      <bottom style="thin">
        <color indexed="9"/>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bottom style="thin">
        <color indexed="9"/>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9"/>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style="double">
        <color indexed="64"/>
      </right>
      <top style="double">
        <color indexed="64"/>
      </top>
      <bottom style="medium">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double">
        <color indexed="64"/>
      </right>
      <top/>
      <bottom style="hair">
        <color indexed="64"/>
      </bottom>
      <diagonal/>
    </border>
    <border>
      <left style="double">
        <color indexed="64"/>
      </left>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diagonal/>
    </border>
    <border>
      <left style="double">
        <color indexed="64"/>
      </left>
      <right style="double">
        <color indexed="64"/>
      </right>
      <top style="hair">
        <color indexed="64"/>
      </top>
      <bottom style="double">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style="thick">
        <color rgb="FFFF0000"/>
      </bottom>
      <diagonal/>
    </border>
    <border>
      <left/>
      <right/>
      <top style="double">
        <color indexed="64"/>
      </top>
      <bottom style="thick">
        <color rgb="FFFF0000"/>
      </bottom>
      <diagonal/>
    </border>
    <border>
      <left/>
      <right style="double">
        <color indexed="64"/>
      </right>
      <top style="double">
        <color indexed="64"/>
      </top>
      <bottom style="thick">
        <color rgb="FFFF0000"/>
      </bottom>
      <diagonal/>
    </border>
    <border>
      <left style="double">
        <color indexed="64"/>
      </left>
      <right style="double">
        <color indexed="64"/>
      </right>
      <top style="medium">
        <color indexed="64"/>
      </top>
      <bottom style="hair">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thin">
        <color indexed="64"/>
      </left>
      <right style="thin">
        <color indexed="64"/>
      </right>
      <top/>
      <bottom style="thin">
        <color indexed="64"/>
      </bottom>
      <diagonal/>
    </border>
    <border>
      <left style="double">
        <color indexed="64"/>
      </left>
      <right/>
      <top/>
      <bottom style="thin">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right style="double">
        <color indexed="64"/>
      </right>
      <top style="double">
        <color indexed="64"/>
      </top>
      <bottom style="thick">
        <color indexed="16"/>
      </bottom>
      <diagonal/>
    </border>
    <border>
      <left/>
      <right/>
      <top style="double">
        <color indexed="64"/>
      </top>
      <bottom style="thick">
        <color indexed="16"/>
      </bottom>
      <diagonal/>
    </border>
    <border>
      <left style="double">
        <color indexed="64"/>
      </left>
      <right/>
      <top style="double">
        <color indexed="64"/>
      </top>
      <bottom style="thick">
        <color indexed="16"/>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medium">
        <color indexed="64"/>
      </right>
      <top style="thin">
        <color indexed="64"/>
      </top>
      <bottom style="double">
        <color auto="1"/>
      </bottom>
      <diagonal/>
    </border>
    <border>
      <left style="medium">
        <color indexed="64"/>
      </left>
      <right style="medium">
        <color indexed="64"/>
      </right>
      <top style="thin">
        <color indexed="64"/>
      </top>
      <bottom style="double">
        <color indexed="64"/>
      </bottom>
      <diagonal/>
    </border>
    <border>
      <left style="medium">
        <color indexed="64"/>
      </left>
      <right style="double">
        <color indexed="64"/>
      </right>
      <top style="thin">
        <color indexed="64"/>
      </top>
      <bottom style="double">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double">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auto="1"/>
      </left>
      <right style="medium">
        <color auto="1"/>
      </right>
      <top/>
      <bottom/>
      <diagonal/>
    </border>
    <border>
      <left style="medium">
        <color auto="1"/>
      </left>
      <right style="medium">
        <color auto="1"/>
      </right>
      <top/>
      <bottom style="double">
        <color indexed="64"/>
      </bottom>
      <diagonal/>
    </border>
    <border>
      <left style="thin">
        <color indexed="64"/>
      </left>
      <right/>
      <top style="medium">
        <color indexed="64"/>
      </top>
      <bottom style="hair">
        <color indexed="64"/>
      </bottom>
      <diagonal/>
    </border>
    <border>
      <left style="thin">
        <color indexed="64"/>
      </left>
      <right/>
      <top style="hair">
        <color indexed="64"/>
      </top>
      <bottom style="double">
        <color indexed="64"/>
      </bottom>
      <diagonal/>
    </border>
    <border>
      <left style="thin">
        <color indexed="64"/>
      </left>
      <right/>
      <top style="hair">
        <color indexed="64"/>
      </top>
      <bottom style="hair">
        <color indexed="64"/>
      </bottom>
      <diagonal/>
    </border>
    <border>
      <left style="double">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medium">
        <color indexed="64"/>
      </left>
      <right style="medium">
        <color indexed="64"/>
      </right>
      <top style="double">
        <color indexed="64"/>
      </top>
      <bottom style="medium">
        <color theme="0"/>
      </bottom>
      <diagonal/>
    </border>
    <border>
      <left style="thin">
        <color indexed="64"/>
      </left>
      <right/>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medium">
        <color indexed="64"/>
      </right>
      <top style="hair">
        <color indexed="64"/>
      </top>
      <bottom style="hair">
        <color indexed="64"/>
      </bottom>
      <diagonal/>
    </border>
    <border>
      <left style="double">
        <color indexed="64"/>
      </left>
      <right style="medium">
        <color indexed="64"/>
      </right>
      <top style="hair">
        <color indexed="64"/>
      </top>
      <bottom style="double">
        <color indexed="64"/>
      </bottom>
      <diagonal/>
    </border>
    <border>
      <left/>
      <right/>
      <top style="thick">
        <color rgb="FFFF0000"/>
      </top>
      <bottom/>
      <diagonal/>
    </border>
    <border>
      <left style="double">
        <color indexed="64"/>
      </left>
      <right/>
      <top style="thin">
        <color indexed="64"/>
      </top>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double">
        <color indexed="64"/>
      </right>
      <top style="hair">
        <color indexed="64"/>
      </top>
      <bottom/>
      <diagonal/>
    </border>
    <border>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right style="thin">
        <color indexed="64"/>
      </right>
      <top style="hair">
        <color indexed="64"/>
      </top>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style="thin">
        <color indexed="64"/>
      </right>
      <top style="double">
        <color indexed="64"/>
      </top>
      <bottom style="medium">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double">
        <color indexed="64"/>
      </right>
      <top style="medium">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right style="double">
        <color indexed="64"/>
      </right>
      <top/>
      <bottom style="hair">
        <color indexed="64"/>
      </bottom>
      <diagonal/>
    </border>
    <border>
      <left style="double">
        <color indexed="64"/>
      </left>
      <right style="hair">
        <color indexed="64"/>
      </right>
      <top style="medium">
        <color indexed="64"/>
      </top>
      <bottom style="hair">
        <color indexed="64"/>
      </bottom>
      <diagonal/>
    </border>
    <border>
      <left/>
      <right style="medium">
        <color indexed="64"/>
      </right>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style="medium">
        <color indexed="64"/>
      </top>
      <bottom style="hair">
        <color indexed="64"/>
      </bottom>
      <diagonal/>
    </border>
    <border>
      <left/>
      <right style="thin">
        <color indexed="64"/>
      </right>
      <top/>
      <bottom style="double">
        <color indexed="64"/>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style="double">
        <color indexed="64"/>
      </left>
      <right style="double">
        <color indexed="64"/>
      </right>
      <top/>
      <bottom style="hair">
        <color indexed="64"/>
      </bottom>
      <diagonal/>
    </border>
    <border>
      <left style="double">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right style="thin">
        <color indexed="64"/>
      </right>
      <top/>
      <bottom/>
      <diagonal/>
    </border>
    <border>
      <left style="double">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double">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double">
        <color indexed="64"/>
      </right>
      <top style="medium">
        <color indexed="64"/>
      </top>
      <bottom/>
      <diagonal/>
    </border>
    <border>
      <left style="double">
        <color indexed="64"/>
      </left>
      <right style="double">
        <color theme="0"/>
      </right>
      <top style="hair">
        <color indexed="64"/>
      </top>
      <bottom style="hair">
        <color indexed="64"/>
      </bottom>
      <diagonal/>
    </border>
    <border>
      <left style="double">
        <color theme="0"/>
      </left>
      <right style="hair">
        <color indexed="64"/>
      </right>
      <top style="hair">
        <color indexed="64"/>
      </top>
      <bottom style="hair">
        <color indexed="64"/>
      </bottom>
      <diagonal/>
    </border>
    <border>
      <left/>
      <right style="hair">
        <color auto="1"/>
      </right>
      <top style="double">
        <color auto="1"/>
      </top>
      <bottom style="medium">
        <color indexed="64"/>
      </bottom>
      <diagonal/>
    </border>
    <border>
      <left style="hair">
        <color auto="1"/>
      </left>
      <right style="hair">
        <color auto="1"/>
      </right>
      <top style="double">
        <color auto="1"/>
      </top>
      <bottom style="medium">
        <color indexed="64"/>
      </bottom>
      <diagonal/>
    </border>
    <border>
      <left style="hair">
        <color auto="1"/>
      </left>
      <right style="double">
        <color auto="1"/>
      </right>
      <top style="double">
        <color auto="1"/>
      </top>
      <bottom style="medium">
        <color indexed="64"/>
      </bottom>
      <diagonal/>
    </border>
    <border>
      <left style="double">
        <color auto="1"/>
      </left>
      <right style="medium">
        <color auto="1"/>
      </right>
      <top/>
      <bottom style="hair">
        <color indexed="64"/>
      </bottom>
      <diagonal/>
    </border>
    <border>
      <left style="double">
        <color indexed="64"/>
      </left>
      <right style="medium">
        <color indexed="64"/>
      </right>
      <top style="double">
        <color indexed="64"/>
      </top>
      <bottom/>
      <diagonal/>
    </border>
    <border>
      <left style="double">
        <color indexed="64"/>
      </left>
      <right style="medium">
        <color indexed="64"/>
      </right>
      <top/>
      <bottom style="double">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medium">
        <color indexed="64"/>
      </left>
      <right style="hair">
        <color auto="1"/>
      </right>
      <top style="double">
        <color auto="1"/>
      </top>
      <bottom style="medium">
        <color indexed="64"/>
      </bottom>
      <diagonal/>
    </border>
    <border>
      <left style="thin">
        <color indexed="64"/>
      </left>
      <right style="double">
        <color indexed="64"/>
      </right>
      <top style="thin">
        <color indexed="64"/>
      </top>
      <bottom style="thin">
        <color indexed="64"/>
      </bottom>
      <diagonal/>
    </border>
    <border>
      <left style="medium">
        <color indexed="64"/>
      </left>
      <right/>
      <top style="hair">
        <color indexed="64"/>
      </top>
      <bottom style="hair">
        <color indexed="64"/>
      </bottom>
      <diagonal/>
    </border>
  </borders>
  <cellStyleXfs count="11">
    <xf numFmtId="0" fontId="0" fillId="0" borderId="0"/>
    <xf numFmtId="0" fontId="3" fillId="0" borderId="0" applyNumberFormat="0" applyFill="0" applyBorder="0" applyAlignment="0" applyProtection="0">
      <alignment vertical="top"/>
      <protection locked="0"/>
    </xf>
    <xf numFmtId="9" fontId="2" fillId="0" borderId="0" applyFont="0" applyFill="0" applyBorder="0" applyAlignment="0" applyProtection="0"/>
    <xf numFmtId="9" fontId="6" fillId="0" borderId="0" applyFont="0" applyFill="0" applyBorder="0" applyAlignment="0" applyProtection="0"/>
    <xf numFmtId="0" fontId="2" fillId="0" borderId="0"/>
    <xf numFmtId="0" fontId="7" fillId="0" borderId="0"/>
    <xf numFmtId="0" fontId="2" fillId="0" borderId="0"/>
    <xf numFmtId="0" fontId="2" fillId="0" borderId="0"/>
    <xf numFmtId="0" fontId="2" fillId="0" borderId="0"/>
    <xf numFmtId="0" fontId="1" fillId="0" borderId="0"/>
    <xf numFmtId="9" fontId="2" fillId="0" borderId="0" applyFont="0" applyFill="0" applyBorder="0" applyAlignment="0" applyProtection="0"/>
  </cellStyleXfs>
  <cellXfs count="660">
    <xf numFmtId="0" fontId="0" fillId="0" borderId="0" xfId="0"/>
    <xf numFmtId="0" fontId="10" fillId="0" borderId="0" xfId="0" applyFont="1" applyAlignment="1">
      <alignment vertical="center"/>
    </xf>
    <xf numFmtId="0" fontId="11" fillId="3" borderId="63" xfId="0" applyFont="1" applyFill="1" applyBorder="1" applyAlignment="1">
      <alignment horizontal="right" vertical="center"/>
    </xf>
    <xf numFmtId="0" fontId="11" fillId="3" borderId="64" xfId="0" applyFont="1" applyFill="1" applyBorder="1" applyAlignment="1">
      <alignment horizontal="left" vertical="center"/>
    </xf>
    <xf numFmtId="0" fontId="12" fillId="3" borderId="64" xfId="0" applyFont="1" applyFill="1" applyBorder="1" applyAlignment="1">
      <alignment horizontal="left" vertical="center"/>
    </xf>
    <xf numFmtId="0" fontId="13" fillId="3" borderId="64" xfId="0" applyFont="1" applyFill="1" applyBorder="1" applyAlignment="1">
      <alignment horizontal="centerContinuous" vertical="center"/>
    </xf>
    <xf numFmtId="0" fontId="14" fillId="3" borderId="64" xfId="0" applyFont="1" applyFill="1" applyBorder="1" applyAlignment="1">
      <alignment horizontal="centerContinuous" vertical="center"/>
    </xf>
    <xf numFmtId="0" fontId="15" fillId="3" borderId="65" xfId="1" applyFont="1" applyFill="1" applyBorder="1" applyAlignment="1" applyProtection="1">
      <alignment horizontal="right" vertical="center"/>
    </xf>
    <xf numFmtId="0" fontId="14" fillId="0" borderId="0" xfId="0" applyFont="1" applyAlignment="1">
      <alignment vertical="center"/>
    </xf>
    <xf numFmtId="0" fontId="16" fillId="0" borderId="1" xfId="0" applyFont="1" applyBorder="1" applyAlignment="1">
      <alignment horizontal="right" vertical="center"/>
    </xf>
    <xf numFmtId="0" fontId="17" fillId="0" borderId="0" xfId="0" applyFont="1" applyAlignment="1">
      <alignment horizontal="centerContinuous" vertical="center"/>
    </xf>
    <xf numFmtId="0" fontId="16" fillId="0" borderId="0" xfId="0" applyFont="1" applyAlignment="1">
      <alignment horizontal="right" vertical="center"/>
    </xf>
    <xf numFmtId="0" fontId="17" fillId="0" borderId="0" xfId="0" applyFont="1" applyAlignment="1">
      <alignment horizontal="center" vertical="center"/>
    </xf>
    <xf numFmtId="0" fontId="17" fillId="0" borderId="2" xfId="0" applyFont="1" applyBorder="1" applyAlignment="1">
      <alignment horizontal="left" vertical="center"/>
    </xf>
    <xf numFmtId="0" fontId="18" fillId="0" borderId="0" xfId="0" applyFont="1" applyAlignment="1">
      <alignment horizontal="centerContinuous" vertical="center"/>
    </xf>
    <xf numFmtId="0" fontId="16" fillId="2" borderId="143" xfId="0" applyFont="1" applyFill="1" applyBorder="1" applyAlignment="1">
      <alignment horizontal="right" vertical="center"/>
    </xf>
    <xf numFmtId="0" fontId="17" fillId="0" borderId="144" xfId="0" applyFont="1" applyBorder="1" applyAlignment="1">
      <alignment horizontal="centerContinuous" vertical="center"/>
    </xf>
    <xf numFmtId="49" fontId="16" fillId="0" borderId="145" xfId="0" applyNumberFormat="1" applyFont="1" applyBorder="1" applyAlignment="1">
      <alignment horizontal="centerContinuous"/>
    </xf>
    <xf numFmtId="0" fontId="13" fillId="2" borderId="117" xfId="0" applyFont="1" applyFill="1" applyBorder="1" applyAlignment="1">
      <alignment horizontal="right" vertical="center"/>
    </xf>
    <xf numFmtId="49" fontId="17" fillId="0" borderId="146" xfId="0" applyNumberFormat="1" applyFont="1" applyBorder="1" applyAlignment="1">
      <alignment horizontal="center" vertical="center"/>
    </xf>
    <xf numFmtId="0" fontId="19" fillId="3" borderId="14" xfId="0" applyFont="1" applyFill="1" applyBorder="1" applyAlignment="1">
      <alignment horizontal="right" vertical="center"/>
    </xf>
    <xf numFmtId="0" fontId="20" fillId="18" borderId="15" xfId="0" applyFont="1" applyFill="1" applyBorder="1" applyAlignment="1">
      <alignment horizontal="center" vertical="center"/>
    </xf>
    <xf numFmtId="0" fontId="21" fillId="0" borderId="15" xfId="0" applyFont="1" applyBorder="1" applyAlignment="1">
      <alignment horizontal="center" vertical="center"/>
    </xf>
    <xf numFmtId="0" fontId="19" fillId="2" borderId="13" xfId="0" applyFont="1" applyFill="1" applyBorder="1" applyAlignment="1">
      <alignment horizontal="right" vertical="center"/>
    </xf>
    <xf numFmtId="49" fontId="22" fillId="0" borderId="59" xfId="0" applyNumberFormat="1" applyFont="1" applyBorder="1" applyAlignment="1">
      <alignment horizontal="center" shrinkToFit="1"/>
    </xf>
    <xf numFmtId="0" fontId="17" fillId="0" borderId="0" xfId="0" applyFont="1" applyAlignment="1">
      <alignment horizontal="left" vertical="center"/>
    </xf>
    <xf numFmtId="0" fontId="25" fillId="3" borderId="5" xfId="0" applyFont="1" applyFill="1" applyBorder="1" applyAlignment="1">
      <alignment horizontal="right" vertical="center"/>
    </xf>
    <xf numFmtId="0" fontId="20" fillId="18" borderId="3" xfId="0" quotePrefix="1" applyFont="1" applyFill="1" applyBorder="1" applyAlignment="1">
      <alignment horizontal="center" vertical="center"/>
    </xf>
    <xf numFmtId="49" fontId="21" fillId="0" borderId="15" xfId="0" applyNumberFormat="1" applyFont="1" applyBorder="1" applyAlignment="1">
      <alignment horizontal="center" vertical="center"/>
    </xf>
    <xf numFmtId="0" fontId="19" fillId="2" borderId="4" xfId="0" applyFont="1" applyFill="1" applyBorder="1" applyAlignment="1">
      <alignment horizontal="right" vertical="center"/>
    </xf>
    <xf numFmtId="164" fontId="16" fillId="8" borderId="33" xfId="0" applyNumberFormat="1" applyFont="1" applyFill="1" applyBorder="1" applyAlignment="1">
      <alignment horizontal="center" vertical="center"/>
    </xf>
    <xf numFmtId="0" fontId="26" fillId="3" borderId="5" xfId="0" applyFont="1" applyFill="1" applyBorder="1" applyAlignment="1">
      <alignment horizontal="right" vertical="center"/>
    </xf>
    <xf numFmtId="0" fontId="17" fillId="0" borderId="3" xfId="0" quotePrefix="1" applyFont="1" applyBorder="1" applyAlignment="1">
      <alignment horizontal="center" vertical="center"/>
    </xf>
    <xf numFmtId="49" fontId="21" fillId="0" borderId="3" xfId="0" applyNumberFormat="1" applyFont="1" applyBorder="1" applyAlignment="1">
      <alignment horizontal="center" vertical="center"/>
    </xf>
    <xf numFmtId="0" fontId="16" fillId="0" borderId="32" xfId="0" applyFont="1" applyBorder="1" applyAlignment="1">
      <alignment horizontal="center" vertical="center"/>
    </xf>
    <xf numFmtId="0" fontId="27" fillId="3" borderId="5" xfId="0" applyFont="1" applyFill="1" applyBorder="1" applyAlignment="1">
      <alignment horizontal="right" vertical="center"/>
    </xf>
    <xf numFmtId="0" fontId="28" fillId="2" borderId="4" xfId="0" applyFont="1" applyFill="1" applyBorder="1" applyAlignment="1">
      <alignment horizontal="right" vertical="center"/>
    </xf>
    <xf numFmtId="49" fontId="17" fillId="0" borderId="32" xfId="0" applyNumberFormat="1" applyFont="1" applyBorder="1" applyAlignment="1">
      <alignment horizontal="center" vertical="center"/>
    </xf>
    <xf numFmtId="0" fontId="29" fillId="3" borderId="5" xfId="0" applyFont="1" applyFill="1" applyBorder="1" applyAlignment="1">
      <alignment horizontal="right" vertical="center"/>
    </xf>
    <xf numFmtId="0" fontId="30" fillId="3" borderId="16" xfId="0" applyFont="1" applyFill="1" applyBorder="1" applyAlignment="1">
      <alignment horizontal="right" vertical="center"/>
    </xf>
    <xf numFmtId="0" fontId="20" fillId="18" borderId="24" xfId="0" quotePrefix="1" applyFont="1" applyFill="1" applyBorder="1" applyAlignment="1">
      <alignment horizontal="center" vertical="center"/>
    </xf>
    <xf numFmtId="49" fontId="21" fillId="0" borderId="24" xfId="0" applyNumberFormat="1" applyFont="1" applyBorder="1" applyAlignment="1">
      <alignment horizontal="center" vertical="center"/>
    </xf>
    <xf numFmtId="0" fontId="28" fillId="2" borderId="25" xfId="0" applyFont="1" applyFill="1" applyBorder="1" applyAlignment="1">
      <alignment horizontal="right" vertical="center"/>
    </xf>
    <xf numFmtId="49" fontId="31" fillId="18" borderId="12" xfId="0" applyNumberFormat="1" applyFont="1" applyFill="1" applyBorder="1" applyAlignment="1">
      <alignment horizontal="center" vertical="center"/>
    </xf>
    <xf numFmtId="0" fontId="32" fillId="0" borderId="1" xfId="0" applyFont="1" applyBorder="1" applyAlignment="1">
      <alignment vertical="center"/>
    </xf>
    <xf numFmtId="0" fontId="33" fillId="0" borderId="0" xfId="0" applyFont="1" applyAlignment="1">
      <alignment vertical="center"/>
    </xf>
    <xf numFmtId="0" fontId="34" fillId="0" borderId="0" xfId="0" applyFont="1" applyAlignment="1">
      <alignment vertical="center"/>
    </xf>
    <xf numFmtId="0" fontId="34" fillId="0" borderId="2" xfId="0" applyFont="1" applyBorder="1" applyAlignment="1">
      <alignment vertical="center"/>
    </xf>
    <xf numFmtId="0" fontId="17" fillId="0" borderId="6" xfId="0" applyFont="1" applyBorder="1" applyAlignment="1">
      <alignment vertical="center"/>
    </xf>
    <xf numFmtId="0" fontId="17" fillId="0" borderId="7" xfId="0" applyFont="1" applyBorder="1" applyAlignment="1">
      <alignment vertical="center"/>
    </xf>
    <xf numFmtId="0" fontId="17" fillId="0" borderId="8" xfId="0" applyFont="1" applyBorder="1" applyAlignment="1">
      <alignment vertical="center"/>
    </xf>
    <xf numFmtId="0" fontId="13" fillId="0" borderId="0" xfId="0" applyFont="1" applyAlignment="1">
      <alignment vertical="center"/>
    </xf>
    <xf numFmtId="0" fontId="17" fillId="0" borderId="1" xfId="0" applyFont="1" applyBorder="1" applyAlignment="1">
      <alignment vertical="center"/>
    </xf>
    <xf numFmtId="0" fontId="17" fillId="0" borderId="0" xfId="0" applyFont="1" applyAlignment="1">
      <alignment vertical="center"/>
    </xf>
    <xf numFmtId="0" fontId="17" fillId="0" borderId="2" xfId="0" applyFont="1" applyBorder="1" applyAlignment="1">
      <alignment vertical="center"/>
    </xf>
    <xf numFmtId="0" fontId="17" fillId="0" borderId="9" xfId="0" applyFont="1" applyBorder="1" applyAlignment="1">
      <alignment vertical="center"/>
    </xf>
    <xf numFmtId="0" fontId="17" fillId="0" borderId="10" xfId="0" applyFont="1" applyBorder="1" applyAlignment="1">
      <alignment vertical="center"/>
    </xf>
    <xf numFmtId="0" fontId="17" fillId="0" borderId="11" xfId="0" applyFont="1" applyBorder="1" applyAlignment="1">
      <alignment vertical="center"/>
    </xf>
    <xf numFmtId="0" fontId="13" fillId="0" borderId="0" xfId="0" applyFont="1" applyAlignment="1">
      <alignment horizontal="right" vertical="center"/>
    </xf>
    <xf numFmtId="0" fontId="14" fillId="0" borderId="0" xfId="0" applyFont="1" applyAlignment="1">
      <alignment horizontal="left" vertical="center"/>
    </xf>
    <xf numFmtId="0" fontId="31" fillId="10" borderId="106" xfId="0" applyFont="1" applyFill="1" applyBorder="1" applyAlignment="1">
      <alignment horizontal="right" vertical="center"/>
    </xf>
    <xf numFmtId="0" fontId="35" fillId="10" borderId="106" xfId="0" applyFont="1" applyFill="1" applyBorder="1" applyAlignment="1">
      <alignment vertical="center"/>
    </xf>
    <xf numFmtId="0" fontId="35" fillId="10" borderId="106" xfId="0" applyFont="1" applyFill="1" applyBorder="1" applyAlignment="1">
      <alignment horizontal="center" vertical="center"/>
    </xf>
    <xf numFmtId="0" fontId="31" fillId="10" borderId="0" xfId="0" applyFont="1" applyFill="1" applyAlignment="1">
      <alignment horizontal="right" vertical="center"/>
    </xf>
    <xf numFmtId="0" fontId="35" fillId="10" borderId="2" xfId="0" applyFont="1" applyFill="1" applyBorder="1" applyAlignment="1">
      <alignment horizontal="left" vertical="center"/>
    </xf>
    <xf numFmtId="0" fontId="35" fillId="10" borderId="0" xfId="0" applyFont="1" applyFill="1" applyAlignment="1">
      <alignment horizontal="centerContinuous" vertical="center"/>
    </xf>
    <xf numFmtId="0" fontId="35" fillId="10" borderId="0" xfId="0" applyFont="1" applyFill="1" applyAlignment="1">
      <alignment horizontal="center" vertical="center"/>
    </xf>
    <xf numFmtId="49" fontId="35" fillId="10" borderId="0" xfId="0" applyNumberFormat="1" applyFont="1" applyFill="1" applyAlignment="1">
      <alignment horizontal="centerContinuous" vertical="center"/>
    </xf>
    <xf numFmtId="49" fontId="31" fillId="10" borderId="0" xfId="0" applyNumberFormat="1" applyFont="1" applyFill="1" applyAlignment="1">
      <alignment horizontal="centerContinuous" vertical="center"/>
    </xf>
    <xf numFmtId="0" fontId="37" fillId="10" borderId="0" xfId="0" applyFont="1" applyFill="1" applyAlignment="1">
      <alignment horizontal="right" vertical="center"/>
    </xf>
    <xf numFmtId="49" fontId="35" fillId="10" borderId="0" xfId="0" applyNumberFormat="1" applyFont="1" applyFill="1" applyAlignment="1">
      <alignment horizontal="center" vertical="center"/>
    </xf>
    <xf numFmtId="0" fontId="16" fillId="10" borderId="0" xfId="0" applyFont="1" applyFill="1" applyAlignment="1">
      <alignment horizontal="right" vertical="center"/>
    </xf>
    <xf numFmtId="0" fontId="17" fillId="10" borderId="2" xfId="0" applyFont="1" applyFill="1" applyBorder="1" applyAlignment="1">
      <alignment horizontal="left" vertical="center"/>
    </xf>
    <xf numFmtId="0" fontId="19" fillId="10" borderId="0" xfId="0" applyFont="1" applyFill="1" applyAlignment="1">
      <alignment horizontal="right" vertical="center"/>
    </xf>
    <xf numFmtId="49" fontId="21" fillId="10" borderId="0" xfId="0" applyNumberFormat="1" applyFont="1" applyFill="1" applyAlignment="1">
      <alignment horizontal="center" vertical="center"/>
    </xf>
    <xf numFmtId="49" fontId="28" fillId="10" borderId="59" xfId="0" applyNumberFormat="1" applyFont="1" applyFill="1" applyBorder="1" applyAlignment="1">
      <alignment horizontal="center" shrinkToFit="1"/>
    </xf>
    <xf numFmtId="0" fontId="17" fillId="10" borderId="0" xfId="0" applyFont="1" applyFill="1" applyAlignment="1">
      <alignment horizontal="left" vertical="center"/>
    </xf>
    <xf numFmtId="0" fontId="25" fillId="10" borderId="0" xfId="0" applyFont="1" applyFill="1" applyAlignment="1">
      <alignment horizontal="right" vertical="center"/>
    </xf>
    <xf numFmtId="164" fontId="16" fillId="8" borderId="169" xfId="0" applyNumberFormat="1" applyFont="1" applyFill="1" applyBorder="1" applyAlignment="1">
      <alignment horizontal="center" vertical="center"/>
    </xf>
    <xf numFmtId="0" fontId="26" fillId="10" borderId="0" xfId="0" applyFont="1" applyFill="1" applyAlignment="1">
      <alignment horizontal="right" vertical="center"/>
    </xf>
    <xf numFmtId="0" fontId="38" fillId="10" borderId="0" xfId="0" quotePrefix="1" applyFont="1" applyFill="1" applyAlignment="1">
      <alignment horizontal="center" vertical="center"/>
    </xf>
    <xf numFmtId="0" fontId="31" fillId="16" borderId="0" xfId="0" applyFont="1" applyFill="1" applyAlignment="1">
      <alignment horizontal="center" vertical="center"/>
    </xf>
    <xf numFmtId="0" fontId="28" fillId="10" borderId="0" xfId="0" applyFont="1" applyFill="1" applyAlignment="1">
      <alignment horizontal="right" vertical="center"/>
    </xf>
    <xf numFmtId="0" fontId="35" fillId="10" borderId="0" xfId="0" quotePrefix="1" applyFont="1" applyFill="1" applyAlignment="1">
      <alignment horizontal="center" vertical="center"/>
    </xf>
    <xf numFmtId="0" fontId="29" fillId="10" borderId="0" xfId="0" applyFont="1" applyFill="1" applyAlignment="1">
      <alignment horizontal="right" vertical="center"/>
    </xf>
    <xf numFmtId="0" fontId="30" fillId="10" borderId="0" xfId="0" applyFont="1" applyFill="1" applyAlignment="1">
      <alignment horizontal="right" vertical="center"/>
    </xf>
    <xf numFmtId="0" fontId="39" fillId="0" borderId="23" xfId="0" applyFont="1" applyBorder="1" applyAlignment="1">
      <alignment horizontal="centerContinuous" vertical="center"/>
    </xf>
    <xf numFmtId="0" fontId="34" fillId="0" borderId="0" xfId="0" applyFont="1" applyAlignment="1">
      <alignment horizontal="centerContinuous" vertical="center"/>
    </xf>
    <xf numFmtId="0" fontId="40" fillId="4" borderId="89" xfId="0" applyFont="1" applyFill="1" applyBorder="1" applyAlignment="1">
      <alignment horizontal="centerContinuous" vertical="center"/>
    </xf>
    <xf numFmtId="0" fontId="40" fillId="4" borderId="38" xfId="0" applyFont="1" applyFill="1" applyBorder="1" applyAlignment="1">
      <alignment horizontal="center" vertical="center"/>
    </xf>
    <xf numFmtId="0" fontId="40" fillId="4" borderId="38" xfId="0" applyFont="1" applyFill="1" applyBorder="1" applyAlignment="1">
      <alignment horizontal="center" vertical="center" wrapText="1"/>
    </xf>
    <xf numFmtId="0" fontId="40" fillId="10" borderId="38" xfId="0" applyFont="1" applyFill="1" applyBorder="1" applyAlignment="1">
      <alignment horizontal="center" vertical="center" wrapText="1"/>
    </xf>
    <xf numFmtId="0" fontId="40" fillId="4" borderId="90" xfId="0" applyFont="1" applyFill="1" applyBorder="1" applyAlignment="1">
      <alignment horizontal="center" vertical="center"/>
    </xf>
    <xf numFmtId="0" fontId="42" fillId="0" borderId="1" xfId="0" applyFont="1" applyBorder="1" applyAlignment="1">
      <alignment vertical="center"/>
    </xf>
    <xf numFmtId="0" fontId="16" fillId="0" borderId="26" xfId="0" applyFont="1" applyBorder="1" applyAlignment="1">
      <alignment horizontal="center" vertical="center"/>
    </xf>
    <xf numFmtId="0" fontId="17" fillId="0" borderId="26" xfId="0" applyFont="1" applyBorder="1" applyAlignment="1">
      <alignment horizontal="center" vertical="center"/>
    </xf>
    <xf numFmtId="0" fontId="43" fillId="0" borderId="26" xfId="0" applyFont="1" applyBorder="1" applyAlignment="1">
      <alignment horizontal="center" vertical="center" wrapText="1"/>
    </xf>
    <xf numFmtId="0" fontId="17" fillId="17" borderId="26" xfId="0" applyFont="1" applyFill="1" applyBorder="1" applyAlignment="1">
      <alignment horizontal="center" vertical="center" wrapText="1"/>
    </xf>
    <xf numFmtId="1" fontId="17" fillId="0" borderId="26" xfId="0" applyNumberFormat="1" applyFont="1" applyBorder="1" applyAlignment="1">
      <alignment horizontal="center" vertical="center" wrapText="1"/>
    </xf>
    <xf numFmtId="1" fontId="35" fillId="10" borderId="26" xfId="0" applyNumberFormat="1" applyFont="1" applyFill="1" applyBorder="1" applyAlignment="1">
      <alignment horizontal="center" vertical="center" wrapText="1"/>
    </xf>
    <xf numFmtId="49" fontId="17" fillId="0" borderId="26" xfId="0" applyNumberFormat="1" applyFont="1" applyBorder="1" applyAlignment="1">
      <alignment horizontal="center" vertical="center" wrapText="1"/>
    </xf>
    <xf numFmtId="0" fontId="17" fillId="0" borderId="28" xfId="0" applyFont="1" applyBorder="1" applyAlignment="1">
      <alignment horizontal="center" vertical="center"/>
    </xf>
    <xf numFmtId="0" fontId="45" fillId="0" borderId="1" xfId="0" applyFont="1" applyBorder="1" applyAlignment="1">
      <alignment vertical="center"/>
    </xf>
    <xf numFmtId="0" fontId="25" fillId="0" borderId="27" xfId="0" applyFont="1" applyBorder="1" applyAlignment="1">
      <alignment horizontal="center" vertical="center"/>
    </xf>
    <xf numFmtId="0" fontId="43" fillId="0" borderId="70" xfId="0" applyFont="1" applyBorder="1" applyAlignment="1">
      <alignment vertical="center"/>
    </xf>
    <xf numFmtId="0" fontId="16" fillId="0" borderId="69" xfId="0" applyFont="1" applyBorder="1" applyAlignment="1">
      <alignment horizontal="center" vertical="center"/>
    </xf>
    <xf numFmtId="0" fontId="17" fillId="0" borderId="69" xfId="0" applyFont="1" applyBorder="1" applyAlignment="1">
      <alignment horizontal="center" vertical="center"/>
    </xf>
    <xf numFmtId="0" fontId="41" fillId="0" borderId="69" xfId="0" applyFont="1" applyBorder="1" applyAlignment="1">
      <alignment horizontal="center" vertical="center" wrapText="1"/>
    </xf>
    <xf numFmtId="0" fontId="17" fillId="17" borderId="69" xfId="0" applyFont="1" applyFill="1" applyBorder="1" applyAlignment="1">
      <alignment horizontal="center" vertical="center" wrapText="1"/>
    </xf>
    <xf numFmtId="1" fontId="17" fillId="0" borderId="69" xfId="0" applyNumberFormat="1" applyFont="1" applyBorder="1" applyAlignment="1">
      <alignment horizontal="center" vertical="center" wrapText="1"/>
    </xf>
    <xf numFmtId="1" fontId="35" fillId="10" borderId="69" xfId="0" applyNumberFormat="1" applyFont="1" applyFill="1" applyBorder="1" applyAlignment="1">
      <alignment horizontal="center" vertical="center" wrapText="1"/>
    </xf>
    <xf numFmtId="49" fontId="17" fillId="0" borderId="69" xfId="0" applyNumberFormat="1" applyFont="1" applyBorder="1" applyAlignment="1">
      <alignment horizontal="center" vertical="center" wrapText="1"/>
    </xf>
    <xf numFmtId="0" fontId="17" fillId="0" borderId="59" xfId="0" applyFont="1" applyBorder="1" applyAlignment="1">
      <alignment horizontal="center" vertical="center"/>
    </xf>
    <xf numFmtId="0" fontId="46" fillId="0" borderId="1" xfId="0" applyFont="1" applyBorder="1" applyAlignment="1">
      <alignment vertical="center"/>
    </xf>
    <xf numFmtId="49" fontId="22" fillId="0" borderId="26" xfId="0" applyNumberFormat="1" applyFont="1" applyBorder="1" applyAlignment="1">
      <alignment horizontal="center" vertical="center"/>
    </xf>
    <xf numFmtId="0" fontId="22" fillId="0" borderId="27" xfId="0" applyFont="1" applyBorder="1" applyAlignment="1">
      <alignment horizontal="center" vertical="center"/>
    </xf>
    <xf numFmtId="0" fontId="17" fillId="0" borderId="27" xfId="0" applyFont="1" applyBorder="1" applyAlignment="1">
      <alignment horizontal="center" vertical="center"/>
    </xf>
    <xf numFmtId="49" fontId="17" fillId="0" borderId="27" xfId="0" applyNumberFormat="1" applyFont="1" applyBorder="1" applyAlignment="1">
      <alignment horizontal="center" vertical="center"/>
    </xf>
    <xf numFmtId="49" fontId="35" fillId="10" borderId="27" xfId="0" applyNumberFormat="1" applyFont="1" applyFill="1" applyBorder="1" applyAlignment="1">
      <alignment horizontal="center" vertical="center"/>
    </xf>
    <xf numFmtId="0" fontId="47" fillId="0" borderId="0" xfId="0" applyFont="1" applyAlignment="1">
      <alignment vertical="center"/>
    </xf>
    <xf numFmtId="0" fontId="25" fillId="0" borderId="1" xfId="0" applyFont="1" applyBorder="1" applyAlignment="1">
      <alignment vertical="center"/>
    </xf>
    <xf numFmtId="49" fontId="48" fillId="0" borderId="26" xfId="0" applyNumberFormat="1" applyFont="1" applyBorder="1" applyAlignment="1">
      <alignment horizontal="center" vertical="center"/>
    </xf>
    <xf numFmtId="0" fontId="48" fillId="0" borderId="27" xfId="0" applyFont="1" applyBorder="1" applyAlignment="1">
      <alignment horizontal="center" vertical="center"/>
    </xf>
    <xf numFmtId="0" fontId="49" fillId="0" borderId="27" xfId="0" applyFont="1" applyBorder="1" applyAlignment="1">
      <alignment horizontal="center" vertical="center"/>
    </xf>
    <xf numFmtId="0" fontId="50" fillId="0" borderId="0" xfId="0" applyFont="1" applyAlignment="1">
      <alignment vertical="center"/>
    </xf>
    <xf numFmtId="0" fontId="30" fillId="0" borderId="1" xfId="0" applyFont="1" applyBorder="1" applyAlignment="1">
      <alignment vertical="center"/>
    </xf>
    <xf numFmtId="49" fontId="51" fillId="0" borderId="26" xfId="0" applyNumberFormat="1" applyFont="1" applyBorder="1" applyAlignment="1">
      <alignment horizontal="center" vertical="center"/>
    </xf>
    <xf numFmtId="0" fontId="51" fillId="0" borderId="27" xfId="0" applyFont="1" applyBorder="1" applyAlignment="1">
      <alignment horizontal="center" vertical="center"/>
    </xf>
    <xf numFmtId="0" fontId="30" fillId="0" borderId="27" xfId="0" applyFont="1" applyBorder="1" applyAlignment="1">
      <alignment horizontal="center" vertical="center"/>
    </xf>
    <xf numFmtId="0" fontId="52" fillId="0" borderId="0" xfId="0" applyFont="1" applyAlignment="1">
      <alignment vertical="center"/>
    </xf>
    <xf numFmtId="0" fontId="19" fillId="0" borderId="1" xfId="0" applyFont="1" applyBorder="1" applyAlignment="1">
      <alignment vertical="center"/>
    </xf>
    <xf numFmtId="49" fontId="24" fillId="0" borderId="26" xfId="0" applyNumberFormat="1" applyFont="1" applyBorder="1" applyAlignment="1">
      <alignment horizontal="center" vertical="center"/>
    </xf>
    <xf numFmtId="0" fontId="24" fillId="0" borderId="27" xfId="0" applyFont="1" applyBorder="1" applyAlignment="1">
      <alignment horizontal="center" vertical="center"/>
    </xf>
    <xf numFmtId="0" fontId="53" fillId="0" borderId="0" xfId="0" applyFont="1" applyAlignment="1">
      <alignment vertical="center"/>
    </xf>
    <xf numFmtId="0" fontId="26" fillId="7" borderId="1" xfId="0" applyFont="1" applyFill="1" applyBorder="1" applyAlignment="1">
      <alignment vertical="center"/>
    </xf>
    <xf numFmtId="0" fontId="17" fillId="7" borderId="26" xfId="0" applyFont="1" applyFill="1" applyBorder="1" applyAlignment="1">
      <alignment horizontal="center" vertical="center"/>
    </xf>
    <xf numFmtId="49" fontId="54" fillId="7" borderId="26" xfId="0" applyNumberFormat="1" applyFont="1" applyFill="1" applyBorder="1" applyAlignment="1">
      <alignment horizontal="center" vertical="center"/>
    </xf>
    <xf numFmtId="0" fontId="54" fillId="7" borderId="27" xfId="0" applyFont="1" applyFill="1" applyBorder="1" applyAlignment="1">
      <alignment horizontal="center" vertical="center"/>
    </xf>
    <xf numFmtId="49" fontId="17" fillId="7" borderId="27" xfId="0" applyNumberFormat="1" applyFont="1" applyFill="1" applyBorder="1" applyAlignment="1">
      <alignment horizontal="center" vertical="center"/>
    </xf>
    <xf numFmtId="0" fontId="17" fillId="7" borderId="28" xfId="0" applyFont="1" applyFill="1" applyBorder="1" applyAlignment="1">
      <alignment horizontal="center" vertical="center"/>
    </xf>
    <xf numFmtId="0" fontId="28" fillId="11" borderId="1" xfId="0" applyFont="1" applyFill="1" applyBorder="1" applyAlignment="1">
      <alignment vertical="center"/>
    </xf>
    <xf numFmtId="0" fontId="17" fillId="11" borderId="26" xfId="0" applyFont="1" applyFill="1" applyBorder="1" applyAlignment="1">
      <alignment horizontal="center" vertical="center"/>
    </xf>
    <xf numFmtId="49" fontId="22" fillId="11" borderId="26" xfId="0" applyNumberFormat="1" applyFont="1" applyFill="1" applyBorder="1" applyAlignment="1">
      <alignment horizontal="center" vertical="center"/>
    </xf>
    <xf numFmtId="0" fontId="22" fillId="11" borderId="27" xfId="0" applyFont="1" applyFill="1" applyBorder="1" applyAlignment="1">
      <alignment horizontal="center" vertical="center"/>
    </xf>
    <xf numFmtId="49" fontId="17" fillId="11" borderId="27" xfId="0" applyNumberFormat="1" applyFont="1" applyFill="1" applyBorder="1" applyAlignment="1">
      <alignment horizontal="center" vertical="center"/>
    </xf>
    <xf numFmtId="0" fontId="17" fillId="11" borderId="28" xfId="0" applyFont="1" applyFill="1" applyBorder="1" applyAlignment="1">
      <alignment horizontal="center" vertical="center"/>
    </xf>
    <xf numFmtId="0" fontId="28" fillId="5" borderId="1" xfId="0" applyFont="1" applyFill="1" applyBorder="1" applyAlignment="1">
      <alignment vertical="center"/>
    </xf>
    <xf numFmtId="0" fontId="17" fillId="5" borderId="26" xfId="0" applyFont="1" applyFill="1" applyBorder="1" applyAlignment="1">
      <alignment horizontal="center" vertical="center"/>
    </xf>
    <xf numFmtId="49" fontId="22" fillId="5" borderId="26" xfId="0" applyNumberFormat="1" applyFont="1" applyFill="1" applyBorder="1" applyAlignment="1">
      <alignment horizontal="center" vertical="center"/>
    </xf>
    <xf numFmtId="0" fontId="22" fillId="5" borderId="27" xfId="0" applyFont="1" applyFill="1" applyBorder="1" applyAlignment="1">
      <alignment horizontal="center" vertical="center"/>
    </xf>
    <xf numFmtId="49" fontId="17" fillId="5" borderId="27" xfId="0" applyNumberFormat="1" applyFont="1" applyFill="1" applyBorder="1" applyAlignment="1">
      <alignment horizontal="center" vertical="center"/>
    </xf>
    <xf numFmtId="0" fontId="55" fillId="5" borderId="27" xfId="0" applyFont="1" applyFill="1" applyBorder="1" applyAlignment="1">
      <alignment horizontal="center" vertical="center"/>
    </xf>
    <xf numFmtId="0" fontId="17" fillId="5" borderId="28" xfId="0" applyFont="1" applyFill="1" applyBorder="1" applyAlignment="1">
      <alignment horizontal="center" vertical="center"/>
    </xf>
    <xf numFmtId="0" fontId="56" fillId="0" borderId="0" xfId="0" applyFont="1" applyAlignment="1">
      <alignment vertical="center"/>
    </xf>
    <xf numFmtId="0" fontId="17" fillId="0" borderId="28" xfId="0" quotePrefix="1" applyFont="1" applyBorder="1" applyAlignment="1">
      <alignment horizontal="center" vertical="center"/>
    </xf>
    <xf numFmtId="0" fontId="28" fillId="6" borderId="1" xfId="0" applyFont="1" applyFill="1" applyBorder="1" applyAlignment="1">
      <alignment vertical="center"/>
    </xf>
    <xf numFmtId="0" fontId="17" fillId="6" borderId="26" xfId="0" applyFont="1" applyFill="1" applyBorder="1" applyAlignment="1">
      <alignment horizontal="center" vertical="center"/>
    </xf>
    <xf numFmtId="49" fontId="22" fillId="6" borderId="26" xfId="0" applyNumberFormat="1" applyFont="1" applyFill="1" applyBorder="1" applyAlignment="1">
      <alignment horizontal="center" vertical="center"/>
    </xf>
    <xf numFmtId="0" fontId="22" fillId="6" borderId="27" xfId="0" applyFont="1" applyFill="1" applyBorder="1" applyAlignment="1">
      <alignment horizontal="center" vertical="center"/>
    </xf>
    <xf numFmtId="49" fontId="17" fillId="6" borderId="27" xfId="0" applyNumberFormat="1" applyFont="1" applyFill="1" applyBorder="1" applyAlignment="1">
      <alignment horizontal="center" vertical="center"/>
    </xf>
    <xf numFmtId="0" fontId="17" fillId="6" borderId="28" xfId="0" applyFont="1" applyFill="1" applyBorder="1" applyAlignment="1">
      <alignment horizontal="center" vertical="center"/>
    </xf>
    <xf numFmtId="0" fontId="30" fillId="5" borderId="1" xfId="0" applyFont="1" applyFill="1" applyBorder="1" applyAlignment="1">
      <alignment vertical="center"/>
    </xf>
    <xf numFmtId="49" fontId="51" fillId="5" borderId="26" xfId="0" applyNumberFormat="1" applyFont="1" applyFill="1" applyBorder="1" applyAlignment="1">
      <alignment horizontal="center" vertical="center"/>
    </xf>
    <xf numFmtId="0" fontId="51" fillId="5" borderId="27" xfId="0" applyFont="1" applyFill="1" applyBorder="1" applyAlignment="1">
      <alignment horizontal="center" vertical="center"/>
    </xf>
    <xf numFmtId="0" fontId="29" fillId="0" borderId="1" xfId="0" applyFont="1" applyBorder="1" applyAlignment="1">
      <alignment vertical="center"/>
    </xf>
    <xf numFmtId="49" fontId="23" fillId="0" borderId="26" xfId="0" applyNumberFormat="1" applyFont="1" applyBorder="1" applyAlignment="1">
      <alignment horizontal="center" vertical="center"/>
    </xf>
    <xf numFmtId="0" fontId="23" fillId="0" borderId="27" xfId="0" applyFont="1" applyBorder="1" applyAlignment="1">
      <alignment horizontal="center" vertical="center"/>
    </xf>
    <xf numFmtId="0" fontId="30" fillId="11" borderId="1" xfId="0" applyFont="1" applyFill="1" applyBorder="1" applyAlignment="1">
      <alignment vertical="center"/>
    </xf>
    <xf numFmtId="49" fontId="51" fillId="11" borderId="26" xfId="0" applyNumberFormat="1" applyFont="1" applyFill="1" applyBorder="1" applyAlignment="1">
      <alignment horizontal="center" vertical="center"/>
    </xf>
    <xf numFmtId="0" fontId="51" fillId="11" borderId="27" xfId="0" applyFont="1" applyFill="1" applyBorder="1" applyAlignment="1">
      <alignment horizontal="center" vertical="center"/>
    </xf>
    <xf numFmtId="0" fontId="28" fillId="7" borderId="1" xfId="0" applyFont="1" applyFill="1" applyBorder="1" applyAlignment="1">
      <alignment vertical="center"/>
    </xf>
    <xf numFmtId="49" fontId="22" fillId="7" borderId="26" xfId="0" applyNumberFormat="1" applyFont="1" applyFill="1" applyBorder="1" applyAlignment="1">
      <alignment horizontal="center" vertical="center"/>
    </xf>
    <xf numFmtId="0" fontId="22" fillId="7" borderId="27" xfId="0" applyFont="1" applyFill="1" applyBorder="1" applyAlignment="1">
      <alignment horizontal="center" vertical="center"/>
    </xf>
    <xf numFmtId="0" fontId="29" fillId="0" borderId="27" xfId="0" applyFont="1" applyBorder="1" applyAlignment="1">
      <alignment horizontal="center" vertical="center"/>
    </xf>
    <xf numFmtId="0" fontId="25" fillId="5" borderId="1" xfId="0" applyFont="1" applyFill="1" applyBorder="1" applyAlignment="1">
      <alignment vertical="center"/>
    </xf>
    <xf numFmtId="49" fontId="48" fillId="5" borderId="26" xfId="0" applyNumberFormat="1" applyFont="1" applyFill="1" applyBorder="1" applyAlignment="1">
      <alignment horizontal="center" vertical="center"/>
    </xf>
    <xf numFmtId="0" fontId="48" fillId="5" borderId="27" xfId="0" applyFont="1" applyFill="1" applyBorder="1" applyAlignment="1">
      <alignment horizontal="center" vertical="center"/>
    </xf>
    <xf numFmtId="0" fontId="30" fillId="2" borderId="1" xfId="0" applyFont="1" applyFill="1" applyBorder="1" applyAlignment="1">
      <alignment vertical="center"/>
    </xf>
    <xf numFmtId="49" fontId="23" fillId="5" borderId="26" xfId="0" applyNumberFormat="1" applyFont="1" applyFill="1" applyBorder="1" applyAlignment="1">
      <alignment horizontal="center" vertical="center"/>
    </xf>
    <xf numFmtId="0" fontId="23" fillId="5" borderId="27" xfId="0" applyFont="1" applyFill="1" applyBorder="1" applyAlignment="1">
      <alignment horizontal="center" vertical="center"/>
    </xf>
    <xf numFmtId="0" fontId="28" fillId="0" borderId="1" xfId="0" applyFont="1" applyBorder="1" applyAlignment="1">
      <alignment vertical="center"/>
    </xf>
    <xf numFmtId="1" fontId="49" fillId="5" borderId="27" xfId="0" applyNumberFormat="1" applyFont="1" applyFill="1" applyBorder="1" applyAlignment="1">
      <alignment horizontal="center" vertical="center"/>
    </xf>
    <xf numFmtId="0" fontId="17" fillId="7" borderId="28" xfId="0" quotePrefix="1" applyFont="1" applyFill="1" applyBorder="1" applyAlignment="1">
      <alignment horizontal="center" vertical="center"/>
    </xf>
    <xf numFmtId="0" fontId="29" fillId="6" borderId="1" xfId="0" applyFont="1" applyFill="1" applyBorder="1" applyAlignment="1">
      <alignment vertical="center"/>
    </xf>
    <xf numFmtId="49" fontId="23" fillId="6" borderId="26" xfId="0" applyNumberFormat="1" applyFont="1" applyFill="1" applyBorder="1" applyAlignment="1">
      <alignment horizontal="center" vertical="center"/>
    </xf>
    <xf numFmtId="0" fontId="23" fillId="6" borderId="27" xfId="0" applyFont="1" applyFill="1" applyBorder="1" applyAlignment="1">
      <alignment horizontal="center" vertical="center"/>
    </xf>
    <xf numFmtId="0" fontId="25" fillId="2" borderId="1" xfId="0" applyFont="1" applyFill="1" applyBorder="1" applyAlignment="1">
      <alignment vertical="center"/>
    </xf>
    <xf numFmtId="0" fontId="17" fillId="2" borderId="26" xfId="0" applyFont="1" applyFill="1" applyBorder="1" applyAlignment="1">
      <alignment horizontal="center" vertical="center"/>
    </xf>
    <xf numFmtId="49" fontId="48" fillId="2" borderId="26" xfId="0" applyNumberFormat="1" applyFont="1" applyFill="1" applyBorder="1" applyAlignment="1">
      <alignment horizontal="center" vertical="center"/>
    </xf>
    <xf numFmtId="0" fontId="48" fillId="2" borderId="27" xfId="0" applyFont="1" applyFill="1" applyBorder="1" applyAlignment="1">
      <alignment horizontal="center" vertical="center"/>
    </xf>
    <xf numFmtId="0" fontId="17" fillId="2" borderId="28" xfId="0" applyFont="1" applyFill="1" applyBorder="1" applyAlignment="1">
      <alignment horizontal="center" vertical="center"/>
    </xf>
    <xf numFmtId="0" fontId="30" fillId="12" borderId="1" xfId="0" applyFont="1" applyFill="1" applyBorder="1" applyAlignment="1">
      <alignment vertical="center"/>
    </xf>
    <xf numFmtId="0" fontId="17" fillId="12" borderId="26" xfId="0" applyFont="1" applyFill="1" applyBorder="1" applyAlignment="1">
      <alignment horizontal="center" vertical="center"/>
    </xf>
    <xf numFmtId="49" fontId="51" fillId="12" borderId="26" xfId="0" applyNumberFormat="1" applyFont="1" applyFill="1" applyBorder="1" applyAlignment="1">
      <alignment horizontal="center" vertical="center"/>
    </xf>
    <xf numFmtId="0" fontId="51" fillId="12" borderId="27" xfId="0" applyFont="1" applyFill="1" applyBorder="1" applyAlignment="1">
      <alignment horizontal="center" vertical="center"/>
    </xf>
    <xf numFmtId="49" fontId="17" fillId="12" borderId="27" xfId="0" applyNumberFormat="1" applyFont="1" applyFill="1" applyBorder="1" applyAlignment="1">
      <alignment horizontal="center" vertical="center"/>
    </xf>
    <xf numFmtId="0" fontId="17" fillId="2" borderId="28" xfId="0" quotePrefix="1" applyFont="1" applyFill="1" applyBorder="1" applyAlignment="1">
      <alignment horizontal="center" vertical="center"/>
    </xf>
    <xf numFmtId="0" fontId="25" fillId="6" borderId="9" xfId="0" applyFont="1" applyFill="1" applyBorder="1" applyAlignment="1">
      <alignment vertical="center"/>
    </xf>
    <xf numFmtId="0" fontId="17" fillId="6" borderId="29" xfId="0" applyFont="1" applyFill="1" applyBorder="1" applyAlignment="1">
      <alignment horizontal="center" vertical="center"/>
    </xf>
    <xf numFmtId="49" fontId="48" fillId="6" borderId="29" xfId="0" applyNumberFormat="1" applyFont="1" applyFill="1" applyBorder="1" applyAlignment="1">
      <alignment horizontal="center" vertical="center"/>
    </xf>
    <xf numFmtId="0" fontId="48" fillId="6" borderId="30" xfId="0" applyFont="1" applyFill="1" applyBorder="1" applyAlignment="1">
      <alignment horizontal="center" vertical="center"/>
    </xf>
    <xf numFmtId="49" fontId="17" fillId="6" borderId="30" xfId="0" applyNumberFormat="1" applyFont="1" applyFill="1" applyBorder="1" applyAlignment="1">
      <alignment horizontal="center" vertical="center"/>
    </xf>
    <xf numFmtId="49" fontId="35" fillId="10" borderId="30" xfId="0" applyNumberFormat="1" applyFont="1" applyFill="1" applyBorder="1" applyAlignment="1">
      <alignment horizontal="center" vertical="center"/>
    </xf>
    <xf numFmtId="49" fontId="35" fillId="10" borderId="10" xfId="0" applyNumberFormat="1" applyFont="1" applyFill="1" applyBorder="1" applyAlignment="1">
      <alignment horizontal="center" vertical="center"/>
    </xf>
    <xf numFmtId="0" fontId="17" fillId="6" borderId="31" xfId="0" applyFont="1" applyFill="1" applyBorder="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1" fontId="14" fillId="0" borderId="0" xfId="0" applyNumberFormat="1" applyFont="1" applyAlignment="1">
      <alignment horizontal="center" vertical="center"/>
    </xf>
    <xf numFmtId="0" fontId="13" fillId="0" borderId="0" xfId="0" applyFont="1" applyAlignment="1">
      <alignment horizontal="left" vertical="center"/>
    </xf>
    <xf numFmtId="0" fontId="57" fillId="0" borderId="23" xfId="0" applyFont="1" applyBorder="1" applyAlignment="1">
      <alignment horizontal="centerContinuous" vertical="center" wrapText="1"/>
    </xf>
    <xf numFmtId="0" fontId="34" fillId="0" borderId="0" xfId="0" applyFont="1" applyAlignment="1">
      <alignment horizontal="centerContinuous" vertical="center" wrapText="1"/>
    </xf>
    <xf numFmtId="0" fontId="14" fillId="0" borderId="0" xfId="0" applyFont="1" applyAlignment="1">
      <alignment vertical="center" wrapText="1"/>
    </xf>
    <xf numFmtId="0" fontId="40" fillId="9" borderId="89" xfId="0" applyFont="1" applyFill="1" applyBorder="1" applyAlignment="1">
      <alignment horizontal="centerContinuous" vertical="center" wrapText="1"/>
    </xf>
    <xf numFmtId="0" fontId="40" fillId="9" borderId="38" xfId="0" applyFont="1" applyFill="1" applyBorder="1" applyAlignment="1">
      <alignment horizontal="center" vertical="center" wrapText="1"/>
    </xf>
    <xf numFmtId="0" fontId="58" fillId="9" borderId="38" xfId="0" applyFont="1" applyFill="1" applyBorder="1" applyAlignment="1">
      <alignment horizontal="center" vertical="center" wrapText="1"/>
    </xf>
    <xf numFmtId="0" fontId="40" fillId="9" borderId="115" xfId="0" applyFont="1" applyFill="1" applyBorder="1" applyAlignment="1">
      <alignment horizontal="center" vertical="center" wrapText="1"/>
    </xf>
    <xf numFmtId="0" fontId="40" fillId="9" borderId="116" xfId="0" applyFont="1" applyFill="1" applyBorder="1" applyAlignment="1">
      <alignment horizontal="centerContinuous" vertical="center" wrapText="1"/>
    </xf>
    <xf numFmtId="0" fontId="13" fillId="0" borderId="0" xfId="0" applyFont="1" applyAlignment="1">
      <alignment vertical="center" wrapText="1"/>
    </xf>
    <xf numFmtId="0" fontId="59" fillId="0" borderId="1" xfId="0" applyFont="1" applyBorder="1" applyAlignment="1">
      <alignment horizontal="center" vertical="center" shrinkToFit="1"/>
    </xf>
    <xf numFmtId="0" fontId="17" fillId="0" borderId="26" xfId="0" applyFont="1" applyBorder="1" applyAlignment="1">
      <alignment horizontal="center" vertical="center" wrapText="1"/>
    </xf>
    <xf numFmtId="0" fontId="17" fillId="0" borderId="26" xfId="0" applyFont="1" applyBorder="1" applyAlignment="1">
      <alignment horizontal="center" vertical="center" shrinkToFit="1"/>
    </xf>
    <xf numFmtId="9" fontId="17" fillId="0" borderId="27" xfId="3" applyFont="1" applyFill="1" applyBorder="1" applyAlignment="1">
      <alignment horizontal="center" vertical="center" shrinkToFit="1"/>
    </xf>
    <xf numFmtId="0" fontId="17" fillId="0" borderId="27" xfId="0" applyFont="1" applyBorder="1" applyAlignment="1">
      <alignment horizontal="center" vertical="center" wrapText="1"/>
    </xf>
    <xf numFmtId="0" fontId="17" fillId="0" borderId="27" xfId="3" applyNumberFormat="1" applyFont="1" applyFill="1" applyBorder="1" applyAlignment="1">
      <alignment horizontal="center" vertical="center" shrinkToFit="1"/>
    </xf>
    <xf numFmtId="0" fontId="17" fillId="0" borderId="27" xfId="2" applyNumberFormat="1" applyFont="1" applyFill="1" applyBorder="1" applyAlignment="1">
      <alignment horizontal="center" vertical="center" shrinkToFit="1"/>
    </xf>
    <xf numFmtId="0" fontId="17" fillId="0" borderId="28" xfId="0" applyFont="1" applyBorder="1" applyAlignment="1">
      <alignment horizontal="center" vertical="center" wrapText="1"/>
    </xf>
    <xf numFmtId="9" fontId="17" fillId="0" borderId="27" xfId="2" applyFont="1" applyFill="1" applyBorder="1" applyAlignment="1">
      <alignment horizontal="center" vertical="center" shrinkToFit="1"/>
    </xf>
    <xf numFmtId="0" fontId="17" fillId="0" borderId="27" xfId="0" applyFont="1" applyBorder="1" applyAlignment="1">
      <alignment horizontal="center" vertical="center" shrinkToFit="1"/>
    </xf>
    <xf numFmtId="0" fontId="17" fillId="0" borderId="27" xfId="2" applyNumberFormat="1" applyFont="1" applyBorder="1" applyAlignment="1">
      <alignment horizontal="center" vertical="center" shrinkToFit="1"/>
    </xf>
    <xf numFmtId="0" fontId="17" fillId="0" borderId="28" xfId="6" applyFont="1" applyBorder="1" applyAlignment="1">
      <alignment horizontal="center" vertical="center" wrapText="1"/>
    </xf>
    <xf numFmtId="0" fontId="59" fillId="0" borderId="70" xfId="0" applyFont="1" applyBorder="1" applyAlignment="1">
      <alignment horizontal="center" vertical="center" shrinkToFit="1"/>
    </xf>
    <xf numFmtId="0" fontId="17" fillId="0" borderId="69" xfId="0" applyFont="1" applyBorder="1" applyAlignment="1">
      <alignment horizontal="center" vertical="center" wrapText="1"/>
    </xf>
    <xf numFmtId="9" fontId="17" fillId="0" borderId="69" xfId="2" applyFont="1" applyFill="1" applyBorder="1" applyAlignment="1">
      <alignment horizontal="center" vertical="center" shrinkToFit="1"/>
    </xf>
    <xf numFmtId="9" fontId="17" fillId="0" borderId="15" xfId="2" applyFont="1" applyFill="1" applyBorder="1" applyAlignment="1">
      <alignment horizontal="center" vertical="center" shrinkToFit="1"/>
    </xf>
    <xf numFmtId="0" fontId="17" fillId="0" borderId="15" xfId="0" applyFont="1" applyBorder="1" applyAlignment="1">
      <alignment horizontal="center" vertical="center" shrinkToFit="1"/>
    </xf>
    <xf numFmtId="0" fontId="17" fillId="0" borderId="15" xfId="2" applyNumberFormat="1" applyFont="1" applyFill="1" applyBorder="1" applyAlignment="1">
      <alignment horizontal="center" vertical="center" shrinkToFit="1"/>
    </xf>
    <xf numFmtId="0" fontId="17" fillId="0" borderId="69" xfId="2" applyNumberFormat="1" applyFont="1" applyFill="1" applyBorder="1" applyAlignment="1">
      <alignment horizontal="center" vertical="center" shrinkToFit="1"/>
    </xf>
    <xf numFmtId="0" fontId="17" fillId="0" borderId="59" xfId="0" applyFont="1" applyBorder="1" applyAlignment="1">
      <alignment horizontal="center" vertical="center" wrapText="1"/>
    </xf>
    <xf numFmtId="0" fontId="59" fillId="0" borderId="1" xfId="6" applyFont="1" applyBorder="1" applyAlignment="1">
      <alignment horizontal="center" vertical="center" shrinkToFit="1"/>
    </xf>
    <xf numFmtId="0" fontId="17" fillId="0" borderId="26" xfId="6" applyFont="1" applyBorder="1" applyAlignment="1">
      <alignment horizontal="center" vertical="center" wrapText="1"/>
    </xf>
    <xf numFmtId="9" fontId="17" fillId="0" borderId="26" xfId="2" applyFont="1" applyFill="1" applyBorder="1" applyAlignment="1">
      <alignment horizontal="center" vertical="center" shrinkToFit="1"/>
    </xf>
    <xf numFmtId="0" fontId="17" fillId="21" borderId="27" xfId="2" applyNumberFormat="1" applyFont="1" applyFill="1" applyBorder="1" applyAlignment="1">
      <alignment horizontal="center" vertical="center" shrinkToFit="1"/>
    </xf>
    <xf numFmtId="9" fontId="17" fillId="0" borderId="69" xfId="3" applyFont="1" applyFill="1" applyBorder="1" applyAlignment="1">
      <alignment horizontal="center" vertical="center" shrinkToFit="1"/>
    </xf>
    <xf numFmtId="9" fontId="17" fillId="0" borderId="15" xfId="3" applyFont="1" applyFill="1" applyBorder="1" applyAlignment="1">
      <alignment horizontal="center" vertical="center" shrinkToFit="1"/>
    </xf>
    <xf numFmtId="0" fontId="17" fillId="0" borderId="15" xfId="0" applyFont="1" applyBorder="1" applyAlignment="1">
      <alignment horizontal="center" vertical="center" wrapText="1"/>
    </xf>
    <xf numFmtId="0" fontId="17" fillId="0" borderId="15" xfId="3" applyNumberFormat="1" applyFont="1" applyFill="1" applyBorder="1" applyAlignment="1">
      <alignment horizontal="center" vertical="center" shrinkToFit="1"/>
    </xf>
    <xf numFmtId="0" fontId="17" fillId="0" borderId="59" xfId="0" applyFont="1" applyBorder="1" applyAlignment="1">
      <alignment horizontal="center" vertical="center" shrinkToFit="1"/>
    </xf>
    <xf numFmtId="0" fontId="59" fillId="0" borderId="107" xfId="0" applyFont="1" applyBorder="1" applyAlignment="1">
      <alignment horizontal="center" vertical="center" shrinkToFit="1"/>
    </xf>
    <xf numFmtId="0" fontId="17" fillId="0" borderId="60" xfId="0" applyFont="1" applyBorder="1" applyAlignment="1">
      <alignment horizontal="center" vertical="center" wrapText="1"/>
    </xf>
    <xf numFmtId="9" fontId="17" fillId="0" borderId="27" xfId="10" applyFont="1" applyFill="1" applyBorder="1" applyAlignment="1">
      <alignment horizontal="center" vertical="center" shrinkToFit="1"/>
    </xf>
    <xf numFmtId="0" fontId="17" fillId="0" borderId="27" xfId="10" applyNumberFormat="1" applyFont="1" applyFill="1" applyBorder="1" applyAlignment="1">
      <alignment horizontal="center" vertical="center" shrinkToFit="1"/>
    </xf>
    <xf numFmtId="9" fontId="17" fillId="0" borderId="26" xfId="3" applyFont="1" applyFill="1" applyBorder="1" applyAlignment="1">
      <alignment horizontal="center" vertical="center" shrinkToFit="1"/>
    </xf>
    <xf numFmtId="0" fontId="17" fillId="21" borderId="27" xfId="3" applyNumberFormat="1" applyFont="1" applyFill="1" applyBorder="1" applyAlignment="1">
      <alignment horizontal="center" vertical="center" shrinkToFit="1"/>
    </xf>
    <xf numFmtId="0" fontId="17" fillId="0" borderId="28" xfId="0" quotePrefix="1" applyFont="1" applyBorder="1" applyAlignment="1">
      <alignment horizontal="center" vertical="center" wrapText="1"/>
    </xf>
    <xf numFmtId="9" fontId="17" fillId="0" borderId="60" xfId="2" applyFont="1" applyFill="1" applyBorder="1" applyAlignment="1">
      <alignment horizontal="center" vertical="center" shrinkToFit="1"/>
    </xf>
    <xf numFmtId="9" fontId="17" fillId="0" borderId="140" xfId="2" applyFont="1" applyFill="1" applyBorder="1" applyAlignment="1">
      <alignment horizontal="center" vertical="center" shrinkToFit="1"/>
    </xf>
    <xf numFmtId="0" fontId="17" fillId="0" borderId="140" xfId="0" applyFont="1" applyBorder="1" applyAlignment="1">
      <alignment horizontal="center" vertical="center" shrinkToFit="1"/>
    </xf>
    <xf numFmtId="0" fontId="17" fillId="0" borderId="140" xfId="2" applyNumberFormat="1" applyFont="1" applyFill="1" applyBorder="1" applyAlignment="1">
      <alignment horizontal="center" vertical="center" shrinkToFit="1"/>
    </xf>
    <xf numFmtId="0" fontId="17" fillId="0" borderId="141" xfId="0" applyFont="1" applyBorder="1" applyAlignment="1">
      <alignment horizontal="center" vertical="center" wrapText="1"/>
    </xf>
    <xf numFmtId="0" fontId="59" fillId="0" borderId="9" xfId="0" applyFont="1" applyBorder="1" applyAlignment="1">
      <alignment horizontal="center" vertical="center" shrinkToFit="1"/>
    </xf>
    <xf numFmtId="0" fontId="17" fillId="0" borderId="29" xfId="0" applyFont="1" applyBorder="1" applyAlignment="1">
      <alignment horizontal="center" vertical="center" wrapText="1"/>
    </xf>
    <xf numFmtId="9" fontId="17" fillId="0" borderId="29" xfId="3" applyFont="1" applyFill="1" applyBorder="1" applyAlignment="1">
      <alignment horizontal="center" vertical="center" shrinkToFit="1"/>
    </xf>
    <xf numFmtId="9" fontId="17" fillId="0" borderId="30" xfId="3" applyFont="1" applyFill="1" applyBorder="1" applyAlignment="1">
      <alignment horizontal="center" vertical="center" shrinkToFit="1"/>
    </xf>
    <xf numFmtId="0" fontId="17" fillId="0" borderId="30" xfId="0" applyFont="1" applyBorder="1" applyAlignment="1">
      <alignment horizontal="center" vertical="center" wrapText="1"/>
    </xf>
    <xf numFmtId="0" fontId="17" fillId="0" borderId="30" xfId="3" applyNumberFormat="1" applyFont="1" applyFill="1" applyBorder="1" applyAlignment="1">
      <alignment horizontal="center" vertical="center" shrinkToFit="1"/>
    </xf>
    <xf numFmtId="0" fontId="17" fillId="0" borderId="31" xfId="0" applyFont="1" applyBorder="1" applyAlignment="1">
      <alignment horizontal="center" vertical="center" wrapText="1"/>
    </xf>
    <xf numFmtId="0" fontId="13" fillId="0" borderId="0" xfId="0" applyFont="1" applyAlignment="1">
      <alignment horizontal="right" vertical="center" wrapText="1"/>
    </xf>
    <xf numFmtId="0" fontId="14" fillId="0" borderId="0" xfId="0" applyFont="1" applyAlignment="1">
      <alignment horizontal="left" vertical="center" wrapText="1"/>
    </xf>
    <xf numFmtId="0" fontId="14" fillId="0" borderId="0" xfId="0" applyFont="1" applyAlignment="1">
      <alignment horizontal="center" vertical="center" wrapText="1"/>
    </xf>
    <xf numFmtId="0" fontId="58" fillId="9" borderId="38" xfId="0" applyFont="1" applyFill="1" applyBorder="1" applyAlignment="1">
      <alignment horizontal="center" vertical="center"/>
    </xf>
    <xf numFmtId="0" fontId="10" fillId="0" borderId="0" xfId="0" applyFont="1" applyAlignment="1">
      <alignment vertical="center" wrapText="1"/>
    </xf>
    <xf numFmtId="0" fontId="60" fillId="0" borderId="0" xfId="0" applyFont="1" applyAlignment="1">
      <alignment vertical="center" wrapText="1"/>
    </xf>
    <xf numFmtId="0" fontId="61" fillId="0" borderId="81" xfId="0" applyFont="1" applyBorder="1" applyAlignment="1">
      <alignment horizontal="centerContinuous" vertical="center"/>
    </xf>
    <xf numFmtId="0" fontId="14" fillId="0" borderId="82" xfId="0" applyFont="1" applyBorder="1" applyAlignment="1">
      <alignment horizontal="centerContinuous" vertical="center" wrapText="1"/>
    </xf>
    <xf numFmtId="0" fontId="14" fillId="0" borderId="83" xfId="0" applyFont="1" applyBorder="1" applyAlignment="1">
      <alignment horizontal="centerContinuous" vertical="center" wrapText="1"/>
    </xf>
    <xf numFmtId="0" fontId="62" fillId="0" borderId="34" xfId="0" applyFont="1" applyBorder="1" applyAlignment="1">
      <alignment horizontal="centerContinuous" vertical="center"/>
    </xf>
    <xf numFmtId="0" fontId="61" fillId="0" borderId="0" xfId="0" applyFont="1" applyAlignment="1">
      <alignment horizontal="centerContinuous" vertical="center" wrapText="1"/>
    </xf>
    <xf numFmtId="0" fontId="63" fillId="0" borderId="0" xfId="0" applyFont="1" applyAlignment="1">
      <alignment horizontal="centerContinuous" vertical="center" wrapText="1"/>
    </xf>
    <xf numFmtId="0" fontId="58" fillId="13" borderId="84" xfId="0" applyFont="1" applyFill="1" applyBorder="1" applyAlignment="1">
      <alignment horizontal="centerContinuous" vertical="center" wrapText="1"/>
    </xf>
    <xf numFmtId="0" fontId="58" fillId="13" borderId="85" xfId="0" applyFont="1" applyFill="1" applyBorder="1" applyAlignment="1">
      <alignment horizontal="center" vertical="center" wrapText="1"/>
    </xf>
    <xf numFmtId="0" fontId="58" fillId="13" borderId="85" xfId="0" applyFont="1" applyFill="1" applyBorder="1" applyAlignment="1">
      <alignment horizontal="centerContinuous" vertical="center" wrapText="1"/>
    </xf>
    <xf numFmtId="0" fontId="58" fillId="13" borderId="86" xfId="0" applyFont="1" applyFill="1" applyBorder="1" applyAlignment="1">
      <alignment horizontal="center" vertical="center" wrapText="1"/>
    </xf>
    <xf numFmtId="0" fontId="54" fillId="0" borderId="35" xfId="0" applyFont="1" applyBorder="1" applyAlignment="1">
      <alignment horizontal="center" vertical="center" shrinkToFit="1"/>
    </xf>
    <xf numFmtId="0" fontId="35" fillId="10" borderId="35" xfId="0" applyFont="1" applyFill="1" applyBorder="1" applyAlignment="1">
      <alignment horizontal="centerContinuous" vertical="center"/>
    </xf>
    <xf numFmtId="0" fontId="64" fillId="0" borderId="17" xfId="0" applyFont="1" applyBorder="1" applyAlignment="1">
      <alignment horizontal="center" vertical="center"/>
    </xf>
    <xf numFmtId="0" fontId="64" fillId="0" borderId="159" xfId="0" applyFont="1" applyBorder="1" applyAlignment="1">
      <alignment horizontal="center" vertical="center"/>
    </xf>
    <xf numFmtId="0" fontId="64" fillId="0" borderId="160" xfId="0" applyFont="1" applyBorder="1" applyAlignment="1">
      <alignment horizontal="center" vertical="center"/>
    </xf>
    <xf numFmtId="0" fontId="64" fillId="0" borderId="161" xfId="0" applyFont="1" applyBorder="1" applyAlignment="1">
      <alignment horizontal="center"/>
    </xf>
    <xf numFmtId="0" fontId="13" fillId="0" borderId="103" xfId="0" applyFont="1" applyBorder="1" applyAlignment="1">
      <alignment horizontal="right" vertical="center"/>
    </xf>
    <xf numFmtId="0" fontId="14" fillId="0" borderId="71" xfId="0" applyFont="1" applyBorder="1" applyAlignment="1">
      <alignment horizontal="center" vertical="center" wrapText="1"/>
    </xf>
    <xf numFmtId="0" fontId="14" fillId="0" borderId="72" xfId="0" applyFont="1" applyBorder="1" applyAlignment="1">
      <alignment horizontal="center" vertical="center" wrapText="1"/>
    </xf>
    <xf numFmtId="0" fontId="65" fillId="12" borderId="72" xfId="0" applyFont="1" applyFill="1" applyBorder="1" applyAlignment="1">
      <alignment horizontal="center" vertical="center" wrapText="1"/>
    </xf>
    <xf numFmtId="0" fontId="65" fillId="12" borderId="73" xfId="0" applyFont="1" applyFill="1" applyBorder="1" applyAlignment="1">
      <alignment horizontal="center" vertical="center" wrapText="1"/>
    </xf>
    <xf numFmtId="0" fontId="66" fillId="0" borderId="35" xfId="0" applyFont="1" applyBorder="1" applyAlignment="1">
      <alignment horizontal="center" vertical="center" shrinkToFit="1"/>
    </xf>
    <xf numFmtId="0" fontId="14" fillId="0" borderId="162" xfId="0" applyFont="1" applyBorder="1" applyAlignment="1">
      <alignment horizontal="center" vertical="center"/>
    </xf>
    <xf numFmtId="49" fontId="14" fillId="0" borderId="131" xfId="0" applyNumberFormat="1" applyFont="1" applyBorder="1" applyAlignment="1">
      <alignment horizontal="center" vertical="center"/>
    </xf>
    <xf numFmtId="0" fontId="14" fillId="12" borderId="57" xfId="0" applyFont="1" applyFill="1" applyBorder="1" applyAlignment="1">
      <alignment horizontal="center" vertical="center"/>
    </xf>
    <xf numFmtId="0" fontId="14" fillId="12" borderId="53" xfId="0" applyFont="1" applyFill="1" applyBorder="1" applyAlignment="1">
      <alignment horizontal="center"/>
    </xf>
    <xf numFmtId="0" fontId="68" fillId="0" borderId="104" xfId="0" applyFont="1" applyBorder="1" applyAlignment="1">
      <alignment horizontal="right" vertical="center"/>
    </xf>
    <xf numFmtId="0" fontId="14" fillId="0" borderId="74" xfId="0" applyFont="1" applyBorder="1" applyAlignment="1">
      <alignment horizontal="center" vertical="center" wrapText="1"/>
    </xf>
    <xf numFmtId="0" fontId="14" fillId="0" borderId="41" xfId="0" applyFont="1" applyBorder="1" applyAlignment="1">
      <alignment horizontal="center" vertical="center" wrapText="1"/>
    </xf>
    <xf numFmtId="0" fontId="65" fillId="12" borderId="41" xfId="0" applyFont="1" applyFill="1" applyBorder="1" applyAlignment="1">
      <alignment horizontal="center" vertical="center" wrapText="1"/>
    </xf>
    <xf numFmtId="0" fontId="65" fillId="12" borderId="43" xfId="0" applyFont="1" applyFill="1" applyBorder="1" applyAlignment="1">
      <alignment horizontal="center" vertical="center" wrapText="1"/>
    </xf>
    <xf numFmtId="0" fontId="49" fillId="0" borderId="35" xfId="0" applyFont="1" applyBorder="1" applyAlignment="1">
      <alignment horizontal="center" vertical="center" shrinkToFit="1"/>
    </xf>
    <xf numFmtId="0" fontId="14" fillId="0" borderId="104" xfId="0" applyFont="1" applyBorder="1" applyAlignment="1">
      <alignment horizontal="center" vertical="center"/>
    </xf>
    <xf numFmtId="0" fontId="14" fillId="0" borderId="74" xfId="0" applyFont="1" applyBorder="1" applyAlignment="1">
      <alignment horizontal="center" vertical="center"/>
    </xf>
    <xf numFmtId="0" fontId="14" fillId="12" borderId="41" xfId="0" applyFont="1" applyFill="1" applyBorder="1" applyAlignment="1">
      <alignment horizontal="center" vertical="center"/>
    </xf>
    <xf numFmtId="0" fontId="14" fillId="12" borderId="43" xfId="0" applyFont="1" applyFill="1" applyBorder="1" applyAlignment="1">
      <alignment horizontal="center"/>
    </xf>
    <xf numFmtId="0" fontId="70" fillId="0" borderId="104" xfId="0" applyFont="1" applyBorder="1" applyAlignment="1">
      <alignment horizontal="right" vertical="center"/>
    </xf>
    <xf numFmtId="0" fontId="14" fillId="20" borderId="74" xfId="0" applyFont="1" applyFill="1" applyBorder="1" applyAlignment="1">
      <alignment horizontal="center" vertical="center" wrapText="1"/>
    </xf>
    <xf numFmtId="0" fontId="71" fillId="0" borderId="105" xfId="0" applyFont="1" applyBorder="1" applyAlignment="1">
      <alignment horizontal="right" vertical="center"/>
    </xf>
    <xf numFmtId="0" fontId="72" fillId="13" borderId="75" xfId="0" applyFont="1" applyFill="1" applyBorder="1" applyAlignment="1">
      <alignment horizontal="center" vertical="center" wrapText="1"/>
    </xf>
    <xf numFmtId="0" fontId="72" fillId="13" borderId="49" xfId="0" applyFont="1" applyFill="1" applyBorder="1" applyAlignment="1">
      <alignment horizontal="center" vertical="center" wrapText="1"/>
    </xf>
    <xf numFmtId="0" fontId="73" fillId="12" borderId="49" xfId="0" applyFont="1" applyFill="1" applyBorder="1" applyAlignment="1">
      <alignment horizontal="center" vertical="center" wrapText="1"/>
    </xf>
    <xf numFmtId="0" fontId="73" fillId="12" borderId="51" xfId="0" applyFont="1" applyFill="1" applyBorder="1" applyAlignment="1">
      <alignment horizontal="center" vertical="center" wrapText="1"/>
    </xf>
    <xf numFmtId="0" fontId="14" fillId="0" borderId="41" xfId="0" applyFont="1" applyBorder="1" applyAlignment="1">
      <alignment horizontal="center" vertical="center"/>
    </xf>
    <xf numFmtId="0" fontId="13" fillId="0" borderId="142" xfId="0" applyFont="1" applyBorder="1" applyAlignment="1">
      <alignment horizontal="right" vertical="center" wrapText="1"/>
    </xf>
    <xf numFmtId="1" fontId="14" fillId="0" borderId="131" xfId="0" applyNumberFormat="1" applyFont="1" applyBorder="1" applyAlignment="1">
      <alignment horizontal="center" vertical="center" wrapText="1"/>
    </xf>
    <xf numFmtId="49" fontId="14" fillId="0" borderId="41" xfId="0" applyNumberFormat="1" applyFont="1" applyBorder="1" applyAlignment="1">
      <alignment horizontal="center" vertical="center" wrapText="1"/>
    </xf>
    <xf numFmtId="0" fontId="72" fillId="10" borderId="157" xfId="0" applyFont="1" applyFill="1" applyBorder="1" applyAlignment="1">
      <alignment horizontal="right" vertical="center" wrapText="1"/>
    </xf>
    <xf numFmtId="1" fontId="36" fillId="10" borderId="158" xfId="0" applyNumberFormat="1" applyFont="1" applyFill="1" applyBorder="1" applyAlignment="1">
      <alignment horizontal="center" vertical="center" wrapText="1"/>
    </xf>
    <xf numFmtId="1" fontId="36" fillId="10" borderId="41" xfId="0" applyNumberFormat="1" applyFont="1" applyFill="1" applyBorder="1" applyAlignment="1">
      <alignment horizontal="center" vertical="center" wrapText="1"/>
    </xf>
    <xf numFmtId="0" fontId="54" fillId="0" borderId="61" xfId="0" applyFont="1" applyBorder="1" applyAlignment="1">
      <alignment horizontal="centerContinuous" vertical="center" shrinkToFit="1"/>
    </xf>
    <xf numFmtId="0" fontId="13" fillId="0" borderId="61" xfId="0" applyFont="1" applyBorder="1" applyAlignment="1">
      <alignment horizontal="right" vertical="center" wrapText="1"/>
    </xf>
    <xf numFmtId="0" fontId="14" fillId="14" borderId="75" xfId="0" applyFont="1" applyFill="1" applyBorder="1" applyAlignment="1">
      <alignment horizontal="center" vertical="center" wrapText="1"/>
    </xf>
    <xf numFmtId="0" fontId="14" fillId="14" borderId="49" xfId="0" applyFont="1" applyFill="1" applyBorder="1" applyAlignment="1">
      <alignment horizontal="center" vertical="center" wrapText="1"/>
    </xf>
    <xf numFmtId="0" fontId="14" fillId="12" borderId="49" xfId="0" applyFont="1" applyFill="1" applyBorder="1" applyAlignment="1">
      <alignment horizontal="center" vertical="center" wrapText="1"/>
    </xf>
    <xf numFmtId="0" fontId="14" fillId="12" borderId="51" xfId="0" applyFont="1" applyFill="1" applyBorder="1" applyAlignment="1">
      <alignment horizontal="center" vertical="center" wrapText="1"/>
    </xf>
    <xf numFmtId="0" fontId="49" fillId="0" borderId="66" xfId="0" applyFont="1" applyBorder="1" applyAlignment="1">
      <alignment horizontal="centerContinuous" vertical="center"/>
    </xf>
    <xf numFmtId="0" fontId="54" fillId="0" borderId="36" xfId="0" applyFont="1" applyBorder="1" applyAlignment="1">
      <alignment horizontal="centerContinuous" vertical="center"/>
    </xf>
    <xf numFmtId="0" fontId="66" fillId="0" borderId="36" xfId="0" applyFont="1" applyBorder="1" applyAlignment="1">
      <alignment horizontal="centerContinuous" vertical="center"/>
    </xf>
    <xf numFmtId="0" fontId="74" fillId="0" borderId="34" xfId="0" applyFont="1" applyBorder="1" applyAlignment="1">
      <alignment horizontal="centerContinuous" vertical="center" wrapText="1"/>
    </xf>
    <xf numFmtId="0" fontId="17" fillId="0" borderId="61" xfId="0" applyFont="1" applyBorder="1" applyAlignment="1">
      <alignment horizontal="centerContinuous" vertical="center"/>
    </xf>
    <xf numFmtId="0" fontId="71" fillId="0" borderId="104" xfId="0" applyFont="1" applyBorder="1" applyAlignment="1">
      <alignment horizontal="center" vertical="center"/>
    </xf>
    <xf numFmtId="0" fontId="71" fillId="0" borderId="74" xfId="0" applyFont="1" applyBorder="1" applyAlignment="1">
      <alignment horizontal="center" vertical="center"/>
    </xf>
    <xf numFmtId="0" fontId="71" fillId="0" borderId="41" xfId="0" applyFont="1" applyBorder="1" applyAlignment="1">
      <alignment horizontal="center" vertical="center"/>
    </xf>
    <xf numFmtId="0" fontId="75" fillId="0" borderId="34" xfId="0" applyFont="1" applyBorder="1" applyAlignment="1">
      <alignment horizontal="centerContinuous" vertical="center" wrapText="1"/>
    </xf>
    <xf numFmtId="0" fontId="14" fillId="0" borderId="43" xfId="0" applyFont="1" applyBorder="1" applyAlignment="1">
      <alignment horizontal="center"/>
    </xf>
    <xf numFmtId="0" fontId="14" fillId="0" borderId="105" xfId="0" applyFont="1" applyBorder="1" applyAlignment="1">
      <alignment horizontal="center" vertical="center"/>
    </xf>
    <xf numFmtId="0" fontId="14" fillId="0" borderId="75" xfId="0" applyFont="1" applyBorder="1" applyAlignment="1">
      <alignment horizontal="center" vertical="center"/>
    </xf>
    <xf numFmtId="0" fontId="14" fillId="0" borderId="49" xfId="0" applyFont="1" applyBorder="1" applyAlignment="1">
      <alignment horizontal="center" vertical="center"/>
    </xf>
    <xf numFmtId="0" fontId="14" fillId="0" borderId="51" xfId="0" applyFont="1" applyBorder="1" applyAlignment="1">
      <alignment horizontal="center"/>
    </xf>
    <xf numFmtId="0" fontId="64" fillId="0" borderId="163" xfId="0" applyFont="1" applyBorder="1" applyAlignment="1">
      <alignment horizontal="center"/>
    </xf>
    <xf numFmtId="0" fontId="64" fillId="0" borderId="168" xfId="0" applyFont="1" applyBorder="1" applyAlignment="1">
      <alignment horizontal="center"/>
    </xf>
    <xf numFmtId="0" fontId="64" fillId="0" borderId="159" xfId="0" applyFont="1" applyBorder="1" applyAlignment="1">
      <alignment horizontal="center"/>
    </xf>
    <xf numFmtId="0" fontId="64" fillId="0" borderId="160" xfId="0" applyFont="1" applyBorder="1" applyAlignment="1">
      <alignment horizontal="center"/>
    </xf>
    <xf numFmtId="0" fontId="13" fillId="0" borderId="164" xfId="0" applyFont="1" applyBorder="1" applyAlignment="1">
      <alignment horizontal="right"/>
    </xf>
    <xf numFmtId="0" fontId="71" fillId="0" borderId="165" xfId="0" applyFont="1" applyBorder="1" applyAlignment="1">
      <alignment horizontal="center"/>
    </xf>
    <xf numFmtId="0" fontId="71" fillId="0" borderId="166" xfId="0" applyFont="1" applyBorder="1" applyAlignment="1">
      <alignment horizontal="center"/>
    </xf>
    <xf numFmtId="0" fontId="14" fillId="12" borderId="166" xfId="0" applyFont="1" applyFill="1" applyBorder="1" applyAlignment="1">
      <alignment horizontal="center"/>
    </xf>
    <xf numFmtId="0" fontId="14" fillId="12" borderId="167" xfId="0" applyFont="1" applyFill="1" applyBorder="1" applyAlignment="1">
      <alignment horizontal="center"/>
    </xf>
    <xf numFmtId="0" fontId="32" fillId="0" borderId="0" xfId="0" applyFont="1" applyAlignment="1">
      <alignment horizontal="centerContinuous" vertical="center"/>
    </xf>
    <xf numFmtId="0" fontId="58" fillId="15" borderId="17" xfId="0" applyFont="1" applyFill="1" applyBorder="1" applyAlignment="1">
      <alignment horizontal="center" vertical="center"/>
    </xf>
    <xf numFmtId="0" fontId="58" fillId="15" borderId="22" xfId="0" applyFont="1" applyFill="1" applyBorder="1" applyAlignment="1">
      <alignment horizontal="right" vertical="center"/>
    </xf>
    <xf numFmtId="0" fontId="58" fillId="15" borderId="21" xfId="0" quotePrefix="1" applyFont="1" applyFill="1" applyBorder="1" applyAlignment="1">
      <alignment vertical="center"/>
    </xf>
    <xf numFmtId="0" fontId="58" fillId="15" borderId="18" xfId="0" applyFont="1" applyFill="1" applyBorder="1" applyAlignment="1">
      <alignment horizontal="center" vertical="center"/>
    </xf>
    <xf numFmtId="49" fontId="58" fillId="15" borderId="18" xfId="0" applyNumberFormat="1" applyFont="1" applyFill="1" applyBorder="1" applyAlignment="1">
      <alignment horizontal="center" vertical="center"/>
    </xf>
    <xf numFmtId="0" fontId="58" fillId="15" borderId="22" xfId="0" applyFont="1" applyFill="1" applyBorder="1" applyAlignment="1">
      <alignment horizontal="center" vertical="center"/>
    </xf>
    <xf numFmtId="0" fontId="72" fillId="10" borderId="101" xfId="0" applyFont="1" applyFill="1" applyBorder="1" applyAlignment="1">
      <alignment horizontal="center" vertical="center"/>
    </xf>
    <xf numFmtId="0" fontId="58" fillId="15" borderId="19" xfId="0" applyFont="1" applyFill="1" applyBorder="1" applyAlignment="1">
      <alignment horizontal="center" vertical="center"/>
    </xf>
    <xf numFmtId="0" fontId="14" fillId="0" borderId="152" xfId="0" applyFont="1" applyBorder="1" applyAlignment="1">
      <alignment horizontal="center" vertical="center"/>
    </xf>
    <xf numFmtId="0" fontId="14" fillId="0" borderId="153" xfId="0" applyFont="1" applyBorder="1" applyAlignment="1">
      <alignment horizontal="right" vertical="center"/>
    </xf>
    <xf numFmtId="0" fontId="14" fillId="0" borderId="154" xfId="0" quotePrefix="1" applyFont="1" applyBorder="1" applyAlignment="1">
      <alignment vertical="center" wrapText="1"/>
    </xf>
    <xf numFmtId="49" fontId="14" fillId="0" borderId="155" xfId="2" applyNumberFormat="1" applyFont="1" applyFill="1" applyBorder="1" applyAlignment="1">
      <alignment horizontal="center" vertical="center"/>
    </xf>
    <xf numFmtId="0" fontId="14" fillId="0" borderId="155" xfId="0" applyFont="1" applyBorder="1" applyAlignment="1">
      <alignment horizontal="center" vertical="center" shrinkToFit="1"/>
    </xf>
    <xf numFmtId="164" fontId="14" fillId="0" borderId="155" xfId="0" applyNumberFormat="1" applyFont="1" applyBorder="1" applyAlignment="1">
      <alignment horizontal="center" vertical="center"/>
    </xf>
    <xf numFmtId="164" fontId="14" fillId="0" borderId="153" xfId="0" applyNumberFormat="1" applyFont="1" applyBorder="1" applyAlignment="1">
      <alignment horizontal="center" vertical="center"/>
    </xf>
    <xf numFmtId="164" fontId="36" fillId="10" borderId="27" xfId="0" applyNumberFormat="1" applyFont="1" applyFill="1" applyBorder="1" applyAlignment="1">
      <alignment horizontal="center" vertical="center"/>
    </xf>
    <xf numFmtId="1" fontId="14" fillId="0" borderId="153" xfId="0" applyNumberFormat="1" applyFont="1" applyBorder="1" applyAlignment="1">
      <alignment horizontal="center" vertical="center"/>
    </xf>
    <xf numFmtId="1" fontId="36" fillId="10" borderId="27" xfId="0" applyNumberFormat="1" applyFont="1" applyFill="1" applyBorder="1" applyAlignment="1">
      <alignment horizontal="center" vertical="center"/>
    </xf>
    <xf numFmtId="0" fontId="14" fillId="0" borderId="156" xfId="0" quotePrefix="1" applyFont="1" applyBorder="1" applyAlignment="1">
      <alignment horizontal="center" vertical="center"/>
    </xf>
    <xf numFmtId="0" fontId="14" fillId="0" borderId="14" xfId="0" applyFont="1" applyBorder="1" applyAlignment="1">
      <alignment horizontal="center" vertical="center"/>
    </xf>
    <xf numFmtId="0" fontId="14" fillId="0" borderId="27" xfId="0" applyFont="1" applyBorder="1" applyAlignment="1">
      <alignment horizontal="right" vertical="center"/>
    </xf>
    <xf numFmtId="49" fontId="14" fillId="0" borderId="147" xfId="0" applyNumberFormat="1" applyFont="1" applyBorder="1" applyAlignment="1">
      <alignment horizontal="left" vertical="center"/>
    </xf>
    <xf numFmtId="49" fontId="14" fillId="0" borderId="26" xfId="0" applyNumberFormat="1" applyFont="1" applyBorder="1" applyAlignment="1">
      <alignment horizontal="center" vertical="center"/>
    </xf>
    <xf numFmtId="0" fontId="14" fillId="0" borderId="26" xfId="0" applyFont="1" applyBorder="1" applyAlignment="1">
      <alignment horizontal="center" vertical="center"/>
    </xf>
    <xf numFmtId="164" fontId="14" fillId="12" borderId="26" xfId="0" applyNumberFormat="1" applyFont="1" applyFill="1" applyBorder="1" applyAlignment="1">
      <alignment horizontal="center" vertical="center"/>
    </xf>
    <xf numFmtId="164" fontId="14" fillId="0" borderId="27" xfId="0" applyNumberFormat="1" applyFont="1" applyBorder="1" applyAlignment="1">
      <alignment horizontal="center" vertical="center"/>
    </xf>
    <xf numFmtId="1" fontId="14" fillId="0" borderId="27" xfId="0" applyNumberFormat="1" applyFont="1" applyBorder="1" applyAlignment="1">
      <alignment horizontal="center" vertical="center"/>
    </xf>
    <xf numFmtId="0" fontId="14" fillId="0" borderId="28" xfId="0" quotePrefix="1" applyFont="1" applyBorder="1" applyAlignment="1">
      <alignment horizontal="center" vertical="center"/>
    </xf>
    <xf numFmtId="0" fontId="14" fillId="0" borderId="148" xfId="0" applyFont="1" applyBorder="1" applyAlignment="1">
      <alignment horizontal="center" vertical="center"/>
    </xf>
    <xf numFmtId="0" fontId="14" fillId="0" borderId="102" xfId="0" applyFont="1" applyBorder="1" applyAlignment="1">
      <alignment horizontal="right" vertical="center"/>
    </xf>
    <xf numFmtId="49" fontId="14" fillId="0" borderId="149" xfId="0" applyNumberFormat="1" applyFont="1" applyBorder="1" applyAlignment="1">
      <alignment horizontal="left" vertical="center"/>
    </xf>
    <xf numFmtId="49" fontId="14" fillId="0" borderId="150" xfId="0" applyNumberFormat="1" applyFont="1" applyBorder="1" applyAlignment="1">
      <alignment horizontal="center" vertical="center"/>
    </xf>
    <xf numFmtId="0" fontId="14" fillId="0" borderId="150" xfId="0" applyFont="1" applyBorder="1" applyAlignment="1">
      <alignment horizontal="center" vertical="center"/>
    </xf>
    <xf numFmtId="164" fontId="14" fillId="12" borderId="150" xfId="0" applyNumberFormat="1" applyFont="1" applyFill="1" applyBorder="1" applyAlignment="1">
      <alignment horizontal="center" vertical="center"/>
    </xf>
    <xf numFmtId="164" fontId="14" fillId="0" borderId="102" xfId="0" applyNumberFormat="1" applyFont="1" applyBorder="1" applyAlignment="1">
      <alignment horizontal="center" vertical="center"/>
    </xf>
    <xf numFmtId="164" fontId="36" fillId="10" borderId="102" xfId="0" applyNumberFormat="1" applyFont="1" applyFill="1" applyBorder="1" applyAlignment="1">
      <alignment horizontal="center" vertical="center"/>
    </xf>
    <xf numFmtId="1" fontId="14" fillId="0" borderId="102" xfId="0" applyNumberFormat="1" applyFont="1" applyBorder="1" applyAlignment="1">
      <alignment horizontal="center" vertical="center"/>
    </xf>
    <xf numFmtId="1" fontId="36" fillId="10" borderId="102" xfId="0" applyNumberFormat="1" applyFont="1" applyFill="1" applyBorder="1" applyAlignment="1">
      <alignment horizontal="center" vertical="center"/>
    </xf>
    <xf numFmtId="0" fontId="14" fillId="0" borderId="151" xfId="0" quotePrefix="1" applyFont="1" applyBorder="1" applyAlignment="1">
      <alignment horizontal="center" vertical="center"/>
    </xf>
    <xf numFmtId="0" fontId="14" fillId="0" borderId="108" xfId="0" applyFont="1" applyBorder="1" applyAlignment="1">
      <alignment horizontal="center" vertical="center"/>
    </xf>
    <xf numFmtId="0" fontId="14" fillId="0" borderId="110" xfId="0" applyFont="1" applyBorder="1" applyAlignment="1">
      <alignment horizontal="right" vertical="center"/>
    </xf>
    <xf numFmtId="0" fontId="14" fillId="0" borderId="114" xfId="0" applyFont="1" applyBorder="1" applyAlignment="1">
      <alignment horizontal="left" vertical="center"/>
    </xf>
    <xf numFmtId="49" fontId="14" fillId="0" borderId="109" xfId="0" applyNumberFormat="1" applyFont="1" applyBorder="1" applyAlignment="1">
      <alignment horizontal="center" vertical="center"/>
    </xf>
    <xf numFmtId="0" fontId="14" fillId="0" borderId="109" xfId="0" applyFont="1" applyBorder="1" applyAlignment="1">
      <alignment horizontal="center" vertical="center"/>
    </xf>
    <xf numFmtId="164" fontId="14" fillId="0" borderId="109" xfId="0" applyNumberFormat="1" applyFont="1" applyBorder="1" applyAlignment="1">
      <alignment horizontal="center" vertical="center"/>
    </xf>
    <xf numFmtId="164" fontId="14" fillId="0" borderId="110" xfId="0" applyNumberFormat="1" applyFont="1" applyBorder="1" applyAlignment="1">
      <alignment horizontal="center" vertical="center"/>
    </xf>
    <xf numFmtId="164" fontId="36" fillId="10" borderId="110" xfId="0" applyNumberFormat="1" applyFont="1" applyFill="1" applyBorder="1" applyAlignment="1">
      <alignment horizontal="center" vertical="center"/>
    </xf>
    <xf numFmtId="1" fontId="14" fillId="0" borderId="110" xfId="0" applyNumberFormat="1" applyFont="1" applyBorder="1" applyAlignment="1">
      <alignment horizontal="center" vertical="center"/>
    </xf>
    <xf numFmtId="1" fontId="36" fillId="10" borderId="110" xfId="0" applyNumberFormat="1" applyFont="1" applyFill="1" applyBorder="1" applyAlignment="1">
      <alignment horizontal="center" vertical="center"/>
    </xf>
    <xf numFmtId="0" fontId="14" fillId="0" borderId="111" xfId="0" quotePrefix="1" applyFont="1" applyBorder="1" applyAlignment="1">
      <alignment horizontal="center" vertical="center"/>
    </xf>
    <xf numFmtId="0" fontId="14" fillId="0" borderId="126" xfId="0" applyFont="1" applyBorder="1" applyAlignment="1">
      <alignment horizontal="center" vertical="center"/>
    </xf>
    <xf numFmtId="0" fontId="14" fillId="0" borderId="110" xfId="0" applyFont="1" applyBorder="1" applyAlignment="1">
      <alignment horizontal="centerContinuous" vertical="center"/>
    </xf>
    <xf numFmtId="49" fontId="14" fillId="0" borderId="114" xfId="0" applyNumberFormat="1" applyFont="1" applyBorder="1" applyAlignment="1">
      <alignment horizontal="centerContinuous" vertical="center"/>
    </xf>
    <xf numFmtId="0" fontId="14" fillId="12" borderId="128" xfId="0" applyFont="1" applyFill="1" applyBorder="1" applyAlignment="1">
      <alignment horizontal="center" vertical="center"/>
    </xf>
    <xf numFmtId="164" fontId="14" fillId="12" borderId="128" xfId="0" applyNumberFormat="1" applyFont="1" applyFill="1" applyBorder="1" applyAlignment="1">
      <alignment horizontal="center" vertical="center"/>
    </xf>
    <xf numFmtId="164" fontId="14" fillId="0" borderId="128" xfId="0" applyNumberFormat="1" applyFont="1" applyBorder="1" applyAlignment="1">
      <alignment horizontal="center" vertical="center"/>
    </xf>
    <xf numFmtId="164" fontId="36" fillId="10" borderId="95" xfId="0" applyNumberFormat="1" applyFont="1" applyFill="1" applyBorder="1" applyAlignment="1">
      <alignment horizontal="center" vertical="center"/>
    </xf>
    <xf numFmtId="1" fontId="36" fillId="10" borderId="95" xfId="0" applyNumberFormat="1" applyFont="1" applyFill="1" applyBorder="1" applyAlignment="1">
      <alignment horizontal="center" vertical="center"/>
    </xf>
    <xf numFmtId="0" fontId="14" fillId="0" borderId="16" xfId="0" applyFont="1" applyBorder="1" applyAlignment="1">
      <alignment horizontal="center" vertical="center"/>
    </xf>
    <xf numFmtId="0" fontId="14" fillId="12" borderId="30" xfId="0" applyFont="1" applyFill="1" applyBorder="1" applyAlignment="1">
      <alignment horizontal="right" vertical="center"/>
    </xf>
    <xf numFmtId="49" fontId="14" fillId="12" borderId="139" xfId="2" applyNumberFormat="1" applyFont="1" applyFill="1" applyBorder="1" applyAlignment="1">
      <alignment vertical="center"/>
    </xf>
    <xf numFmtId="0" fontId="14" fillId="12" borderId="29" xfId="0" applyFont="1" applyFill="1" applyBorder="1" applyAlignment="1">
      <alignment horizontal="center" vertical="center"/>
    </xf>
    <xf numFmtId="164" fontId="14" fillId="12" borderId="29" xfId="0" applyNumberFormat="1" applyFont="1" applyFill="1" applyBorder="1" applyAlignment="1">
      <alignment horizontal="center" vertical="center"/>
    </xf>
    <xf numFmtId="164" fontId="14" fillId="0" borderId="30" xfId="0" applyNumberFormat="1" applyFont="1" applyBorder="1" applyAlignment="1">
      <alignment horizontal="center" vertical="center"/>
    </xf>
    <xf numFmtId="164" fontId="36" fillId="10" borderId="94" xfId="0" applyNumberFormat="1" applyFont="1" applyFill="1" applyBorder="1" applyAlignment="1">
      <alignment horizontal="center" vertical="center"/>
    </xf>
    <xf numFmtId="1" fontId="14" fillId="0" borderId="94" xfId="0" applyNumberFormat="1" applyFont="1" applyBorder="1" applyAlignment="1">
      <alignment horizontal="center" vertical="center"/>
    </xf>
    <xf numFmtId="1" fontId="36" fillId="10" borderId="94" xfId="0" applyNumberFormat="1" applyFont="1" applyFill="1" applyBorder="1" applyAlignment="1">
      <alignment horizontal="center" vertical="center"/>
    </xf>
    <xf numFmtId="0" fontId="14" fillId="0" borderId="100" xfId="0" quotePrefix="1" applyFont="1" applyBorder="1" applyAlignment="1">
      <alignment horizontal="center" vertical="center"/>
    </xf>
    <xf numFmtId="0" fontId="58" fillId="15" borderId="21" xfId="0" quotePrefix="1" applyFont="1" applyFill="1" applyBorder="1" applyAlignment="1">
      <alignment horizontal="left" vertical="center"/>
    </xf>
    <xf numFmtId="0" fontId="72" fillId="17" borderId="96" xfId="0" applyFont="1" applyFill="1" applyBorder="1" applyAlignment="1">
      <alignment horizontal="center" vertical="center"/>
    </xf>
    <xf numFmtId="0" fontId="72" fillId="17" borderId="93" xfId="0" applyFont="1" applyFill="1" applyBorder="1" applyAlignment="1">
      <alignment horizontal="right" vertical="center"/>
    </xf>
    <xf numFmtId="49" fontId="72" fillId="17" borderId="112" xfId="0" applyNumberFormat="1" applyFont="1" applyFill="1" applyBorder="1" applyAlignment="1">
      <alignment horizontal="center" vertical="center"/>
    </xf>
    <xf numFmtId="49" fontId="72" fillId="17" borderId="87" xfId="0" applyNumberFormat="1" applyFont="1" applyFill="1" applyBorder="1" applyAlignment="1">
      <alignment horizontal="center" vertical="center"/>
    </xf>
    <xf numFmtId="0" fontId="72" fillId="17" borderId="87" xfId="0" applyFont="1" applyFill="1" applyBorder="1" applyAlignment="1">
      <alignment horizontal="center" vertical="center"/>
    </xf>
    <xf numFmtId="164" fontId="72" fillId="17" borderId="87" xfId="0" applyNumberFormat="1" applyFont="1" applyFill="1" applyBorder="1" applyAlignment="1">
      <alignment horizontal="center" vertical="center"/>
    </xf>
    <xf numFmtId="164" fontId="72" fillId="17" borderId="93" xfId="0" applyNumberFormat="1" applyFont="1" applyFill="1" applyBorder="1" applyAlignment="1">
      <alignment horizontal="center" vertical="center"/>
    </xf>
    <xf numFmtId="1" fontId="72" fillId="17" borderId="93" xfId="0" applyNumberFormat="1" applyFont="1" applyFill="1" applyBorder="1" applyAlignment="1">
      <alignment horizontal="center" vertical="center"/>
    </xf>
    <xf numFmtId="0" fontId="72" fillId="17" borderId="97" xfId="0" applyFont="1" applyFill="1" applyBorder="1" applyAlignment="1">
      <alignment horizontal="center" vertical="center"/>
    </xf>
    <xf numFmtId="0" fontId="72" fillId="17" borderId="148" xfId="0" applyFont="1" applyFill="1" applyBorder="1" applyAlignment="1">
      <alignment horizontal="center" vertical="center"/>
    </xf>
    <xf numFmtId="0" fontId="72" fillId="17" borderId="102" xfId="0" applyFont="1" applyFill="1" applyBorder="1" applyAlignment="1">
      <alignment horizontal="right" vertical="center"/>
    </xf>
    <xf numFmtId="49" fontId="72" fillId="17" borderId="149" xfId="0" applyNumberFormat="1" applyFont="1" applyFill="1" applyBorder="1" applyAlignment="1">
      <alignment horizontal="center" vertical="center"/>
    </xf>
    <xf numFmtId="49" fontId="72" fillId="17" borderId="150" xfId="0" applyNumberFormat="1" applyFont="1" applyFill="1" applyBorder="1" applyAlignment="1">
      <alignment horizontal="center" vertical="center"/>
    </xf>
    <xf numFmtId="0" fontId="72" fillId="17" borderId="150" xfId="0" applyFont="1" applyFill="1" applyBorder="1" applyAlignment="1">
      <alignment horizontal="center" vertical="center"/>
    </xf>
    <xf numFmtId="164" fontId="72" fillId="17" borderId="150" xfId="0" applyNumberFormat="1" applyFont="1" applyFill="1" applyBorder="1" applyAlignment="1">
      <alignment horizontal="center" vertical="center"/>
    </xf>
    <xf numFmtId="164" fontId="72" fillId="17" borderId="102" xfId="0" applyNumberFormat="1" applyFont="1" applyFill="1" applyBorder="1" applyAlignment="1">
      <alignment horizontal="center" vertical="center"/>
    </xf>
    <xf numFmtId="1" fontId="72" fillId="17" borderId="102" xfId="0" applyNumberFormat="1" applyFont="1" applyFill="1" applyBorder="1" applyAlignment="1">
      <alignment horizontal="center" vertical="center"/>
    </xf>
    <xf numFmtId="0" fontId="72" fillId="17" borderId="151" xfId="0" applyFont="1" applyFill="1" applyBorder="1" applyAlignment="1">
      <alignment horizontal="center" vertical="center"/>
    </xf>
    <xf numFmtId="0" fontId="14" fillId="0" borderId="95" xfId="0" applyFont="1" applyBorder="1" applyAlignment="1">
      <alignment horizontal="right" vertical="center"/>
    </xf>
    <xf numFmtId="49" fontId="14" fillId="0" borderId="127" xfId="0" applyNumberFormat="1" applyFont="1" applyBorder="1" applyAlignment="1">
      <alignment horizontal="center" vertical="center"/>
    </xf>
    <xf numFmtId="49" fontId="14" fillId="0" borderId="128" xfId="0" applyNumberFormat="1" applyFont="1" applyBorder="1" applyAlignment="1">
      <alignment horizontal="center" vertical="center"/>
    </xf>
    <xf numFmtId="0" fontId="14" fillId="0" borderId="128" xfId="0" applyFont="1" applyBorder="1" applyAlignment="1">
      <alignment horizontal="center" vertical="center"/>
    </xf>
    <xf numFmtId="164" fontId="14" fillId="0" borderId="95" xfId="0" applyNumberFormat="1" applyFont="1" applyBorder="1" applyAlignment="1">
      <alignment horizontal="center" vertical="center"/>
    </xf>
    <xf numFmtId="1" fontId="14" fillId="0" borderId="95" xfId="0" applyNumberFormat="1" applyFont="1" applyBorder="1" applyAlignment="1">
      <alignment horizontal="center" vertical="center"/>
    </xf>
    <xf numFmtId="0" fontId="14" fillId="0" borderId="129" xfId="0" quotePrefix="1" applyFont="1" applyBorder="1" applyAlignment="1">
      <alignment horizontal="center" vertical="center"/>
    </xf>
    <xf numFmtId="0" fontId="14" fillId="0" borderId="98" xfId="0" applyFont="1" applyBorder="1" applyAlignment="1">
      <alignment horizontal="center" vertical="center"/>
    </xf>
    <xf numFmtId="0" fontId="14" fillId="0" borderId="94" xfId="0" applyFont="1" applyBorder="1" applyAlignment="1">
      <alignment horizontal="right" vertical="center"/>
    </xf>
    <xf numFmtId="49" fontId="14" fillId="0" borderId="113" xfId="0" applyNumberFormat="1" applyFont="1" applyBorder="1" applyAlignment="1">
      <alignment horizontal="center" vertical="center"/>
    </xf>
    <xf numFmtId="49" fontId="14" fillId="0" borderId="99" xfId="0" applyNumberFormat="1" applyFont="1" applyBorder="1" applyAlignment="1">
      <alignment horizontal="center" vertical="center"/>
    </xf>
    <xf numFmtId="0" fontId="14" fillId="0" borderId="99" xfId="0" applyFont="1" applyBorder="1" applyAlignment="1">
      <alignment horizontal="center" vertical="center"/>
    </xf>
    <xf numFmtId="164" fontId="14" fillId="0" borderId="99" xfId="0" applyNumberFormat="1" applyFont="1" applyBorder="1" applyAlignment="1">
      <alignment horizontal="center" vertical="center"/>
    </xf>
    <xf numFmtId="164" fontId="14" fillId="0" borderId="94" xfId="0" applyNumberFormat="1" applyFont="1" applyBorder="1" applyAlignment="1">
      <alignment horizontal="center" vertical="center"/>
    </xf>
    <xf numFmtId="0" fontId="14" fillId="0" borderId="0" xfId="0" applyFont="1" applyAlignment="1">
      <alignment horizontal="centerContinuous" vertical="center"/>
    </xf>
    <xf numFmtId="164" fontId="14" fillId="0" borderId="0" xfId="0" applyNumberFormat="1" applyFont="1" applyAlignment="1">
      <alignment horizontal="center" vertical="center"/>
    </xf>
    <xf numFmtId="0" fontId="58" fillId="15" borderId="22" xfId="0" applyFont="1" applyFill="1" applyBorder="1" applyAlignment="1">
      <alignment horizontal="centerContinuous" vertical="center"/>
    </xf>
    <xf numFmtId="0" fontId="58" fillId="15" borderId="67" xfId="0" applyFont="1" applyFill="1" applyBorder="1" applyAlignment="1">
      <alignment horizontal="centerContinuous" vertical="center"/>
    </xf>
    <xf numFmtId="0" fontId="58" fillId="15" borderId="68" xfId="0" applyFont="1" applyFill="1" applyBorder="1" applyAlignment="1">
      <alignment horizontal="centerContinuous" vertical="center"/>
    </xf>
    <xf numFmtId="0" fontId="14" fillId="0" borderId="96" xfId="0" applyFont="1" applyBorder="1" applyAlignment="1">
      <alignment horizontal="center" vertical="center"/>
    </xf>
    <xf numFmtId="0" fontId="14" fillId="0" borderId="87" xfId="0" applyFont="1" applyBorder="1" applyAlignment="1">
      <alignment horizontal="center" vertical="center"/>
    </xf>
    <xf numFmtId="9" fontId="14" fillId="12" borderId="87" xfId="0" applyNumberFormat="1" applyFont="1" applyFill="1" applyBorder="1" applyAlignment="1">
      <alignment horizontal="center" vertical="center"/>
    </xf>
    <xf numFmtId="164" fontId="14" fillId="0" borderId="87" xfId="0" applyNumberFormat="1" applyFont="1" applyBorder="1" applyAlignment="1">
      <alignment horizontal="center" vertical="center"/>
    </xf>
    <xf numFmtId="164" fontId="14" fillId="0" borderId="93" xfId="0" applyNumberFormat="1" applyFont="1" applyBorder="1" applyAlignment="1">
      <alignment horizontal="centerContinuous" vertical="center"/>
    </xf>
    <xf numFmtId="164" fontId="14" fillId="0" borderId="119" xfId="0" applyNumberFormat="1" applyFont="1" applyBorder="1" applyAlignment="1">
      <alignment horizontal="centerContinuous" vertical="center"/>
    </xf>
    <xf numFmtId="0" fontId="14" fillId="0" borderId="121" xfId="0" quotePrefix="1" applyFont="1" applyBorder="1" applyAlignment="1">
      <alignment horizontal="centerContinuous" vertical="center"/>
    </xf>
    <xf numFmtId="0" fontId="36" fillId="17" borderId="98" xfId="0" applyFont="1" applyFill="1" applyBorder="1" applyAlignment="1">
      <alignment horizontal="center" vertical="center"/>
    </xf>
    <xf numFmtId="0" fontId="72" fillId="17" borderId="99" xfId="0" applyFont="1" applyFill="1" applyBorder="1" applyAlignment="1">
      <alignment horizontal="center" vertical="center"/>
    </xf>
    <xf numFmtId="164" fontId="72" fillId="17" borderId="99" xfId="0" applyNumberFormat="1" applyFont="1" applyFill="1" applyBorder="1" applyAlignment="1">
      <alignment horizontal="center" vertical="center"/>
    </xf>
    <xf numFmtId="164" fontId="72" fillId="17" borderId="94" xfId="0" applyNumberFormat="1" applyFont="1" applyFill="1" applyBorder="1" applyAlignment="1">
      <alignment horizontal="centerContinuous" vertical="center"/>
    </xf>
    <xf numFmtId="164" fontId="72" fillId="17" borderId="124" xfId="0" applyNumberFormat="1" applyFont="1" applyFill="1" applyBorder="1" applyAlignment="1">
      <alignment horizontal="centerContinuous" vertical="center"/>
    </xf>
    <xf numFmtId="0" fontId="72" fillId="17" borderId="125" xfId="0" applyFont="1" applyFill="1" applyBorder="1" applyAlignment="1">
      <alignment horizontal="centerContinuous" vertical="center"/>
    </xf>
    <xf numFmtId="0" fontId="79" fillId="0" borderId="0" xfId="0" applyFont="1" applyAlignment="1">
      <alignment horizontal="right" vertical="center"/>
    </xf>
    <xf numFmtId="0" fontId="58" fillId="15" borderId="20" xfId="0" applyFont="1" applyFill="1" applyBorder="1" applyAlignment="1">
      <alignment horizontal="centerContinuous" vertical="center"/>
    </xf>
    <xf numFmtId="0" fontId="58" fillId="15" borderId="21" xfId="0" applyFont="1" applyFill="1" applyBorder="1" applyAlignment="1">
      <alignment horizontal="centerContinuous" vertical="center"/>
    </xf>
    <xf numFmtId="0" fontId="58" fillId="15" borderId="88" xfId="0" applyFont="1" applyFill="1" applyBorder="1" applyAlignment="1">
      <alignment horizontal="center" vertical="center"/>
    </xf>
    <xf numFmtId="0" fontId="14" fillId="0" borderId="118" xfId="0" applyFont="1" applyBorder="1" applyAlignment="1">
      <alignment horizontal="centerContinuous" vertical="center"/>
    </xf>
    <xf numFmtId="0" fontId="14" fillId="0" borderId="119" xfId="0" applyFont="1" applyBorder="1" applyAlignment="1">
      <alignment horizontal="centerContinuous" vertical="center"/>
    </xf>
    <xf numFmtId="0" fontId="14" fillId="0" borderId="87" xfId="0" applyFont="1" applyBorder="1" applyAlignment="1">
      <alignment horizontal="centerContinuous" vertical="center"/>
    </xf>
    <xf numFmtId="49" fontId="14" fillId="0" borderId="87" xfId="0" applyNumberFormat="1" applyFont="1" applyBorder="1" applyAlignment="1">
      <alignment horizontal="center" vertical="center"/>
    </xf>
    <xf numFmtId="0" fontId="14" fillId="0" borderId="121" xfId="0" applyFont="1" applyBorder="1" applyAlignment="1">
      <alignment horizontal="centerContinuous" vertical="center"/>
    </xf>
    <xf numFmtId="0" fontId="14" fillId="0" borderId="48" xfId="0" applyFont="1" applyBorder="1" applyAlignment="1">
      <alignment horizontal="centerContinuous" vertical="center"/>
    </xf>
    <xf numFmtId="0" fontId="14" fillId="0" borderId="113" xfId="0" applyFont="1" applyBorder="1" applyAlignment="1">
      <alignment horizontal="centerContinuous" vertical="center"/>
    </xf>
    <xf numFmtId="0" fontId="14" fillId="0" borderId="94" xfId="0" applyFont="1" applyBorder="1" applyAlignment="1">
      <alignment horizontal="centerContinuous" vertical="center"/>
    </xf>
    <xf numFmtId="164" fontId="14" fillId="0" borderId="124" xfId="0" applyNumberFormat="1" applyFont="1" applyBorder="1" applyAlignment="1">
      <alignment horizontal="centerContinuous" vertical="center"/>
    </xf>
    <xf numFmtId="0" fontId="14" fillId="0" borderId="125" xfId="0" applyFont="1" applyBorder="1" applyAlignment="1">
      <alignment horizontal="centerContinuous" vertical="center"/>
    </xf>
    <xf numFmtId="0" fontId="58" fillId="15" borderId="117" xfId="0" applyFont="1" applyFill="1" applyBorder="1" applyAlignment="1">
      <alignment horizontal="center" vertical="center"/>
    </xf>
    <xf numFmtId="0" fontId="14" fillId="0" borderId="118" xfId="0" applyFont="1" applyBorder="1" applyAlignment="1">
      <alignment horizontal="centerContinuous" vertical="center" shrinkToFit="1"/>
    </xf>
    <xf numFmtId="0" fontId="14" fillId="0" borderId="120" xfId="0" applyFont="1" applyBorder="1" applyAlignment="1">
      <alignment horizontal="centerContinuous" vertical="center"/>
    </xf>
    <xf numFmtId="49" fontId="14" fillId="0" borderId="56" xfId="0" applyNumberFormat="1" applyFont="1" applyBorder="1" applyAlignment="1">
      <alignment horizontal="center" vertical="center"/>
    </xf>
    <xf numFmtId="49" fontId="14" fillId="0" borderId="55" xfId="0" applyNumberFormat="1" applyFont="1" applyBorder="1" applyAlignment="1">
      <alignment horizontal="center" vertical="center"/>
    </xf>
    <xf numFmtId="0" fontId="14" fillId="0" borderId="54" xfId="0" applyFont="1" applyBorder="1" applyAlignment="1">
      <alignment horizontal="centerContinuous" vertical="center" shrinkToFit="1"/>
    </xf>
    <xf numFmtId="0" fontId="58" fillId="0" borderId="130" xfId="0" applyFont="1" applyBorder="1" applyAlignment="1">
      <alignment horizontal="centerContinuous" vertical="center"/>
    </xf>
    <xf numFmtId="0" fontId="58" fillId="0" borderId="131" xfId="0" applyFont="1" applyBorder="1" applyAlignment="1">
      <alignment horizontal="centerContinuous" vertical="center"/>
    </xf>
    <xf numFmtId="0" fontId="14" fillId="0" borderId="58" xfId="0" applyFont="1" applyBorder="1" applyAlignment="1">
      <alignment horizontal="center" vertical="center"/>
    </xf>
    <xf numFmtId="0" fontId="14" fillId="0" borderId="57" xfId="0" applyFont="1" applyBorder="1" applyAlignment="1">
      <alignment horizontal="center" vertical="center"/>
    </xf>
    <xf numFmtId="0" fontId="14" fillId="0" borderId="130" xfId="0" applyFont="1" applyBorder="1" applyAlignment="1">
      <alignment horizontal="centerContinuous" vertical="center"/>
    </xf>
    <xf numFmtId="0" fontId="14" fillId="0" borderId="132" xfId="0" applyFont="1" applyBorder="1" applyAlignment="1">
      <alignment horizontal="centerContinuous" vertical="center"/>
    </xf>
    <xf numFmtId="0" fontId="14" fillId="0" borderId="40" xfId="0" applyFont="1" applyBorder="1" applyAlignment="1">
      <alignment horizontal="centerContinuous" vertical="center" shrinkToFit="1"/>
    </xf>
    <xf numFmtId="0" fontId="58" fillId="0" borderId="122" xfId="0" applyFont="1" applyBorder="1" applyAlignment="1">
      <alignment horizontal="centerContinuous" vertical="center"/>
    </xf>
    <xf numFmtId="0" fontId="58" fillId="0" borderId="74" xfId="0" applyFont="1" applyBorder="1" applyAlignment="1">
      <alignment horizontal="centerContinuous" vertical="center"/>
    </xf>
    <xf numFmtId="0" fontId="14" fillId="0" borderId="42" xfId="0" applyFont="1" applyBorder="1" applyAlignment="1">
      <alignment horizontal="center" vertical="center"/>
    </xf>
    <xf numFmtId="0" fontId="14" fillId="0" borderId="122" xfId="0" applyFont="1" applyBorder="1" applyAlignment="1">
      <alignment horizontal="centerContinuous" vertical="center"/>
    </xf>
    <xf numFmtId="164" fontId="14" fillId="0" borderId="122" xfId="0" applyNumberFormat="1" applyFont="1" applyBorder="1" applyAlignment="1">
      <alignment horizontal="centerContinuous" vertical="center"/>
    </xf>
    <xf numFmtId="0" fontId="14" fillId="0" borderId="123" xfId="0" applyFont="1" applyBorder="1" applyAlignment="1">
      <alignment horizontal="centerContinuous" vertical="center"/>
    </xf>
    <xf numFmtId="0" fontId="14" fillId="0" borderId="48" xfId="0" applyFont="1" applyBorder="1" applyAlignment="1">
      <alignment horizontal="centerContinuous" vertical="center" shrinkToFit="1"/>
    </xf>
    <xf numFmtId="0" fontId="58" fillId="0" borderId="124" xfId="0" applyFont="1" applyBorder="1" applyAlignment="1">
      <alignment horizontal="centerContinuous" vertical="center"/>
    </xf>
    <xf numFmtId="0" fontId="58" fillId="0" borderId="75" xfId="0" applyFont="1" applyBorder="1" applyAlignment="1">
      <alignment horizontal="centerContinuous" vertical="center"/>
    </xf>
    <xf numFmtId="0" fontId="14" fillId="0" borderId="50" xfId="0" applyFont="1" applyBorder="1" applyAlignment="1">
      <alignment horizontal="center" vertical="center"/>
    </xf>
    <xf numFmtId="0" fontId="14" fillId="0" borderId="124" xfId="0" applyFont="1" applyBorder="1" applyAlignment="1">
      <alignment horizontal="centerContinuous" vertical="center"/>
    </xf>
    <xf numFmtId="164" fontId="32" fillId="0" borderId="0" xfId="0" applyNumberFormat="1" applyFont="1" applyAlignment="1">
      <alignment horizontal="centerContinuous" vertical="center"/>
    </xf>
    <xf numFmtId="0" fontId="58" fillId="4" borderId="37" xfId="0" applyFont="1" applyFill="1" applyBorder="1" applyAlignment="1">
      <alignment horizontal="center" vertical="center"/>
    </xf>
    <xf numFmtId="0" fontId="58" fillId="4" borderId="38" xfId="0" applyFont="1" applyFill="1" applyBorder="1" applyAlignment="1">
      <alignment horizontal="center" vertical="center"/>
    </xf>
    <xf numFmtId="164" fontId="58" fillId="4" borderId="62" xfId="0" applyNumberFormat="1" applyFont="1" applyFill="1" applyBorder="1" applyAlignment="1">
      <alignment horizontal="center" vertical="center"/>
    </xf>
    <xf numFmtId="0" fontId="58" fillId="4" borderId="37" xfId="0" applyFont="1" applyFill="1" applyBorder="1" applyAlignment="1">
      <alignment horizontal="right" vertical="center"/>
    </xf>
    <xf numFmtId="0" fontId="58" fillId="4" borderId="39" xfId="0" applyFont="1" applyFill="1" applyBorder="1" applyAlignment="1">
      <alignment vertical="center"/>
    </xf>
    <xf numFmtId="0" fontId="14" fillId="0" borderId="44" xfId="0" applyFont="1" applyBorder="1" applyAlignment="1">
      <alignment horizontal="center" vertical="center" shrinkToFit="1"/>
    </xf>
    <xf numFmtId="0" fontId="14" fillId="0" borderId="46" xfId="0" applyFont="1" applyBorder="1" applyAlignment="1">
      <alignment horizontal="center" vertical="center" shrinkToFit="1"/>
    </xf>
    <xf numFmtId="164" fontId="14" fillId="0" borderId="45" xfId="0" applyNumberFormat="1" applyFont="1" applyBorder="1" applyAlignment="1">
      <alignment horizontal="center" vertical="center" shrinkToFit="1"/>
    </xf>
    <xf numFmtId="0" fontId="14" fillId="0" borderId="46" xfId="0" applyFont="1" applyBorder="1" applyAlignment="1">
      <alignment horizontal="left" vertical="center"/>
    </xf>
    <xf numFmtId="0" fontId="14" fillId="0" borderId="47" xfId="0" applyFont="1" applyBorder="1" applyAlignment="1">
      <alignment horizontal="left" vertical="center" shrinkToFit="1"/>
    </xf>
    <xf numFmtId="0" fontId="14" fillId="0" borderId="79" xfId="0" applyFont="1" applyBorder="1" applyAlignment="1">
      <alignment horizontal="center" vertical="center" shrinkToFit="1"/>
    </xf>
    <xf numFmtId="0" fontId="14" fillId="0" borderId="74" xfId="0" applyFont="1" applyBorder="1" applyAlignment="1">
      <alignment horizontal="center" vertical="center" shrinkToFit="1"/>
    </xf>
    <xf numFmtId="0" fontId="14" fillId="0" borderId="40" xfId="0" applyFont="1" applyBorder="1" applyAlignment="1">
      <alignment horizontal="center" vertical="center" shrinkToFit="1"/>
    </xf>
    <xf numFmtId="1" fontId="14" fillId="0" borderId="41" xfId="0" applyNumberFormat="1" applyFont="1" applyBorder="1" applyAlignment="1">
      <alignment horizontal="center" vertical="center" shrinkToFit="1"/>
    </xf>
    <xf numFmtId="164" fontId="14" fillId="0" borderId="41" xfId="0" applyNumberFormat="1" applyFont="1" applyBorder="1" applyAlignment="1">
      <alignment horizontal="center" vertical="center" shrinkToFit="1"/>
    </xf>
    <xf numFmtId="0" fontId="14" fillId="0" borderId="41" xfId="0" applyFont="1" applyBorder="1" applyAlignment="1">
      <alignment horizontal="center" vertical="center" shrinkToFit="1"/>
    </xf>
    <xf numFmtId="0" fontId="14" fillId="0" borderId="41" xfId="0" applyFont="1" applyBorder="1" applyAlignment="1">
      <alignment horizontal="left" vertical="center"/>
    </xf>
    <xf numFmtId="0" fontId="14" fillId="0" borderId="43" xfId="0" applyFont="1" applyBorder="1" applyAlignment="1">
      <alignment horizontal="left" vertical="center" shrinkToFit="1"/>
    </xf>
    <xf numFmtId="0" fontId="14" fillId="0" borderId="48" xfId="0" applyFont="1" applyBorder="1" applyAlignment="1">
      <alignment horizontal="center" vertical="center" shrinkToFit="1"/>
    </xf>
    <xf numFmtId="0" fontId="14" fillId="0" borderId="50" xfId="0" applyFont="1" applyBorder="1" applyAlignment="1">
      <alignment horizontal="center" vertical="center" shrinkToFit="1"/>
    </xf>
    <xf numFmtId="164" fontId="14" fillId="0" borderId="49" xfId="0" applyNumberFormat="1" applyFont="1" applyBorder="1" applyAlignment="1">
      <alignment horizontal="center" vertical="center" shrinkToFit="1"/>
    </xf>
    <xf numFmtId="0" fontId="14" fillId="0" borderId="50" xfId="0" quotePrefix="1" applyFont="1" applyBorder="1" applyAlignment="1">
      <alignment horizontal="left" vertical="center"/>
    </xf>
    <xf numFmtId="0" fontId="14" fillId="0" borderId="51" xfId="0" applyFont="1" applyBorder="1" applyAlignment="1">
      <alignment horizontal="left" vertical="center" shrinkToFit="1"/>
    </xf>
    <xf numFmtId="164" fontId="58" fillId="4" borderId="38" xfId="0" applyNumberFormat="1" applyFont="1" applyFill="1" applyBorder="1" applyAlignment="1">
      <alignment horizontal="center" vertical="center"/>
    </xf>
    <xf numFmtId="0" fontId="14" fillId="0" borderId="133" xfId="0" applyFont="1" applyBorder="1" applyAlignment="1">
      <alignment horizontal="center" vertical="center" shrinkToFit="1"/>
    </xf>
    <xf numFmtId="0" fontId="14" fillId="0" borderId="55" xfId="0" applyFont="1" applyBorder="1" applyAlignment="1">
      <alignment horizontal="center" vertical="center" shrinkToFit="1"/>
    </xf>
    <xf numFmtId="164" fontId="14" fillId="0" borderId="55" xfId="0" applyNumberFormat="1" applyFont="1" applyBorder="1" applyAlignment="1">
      <alignment horizontal="center" vertical="center" shrinkToFit="1"/>
    </xf>
    <xf numFmtId="0" fontId="14" fillId="0" borderId="55" xfId="0" applyFont="1" applyBorder="1" applyAlignment="1">
      <alignment horizontal="left" vertical="center"/>
    </xf>
    <xf numFmtId="0" fontId="14" fillId="0" borderId="52" xfId="0" applyFont="1" applyBorder="1" applyAlignment="1">
      <alignment horizontal="left" vertical="center" shrinkToFit="1"/>
    </xf>
    <xf numFmtId="0" fontId="14" fillId="0" borderId="80" xfId="0" applyFont="1" applyBorder="1" applyAlignment="1">
      <alignment horizontal="center" vertical="center" shrinkToFit="1"/>
    </xf>
    <xf numFmtId="0" fontId="14" fillId="0" borderId="49" xfId="0" applyFont="1" applyBorder="1" applyAlignment="1">
      <alignment horizontal="center" vertical="center" shrinkToFit="1"/>
    </xf>
    <xf numFmtId="0" fontId="14" fillId="0" borderId="49" xfId="0" applyFont="1" applyBorder="1" applyAlignment="1">
      <alignment horizontal="left" vertical="center"/>
    </xf>
    <xf numFmtId="164" fontId="14" fillId="0" borderId="57" xfId="0" applyNumberFormat="1" applyFont="1" applyBorder="1" applyAlignment="1">
      <alignment horizontal="center" vertical="center" shrinkToFit="1"/>
    </xf>
    <xf numFmtId="0" fontId="14" fillId="0" borderId="56" xfId="0" applyFont="1" applyBorder="1" applyAlignment="1">
      <alignment horizontal="left" vertical="center"/>
    </xf>
    <xf numFmtId="0" fontId="14" fillId="0" borderId="57" xfId="0" applyFont="1" applyBorder="1" applyAlignment="1">
      <alignment horizontal="center" vertical="center" shrinkToFit="1"/>
    </xf>
    <xf numFmtId="0" fontId="14" fillId="0" borderId="58" xfId="0" applyFont="1" applyBorder="1" applyAlignment="1">
      <alignment horizontal="left" vertical="center"/>
    </xf>
    <xf numFmtId="0" fontId="14" fillId="0" borderId="53" xfId="0" applyFont="1" applyBorder="1" applyAlignment="1">
      <alignment horizontal="left" vertical="center" shrinkToFit="1"/>
    </xf>
    <xf numFmtId="0" fontId="14" fillId="0" borderId="50" xfId="0" applyFont="1" applyBorder="1" applyAlignment="1">
      <alignment horizontal="left" vertical="center"/>
    </xf>
    <xf numFmtId="0" fontId="32" fillId="0" borderId="0" xfId="0" applyFont="1" applyAlignment="1">
      <alignment vertical="center"/>
    </xf>
    <xf numFmtId="0" fontId="32" fillId="0" borderId="0" xfId="0" applyFont="1" applyAlignment="1">
      <alignment horizontal="centerContinuous" vertical="center" shrinkToFit="1"/>
    </xf>
    <xf numFmtId="0" fontId="14" fillId="0" borderId="54" xfId="0" applyFont="1" applyBorder="1" applyAlignment="1">
      <alignment horizontal="center" vertical="center" shrinkToFit="1"/>
    </xf>
    <xf numFmtId="165" fontId="14" fillId="0" borderId="0" xfId="0" applyNumberFormat="1" applyFont="1" applyAlignment="1">
      <alignment horizontal="center" vertical="center"/>
    </xf>
    <xf numFmtId="0" fontId="80" fillId="3" borderId="78" xfId="4" applyFont="1" applyFill="1" applyBorder="1" applyAlignment="1">
      <alignment horizontal="right"/>
    </xf>
    <xf numFmtId="0" fontId="80" fillId="3" borderId="77" xfId="4" applyFont="1" applyFill="1" applyBorder="1" applyAlignment="1">
      <alignment horizontal="left"/>
    </xf>
    <xf numFmtId="0" fontId="12" fillId="3" borderId="77" xfId="4" applyFont="1" applyFill="1" applyBorder="1" applyAlignment="1">
      <alignment horizontal="left"/>
    </xf>
    <xf numFmtId="0" fontId="81" fillId="3" borderId="77" xfId="4" applyFont="1" applyFill="1" applyBorder="1" applyAlignment="1">
      <alignment horizontal="centerContinuous"/>
    </xf>
    <xf numFmtId="0" fontId="14" fillId="3" borderId="77" xfId="4" applyFont="1" applyFill="1" applyBorder="1" applyAlignment="1">
      <alignment horizontal="left"/>
    </xf>
    <xf numFmtId="0" fontId="13" fillId="3" borderId="77" xfId="4" applyFont="1" applyFill="1" applyBorder="1" applyAlignment="1">
      <alignment horizontal="centerContinuous"/>
    </xf>
    <xf numFmtId="0" fontId="82" fillId="3" borderId="76" xfId="4" applyFont="1" applyFill="1" applyBorder="1" applyAlignment="1">
      <alignment horizontal="right"/>
    </xf>
    <xf numFmtId="0" fontId="14" fillId="0" borderId="0" xfId="4" applyFont="1"/>
    <xf numFmtId="0" fontId="16" fillId="0" borderId="1" xfId="4" applyFont="1" applyBorder="1" applyAlignment="1">
      <alignment horizontal="right"/>
    </xf>
    <xf numFmtId="0" fontId="17" fillId="0" borderId="0" xfId="4" applyFont="1" applyAlignment="1">
      <alignment horizontal="centerContinuous"/>
    </xf>
    <xf numFmtId="0" fontId="16" fillId="0" borderId="0" xfId="4" applyFont="1" applyAlignment="1">
      <alignment horizontal="right"/>
    </xf>
    <xf numFmtId="0" fontId="17" fillId="0" borderId="0" xfId="4" applyFont="1" applyAlignment="1">
      <alignment horizontal="center"/>
    </xf>
    <xf numFmtId="0" fontId="17" fillId="0" borderId="2" xfId="4" quotePrefix="1" applyFont="1" applyBorder="1" applyAlignment="1">
      <alignment horizontal="left"/>
    </xf>
    <xf numFmtId="0" fontId="16" fillId="0" borderId="9" xfId="4" applyFont="1" applyBorder="1" applyAlignment="1">
      <alignment horizontal="right"/>
    </xf>
    <xf numFmtId="0" fontId="17" fillId="0" borderId="10" xfId="4" applyFont="1" applyBorder="1" applyAlignment="1">
      <alignment horizontal="centerContinuous"/>
    </xf>
    <xf numFmtId="0" fontId="16" fillId="0" borderId="10" xfId="4" applyFont="1" applyBorder="1" applyAlignment="1">
      <alignment horizontal="right"/>
    </xf>
    <xf numFmtId="0" fontId="17" fillId="0" borderId="10" xfId="4" applyFont="1" applyBorder="1" applyAlignment="1">
      <alignment horizontal="center"/>
    </xf>
    <xf numFmtId="0" fontId="17" fillId="0" borderId="11" xfId="4" applyFont="1" applyBorder="1" applyAlignment="1">
      <alignment horizontal="left"/>
    </xf>
    <xf numFmtId="0" fontId="19" fillId="3" borderId="14" xfId="4" applyFont="1" applyFill="1" applyBorder="1" applyAlignment="1">
      <alignment horizontal="right"/>
    </xf>
    <xf numFmtId="0" fontId="17" fillId="0" borderId="15" xfId="0" applyFont="1" applyBorder="1" applyAlignment="1">
      <alignment horizontal="center" vertical="center"/>
    </xf>
    <xf numFmtId="0" fontId="21" fillId="0" borderId="15" xfId="0" applyFont="1" applyBorder="1" applyAlignment="1">
      <alignment horizontal="center"/>
    </xf>
    <xf numFmtId="0" fontId="19" fillId="2" borderId="4" xfId="4" applyFont="1" applyFill="1" applyBorder="1" applyAlignment="1">
      <alignment horizontal="right"/>
    </xf>
    <xf numFmtId="1" fontId="16" fillId="0" borderId="32" xfId="4" applyNumberFormat="1" applyFont="1" applyBorder="1" applyAlignment="1">
      <alignment horizontal="center"/>
    </xf>
    <xf numFmtId="0" fontId="19" fillId="0" borderId="6" xfId="4" applyFont="1" applyBorder="1" applyAlignment="1">
      <alignment horizontal="right"/>
    </xf>
    <xf numFmtId="0" fontId="17" fillId="0" borderId="8" xfId="4" applyFont="1" applyBorder="1" applyAlignment="1">
      <alignment horizontal="center"/>
    </xf>
    <xf numFmtId="0" fontId="25" fillId="3" borderId="5" xfId="4" applyFont="1" applyFill="1" applyBorder="1" applyAlignment="1">
      <alignment horizontal="right"/>
    </xf>
    <xf numFmtId="0" fontId="17" fillId="0" borderId="3" xfId="4" applyFont="1" applyBorder="1" applyAlignment="1">
      <alignment horizontal="center"/>
    </xf>
    <xf numFmtId="49" fontId="21" fillId="0" borderId="15" xfId="0" applyNumberFormat="1" applyFont="1" applyBorder="1" applyAlignment="1">
      <alignment horizontal="center"/>
    </xf>
    <xf numFmtId="0" fontId="28" fillId="0" borderId="1" xfId="4" applyFont="1" applyBorder="1" applyAlignment="1">
      <alignment horizontal="right"/>
    </xf>
    <xf numFmtId="0" fontId="17" fillId="0" borderId="2" xfId="4" applyFont="1" applyBorder="1" applyAlignment="1">
      <alignment horizontal="center"/>
    </xf>
    <xf numFmtId="0" fontId="26" fillId="3" borderId="5" xfId="4" applyFont="1" applyFill="1" applyBorder="1" applyAlignment="1">
      <alignment horizontal="right"/>
    </xf>
    <xf numFmtId="49" fontId="21" fillId="0" borderId="3" xfId="0" applyNumberFormat="1" applyFont="1" applyBorder="1" applyAlignment="1">
      <alignment horizontal="center"/>
    </xf>
    <xf numFmtId="0" fontId="28" fillId="2" borderId="4" xfId="4" applyFont="1" applyFill="1" applyBorder="1" applyAlignment="1">
      <alignment horizontal="right"/>
    </xf>
    <xf numFmtId="49" fontId="17" fillId="0" borderId="32" xfId="4" applyNumberFormat="1" applyFont="1" applyBorder="1" applyAlignment="1">
      <alignment horizontal="center"/>
    </xf>
    <xf numFmtId="0" fontId="19" fillId="0" borderId="1" xfId="4" applyFont="1" applyBorder="1" applyAlignment="1">
      <alignment horizontal="right"/>
    </xf>
    <xf numFmtId="0" fontId="28" fillId="3" borderId="5" xfId="4" applyFont="1" applyFill="1" applyBorder="1" applyAlignment="1">
      <alignment horizontal="right"/>
    </xf>
    <xf numFmtId="1" fontId="17" fillId="0" borderId="32" xfId="4" applyNumberFormat="1" applyFont="1" applyBorder="1" applyAlignment="1">
      <alignment horizontal="center"/>
    </xf>
    <xf numFmtId="0" fontId="29" fillId="3" borderId="5" xfId="4" applyFont="1" applyFill="1" applyBorder="1" applyAlignment="1">
      <alignment horizontal="right"/>
    </xf>
    <xf numFmtId="0" fontId="83" fillId="2" borderId="4" xfId="4" applyFont="1" applyFill="1" applyBorder="1" applyAlignment="1">
      <alignment horizontal="right"/>
    </xf>
    <xf numFmtId="0" fontId="30" fillId="3" borderId="16" xfId="4" applyFont="1" applyFill="1" applyBorder="1" applyAlignment="1">
      <alignment horizontal="right"/>
    </xf>
    <xf numFmtId="0" fontId="17" fillId="0" borderId="24" xfId="4" applyFont="1" applyBorder="1" applyAlignment="1">
      <alignment horizontal="center"/>
    </xf>
    <xf numFmtId="49" fontId="21" fillId="0" borderId="24" xfId="0" applyNumberFormat="1" applyFont="1" applyBorder="1" applyAlignment="1">
      <alignment horizontal="center"/>
    </xf>
    <xf numFmtId="0" fontId="26" fillId="2" borderId="25" xfId="4" applyFont="1" applyFill="1" applyBorder="1" applyAlignment="1">
      <alignment horizontal="right"/>
    </xf>
    <xf numFmtId="1" fontId="17" fillId="0" borderId="12" xfId="4" applyNumberFormat="1" applyFont="1" applyBorder="1" applyAlignment="1">
      <alignment horizontal="center"/>
    </xf>
    <xf numFmtId="0" fontId="17" fillId="0" borderId="0" xfId="4" applyFont="1" applyAlignment="1">
      <alignment horizontal="left"/>
    </xf>
    <xf numFmtId="0" fontId="28" fillId="0" borderId="0" xfId="4" applyFont="1" applyAlignment="1">
      <alignment horizontal="right"/>
    </xf>
    <xf numFmtId="0" fontId="17" fillId="0" borderId="1" xfId="4" applyFont="1" applyBorder="1"/>
    <xf numFmtId="0" fontId="17" fillId="0" borderId="2" xfId="4" applyFont="1" applyBorder="1" applyAlignment="1">
      <alignment horizontal="left"/>
    </xf>
    <xf numFmtId="0" fontId="17" fillId="0" borderId="9" xfId="4" applyFont="1" applyBorder="1"/>
    <xf numFmtId="0" fontId="17" fillId="0" borderId="10" xfId="4" applyFont="1" applyBorder="1"/>
    <xf numFmtId="0" fontId="17" fillId="0" borderId="11" xfId="4" applyFont="1" applyBorder="1"/>
    <xf numFmtId="0" fontId="13" fillId="0" borderId="0" xfId="4" applyFont="1" applyAlignment="1">
      <alignment horizontal="right"/>
    </xf>
    <xf numFmtId="0" fontId="14" fillId="0" borderId="0" xfId="4" applyFont="1" applyAlignment="1">
      <alignment horizontal="left"/>
    </xf>
    <xf numFmtId="0" fontId="84" fillId="0" borderId="23" xfId="6" applyFont="1" applyBorder="1" applyAlignment="1">
      <alignment horizontal="center" vertical="center"/>
    </xf>
    <xf numFmtId="0" fontId="13" fillId="0" borderId="23" xfId="6" applyFont="1" applyBorder="1" applyAlignment="1">
      <alignment horizontal="center" vertical="center"/>
    </xf>
    <xf numFmtId="0" fontId="85" fillId="0" borderId="23" xfId="6" applyFont="1" applyBorder="1" applyAlignment="1">
      <alignment horizontal="center" vertical="center"/>
    </xf>
    <xf numFmtId="0" fontId="86" fillId="0" borderId="23" xfId="6" applyFont="1" applyBorder="1" applyAlignment="1">
      <alignment horizontal="center" vertical="center"/>
    </xf>
    <xf numFmtId="0" fontId="87" fillId="0" borderId="23" xfId="6" applyFont="1" applyBorder="1" applyAlignment="1">
      <alignment horizontal="center" vertical="center"/>
    </xf>
    <xf numFmtId="0" fontId="88" fillId="0" borderId="23" xfId="6" applyFont="1" applyBorder="1" applyAlignment="1">
      <alignment horizontal="center" vertical="center"/>
    </xf>
    <xf numFmtId="0" fontId="89" fillId="0" borderId="23" xfId="6" applyFont="1" applyBorder="1" applyAlignment="1">
      <alignment horizontal="center" vertical="center"/>
    </xf>
    <xf numFmtId="0" fontId="90" fillId="0" borderId="23" xfId="6" applyFont="1" applyBorder="1" applyAlignment="1">
      <alignment horizontal="center" vertical="center"/>
    </xf>
    <xf numFmtId="0" fontId="13" fillId="0" borderId="23" xfId="0" applyFont="1" applyBorder="1" applyAlignment="1">
      <alignment horizontal="center" vertical="center"/>
    </xf>
    <xf numFmtId="0" fontId="91" fillId="0" borderId="23" xfId="6" applyFont="1" applyBorder="1" applyAlignment="1">
      <alignment horizontal="center" vertical="center"/>
    </xf>
    <xf numFmtId="49" fontId="13" fillId="0" borderId="23" xfId="6" applyNumberFormat="1" applyFont="1" applyBorder="1" applyAlignment="1">
      <alignment horizontal="center" vertical="center"/>
    </xf>
    <xf numFmtId="0" fontId="92" fillId="0" borderId="23" xfId="6" applyFont="1" applyBorder="1" applyAlignment="1">
      <alignment horizontal="center" vertical="center"/>
    </xf>
    <xf numFmtId="0" fontId="13" fillId="0" borderId="134" xfId="6" applyFont="1" applyBorder="1" applyAlignment="1">
      <alignment horizontal="center" vertical="center"/>
    </xf>
    <xf numFmtId="0" fontId="14" fillId="0" borderId="0" xfId="6" applyFont="1" applyAlignment="1">
      <alignment horizontal="center" vertical="center"/>
    </xf>
    <xf numFmtId="0" fontId="93" fillId="19" borderId="122" xfId="0" applyFont="1" applyFill="1" applyBorder="1" applyAlignment="1">
      <alignment horizontal="right" vertical="center" wrapText="1"/>
    </xf>
    <xf numFmtId="0" fontId="14" fillId="0" borderId="55" xfId="0" applyFont="1" applyBorder="1" applyAlignment="1">
      <alignment horizontal="center" vertical="center" wrapText="1"/>
    </xf>
    <xf numFmtId="0" fontId="14" fillId="0" borderId="128" xfId="0" applyFont="1" applyBorder="1" applyAlignment="1">
      <alignment horizontal="center" vertical="center" wrapText="1"/>
    </xf>
    <xf numFmtId="0" fontId="14" fillId="22" borderId="135" xfId="0" applyFont="1" applyFill="1" applyBorder="1" applyAlignment="1">
      <alignment horizontal="center" vertical="center" wrapText="1"/>
    </xf>
    <xf numFmtId="0" fontId="14" fillId="17" borderId="42" xfId="0" applyFont="1" applyFill="1" applyBorder="1" applyAlignment="1">
      <alignment horizontal="center" vertical="center" wrapText="1"/>
    </xf>
    <xf numFmtId="164" fontId="14" fillId="0" borderId="136" xfId="0" applyNumberFormat="1" applyFont="1" applyBorder="1" applyAlignment="1">
      <alignment horizontal="center" vertical="center" wrapText="1"/>
    </xf>
    <xf numFmtId="0" fontId="14" fillId="0" borderId="136" xfId="0" applyFont="1" applyBorder="1" applyAlignment="1">
      <alignment horizontal="center" vertical="center" wrapText="1"/>
    </xf>
    <xf numFmtId="0" fontId="14" fillId="17" borderId="135" xfId="0" applyFont="1" applyFill="1" applyBorder="1" applyAlignment="1">
      <alignment horizontal="center" vertical="center" wrapText="1"/>
    </xf>
    <xf numFmtId="0" fontId="14" fillId="17" borderId="41" xfId="0" applyFont="1" applyFill="1" applyBorder="1" applyAlignment="1">
      <alignment horizontal="center" vertical="center" wrapText="1"/>
    </xf>
    <xf numFmtId="0" fontId="14" fillId="0" borderId="135" xfId="0" applyFont="1" applyBorder="1" applyAlignment="1">
      <alignment horizontal="center" vertical="center" wrapText="1"/>
    </xf>
    <xf numFmtId="0" fontId="14" fillId="0" borderId="42" xfId="0" applyFont="1" applyBorder="1" applyAlignment="1">
      <alignment horizontal="center" vertical="center" wrapText="1"/>
    </xf>
    <xf numFmtId="0" fontId="95" fillId="0" borderId="138" xfId="0" quotePrefix="1" applyFont="1" applyBorder="1" applyAlignment="1">
      <alignment horizontal="center" vertical="center" wrapText="1"/>
    </xf>
    <xf numFmtId="0" fontId="95" fillId="12" borderId="135" xfId="0" quotePrefix="1" applyFont="1" applyFill="1" applyBorder="1" applyAlignment="1">
      <alignment horizontal="center" vertical="center" wrapText="1"/>
    </xf>
    <xf numFmtId="0" fontId="95" fillId="12" borderId="137" xfId="0" applyFont="1" applyFill="1" applyBorder="1" applyAlignment="1">
      <alignment horizontal="center" vertical="center" wrapText="1"/>
    </xf>
    <xf numFmtId="0" fontId="95" fillId="0" borderId="74" xfId="0" applyFont="1" applyBorder="1" applyAlignment="1">
      <alignment horizontal="center" vertical="center" wrapText="1"/>
    </xf>
    <xf numFmtId="0" fontId="95" fillId="0" borderId="41" xfId="0" applyFont="1" applyBorder="1" applyAlignment="1">
      <alignment horizontal="center" vertical="center" wrapText="1"/>
    </xf>
    <xf numFmtId="0" fontId="95" fillId="0" borderId="42" xfId="0" applyFont="1" applyBorder="1" applyAlignment="1">
      <alignment horizontal="center" vertical="center" wrapText="1"/>
    </xf>
    <xf numFmtId="0" fontId="95" fillId="0" borderId="137" xfId="0" applyFont="1" applyBorder="1" applyAlignment="1">
      <alignment horizontal="center" vertical="center" wrapText="1"/>
    </xf>
    <xf numFmtId="0" fontId="14" fillId="0" borderId="135" xfId="0" quotePrefix="1" applyFont="1" applyBorder="1" applyAlignment="1">
      <alignment horizontal="center" vertical="center" wrapText="1"/>
    </xf>
    <xf numFmtId="0" fontId="14" fillId="0" borderId="137" xfId="0" applyFont="1" applyBorder="1" applyAlignment="1">
      <alignment horizontal="center" vertical="center" wrapText="1"/>
    </xf>
    <xf numFmtId="0" fontId="95" fillId="0" borderId="136" xfId="0" quotePrefix="1" applyFont="1" applyBorder="1" applyAlignment="1">
      <alignment horizontal="center" vertical="center" wrapText="1"/>
    </xf>
    <xf numFmtId="0" fontId="95" fillId="19" borderId="135" xfId="0" quotePrefix="1" applyFont="1" applyFill="1" applyBorder="1" applyAlignment="1">
      <alignment horizontal="center" vertical="center" wrapText="1"/>
    </xf>
    <xf numFmtId="0" fontId="14" fillId="22" borderId="41" xfId="0" applyFont="1" applyFill="1" applyBorder="1" applyAlignment="1">
      <alignment horizontal="center" vertical="center" wrapText="1"/>
    </xf>
    <xf numFmtId="0" fontId="14" fillId="22" borderId="42" xfId="0" applyFont="1" applyFill="1" applyBorder="1" applyAlignment="1">
      <alignment horizontal="center" vertical="center" wrapText="1"/>
    </xf>
    <xf numFmtId="0" fontId="95" fillId="0" borderId="170" xfId="0" applyFont="1" applyBorder="1" applyAlignment="1">
      <alignment horizontal="center" vertical="center" wrapText="1"/>
    </xf>
    <xf numFmtId="0" fontId="84" fillId="0" borderId="0" xfId="6" applyFont="1" applyAlignment="1">
      <alignment horizontal="right" vertical="center"/>
    </xf>
    <xf numFmtId="0" fontId="14" fillId="0" borderId="0" xfId="6" applyFont="1" applyAlignment="1">
      <alignment horizontal="center" vertical="center" wrapText="1"/>
    </xf>
    <xf numFmtId="0" fontId="76" fillId="17" borderId="22" xfId="0" applyFont="1" applyFill="1" applyBorder="1" applyAlignment="1">
      <alignment horizontal="center" vertical="center"/>
    </xf>
    <xf numFmtId="1" fontId="77" fillId="17" borderId="153" xfId="0" applyNumberFormat="1" applyFont="1" applyFill="1" applyBorder="1" applyAlignment="1">
      <alignment horizontal="center" vertical="center"/>
    </xf>
    <xf numFmtId="1" fontId="77" fillId="17" borderId="27" xfId="0" applyNumberFormat="1" applyFont="1" applyFill="1" applyBorder="1" applyAlignment="1">
      <alignment horizontal="center" vertical="center"/>
    </xf>
    <xf numFmtId="1" fontId="77" fillId="17" borderId="102" xfId="0" applyNumberFormat="1" applyFont="1" applyFill="1" applyBorder="1" applyAlignment="1">
      <alignment horizontal="center" vertical="center"/>
    </xf>
    <xf numFmtId="1" fontId="77" fillId="17" borderId="110" xfId="0" applyNumberFormat="1" applyFont="1" applyFill="1" applyBorder="1" applyAlignment="1">
      <alignment horizontal="center" vertical="center"/>
    </xf>
    <xf numFmtId="1" fontId="77" fillId="17" borderId="95" xfId="0" applyNumberFormat="1" applyFont="1" applyFill="1" applyBorder="1" applyAlignment="1">
      <alignment horizontal="center" vertical="center"/>
    </xf>
    <xf numFmtId="1" fontId="77" fillId="17" borderId="94" xfId="0" applyNumberFormat="1" applyFont="1" applyFill="1" applyBorder="1" applyAlignment="1">
      <alignment horizontal="center" vertical="center"/>
    </xf>
    <xf numFmtId="0" fontId="106" fillId="10" borderId="122" xfId="0" applyFont="1" applyFill="1" applyBorder="1" applyAlignment="1">
      <alignment horizontal="right" vertical="center" wrapText="1"/>
    </xf>
    <xf numFmtId="0" fontId="41" fillId="17" borderId="37" xfId="0" applyFont="1" applyFill="1" applyBorder="1" applyAlignment="1">
      <alignment horizontal="center" vertical="center" wrapText="1"/>
    </xf>
    <xf numFmtId="0" fontId="44" fillId="17" borderId="27" xfId="0" applyFont="1" applyFill="1" applyBorder="1" applyAlignment="1">
      <alignment horizontal="center" vertical="center"/>
    </xf>
    <xf numFmtId="0" fontId="44" fillId="17" borderId="69" xfId="0" applyFont="1" applyFill="1" applyBorder="1" applyAlignment="1">
      <alignment horizontal="center" vertical="center"/>
    </xf>
    <xf numFmtId="49" fontId="44" fillId="17" borderId="91" xfId="0" applyNumberFormat="1" applyFont="1" applyFill="1" applyBorder="1" applyAlignment="1">
      <alignment horizontal="center" vertical="center"/>
    </xf>
    <xf numFmtId="49" fontId="44" fillId="17" borderId="92" xfId="0" applyNumberFormat="1" applyFont="1" applyFill="1" applyBorder="1" applyAlignment="1">
      <alignment horizontal="center" vertical="center"/>
    </xf>
    <xf numFmtId="0" fontId="64" fillId="0" borderId="161" xfId="0" applyFont="1" applyBorder="1" applyAlignment="1">
      <alignment horizontal="center" vertical="center"/>
    </xf>
  </cellXfs>
  <cellStyles count="11">
    <cellStyle name="Excel Built-in Normal" xfId="5" xr:uid="{00000000-0005-0000-0000-000000000000}"/>
    <cellStyle name="Hyperlink" xfId="1" builtinId="8"/>
    <cellStyle name="Normal" xfId="0" builtinId="0"/>
    <cellStyle name="Normal 2" xfId="4" xr:uid="{00000000-0005-0000-0000-000003000000}"/>
    <cellStyle name="Normal 2 2" xfId="6" xr:uid="{00000000-0005-0000-0000-000004000000}"/>
    <cellStyle name="Normal 3" xfId="7" xr:uid="{00000000-0005-0000-0000-000005000000}"/>
    <cellStyle name="Normal 4" xfId="8" xr:uid="{00000000-0005-0000-0000-000006000000}"/>
    <cellStyle name="Normal 5" xfId="9" xr:uid="{00000000-0005-0000-0000-000007000000}"/>
    <cellStyle name="Percent" xfId="2" builtinId="5"/>
    <cellStyle name="Percent 2" xfId="3" xr:uid="{00000000-0005-0000-0000-000009000000}"/>
    <cellStyle name="Percent 2 2" xfId="10" xr:uid="{00000000-0005-0000-0000-00000A000000}"/>
  </cellStyles>
  <dxfs count="15">
    <dxf>
      <fill>
        <patternFill>
          <bgColor theme="0" tint="-0.24994659260841701"/>
        </patternFill>
      </fill>
    </dxf>
    <dxf>
      <fill>
        <patternFill>
          <bgColor rgb="FF00FF00"/>
        </patternFill>
      </fill>
    </dxf>
    <dxf>
      <fill>
        <patternFill>
          <bgColor rgb="FFFF0000"/>
        </patternFill>
      </fill>
    </dxf>
    <dxf>
      <fill>
        <patternFill>
          <bgColor rgb="FF00FF00"/>
        </patternFill>
      </fill>
    </dxf>
    <dxf>
      <fill>
        <patternFill>
          <bgColor rgb="FFFF0000"/>
        </patternFill>
      </fill>
    </dxf>
    <dxf>
      <font>
        <b/>
        <i val="0"/>
        <color auto="1"/>
      </font>
      <fill>
        <patternFill>
          <bgColor rgb="FF66FF33"/>
        </patternFill>
      </fill>
    </dxf>
    <dxf>
      <font>
        <b val="0"/>
        <i/>
        <color theme="1"/>
      </font>
      <fill>
        <patternFill>
          <bgColor theme="0" tint="-0.24994659260841701"/>
        </patternFill>
      </fill>
    </dxf>
    <dxf>
      <font>
        <b/>
        <i val="0"/>
        <color auto="1"/>
      </font>
      <fill>
        <patternFill>
          <bgColor rgb="FF66FF33"/>
        </patternFill>
      </fill>
    </dxf>
    <dxf>
      <font>
        <b/>
        <i val="0"/>
        <color auto="1"/>
      </font>
      <fill>
        <patternFill>
          <bgColor rgb="FF66FF33"/>
        </patternFill>
      </fill>
    </dxf>
    <dxf>
      <font>
        <b val="0"/>
        <i/>
        <color theme="1"/>
      </font>
      <fill>
        <patternFill>
          <bgColor theme="0" tint="-0.24994659260841701"/>
        </patternFill>
      </fill>
    </dxf>
    <dxf>
      <fill>
        <patternFill>
          <bgColor theme="0" tint="-0.24994659260841701"/>
        </patternFill>
      </fill>
    </dxf>
    <dxf>
      <font>
        <b/>
        <i val="0"/>
        <condense val="0"/>
        <extend val="0"/>
      </font>
      <fill>
        <patternFill>
          <bgColor indexed="51"/>
        </patternFill>
      </fill>
    </dxf>
    <dxf>
      <font>
        <b/>
        <i val="0"/>
        <condense val="0"/>
        <extend val="0"/>
      </font>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1" defaultTableStyle="TableStyleMedium9" defaultPivotStyle="PivotStyleLight16">
    <tableStyle name="Invisible" pivot="0" table="0" count="0" xr9:uid="{169E2FE9-2D47-4B51-A82E-804D3366C9C2}"/>
  </tableStyles>
  <colors>
    <mruColors>
      <color rgb="FF9966FF"/>
      <color rgb="FF0000FF"/>
      <color rgb="FF00FFFF"/>
      <color rgb="FF008000"/>
      <color rgb="FF9933FF"/>
      <color rgb="FF66FF33"/>
      <color rgb="FFFF33CC"/>
      <color rgb="FFFF9900"/>
      <color rgb="FF00FF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5</xdr:col>
      <xdr:colOff>60962</xdr:colOff>
      <xdr:row>1</xdr:row>
      <xdr:rowOff>68580</xdr:rowOff>
    </xdr:from>
    <xdr:to>
      <xdr:col>6</xdr:col>
      <xdr:colOff>1022672</xdr:colOff>
      <xdr:row>13</xdr:row>
      <xdr:rowOff>188545</xdr:rowOff>
    </xdr:to>
    <xdr:pic>
      <xdr:nvPicPr>
        <xdr:cNvPr id="2" name="Picture 1">
          <a:extLst>
            <a:ext uri="{FF2B5EF4-FFF2-40B4-BE49-F238E27FC236}">
              <a16:creationId xmlns:a16="http://schemas.microsoft.com/office/drawing/2014/main" id="{AF4914E0-A8BA-44E0-9F41-31E2F641E55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67202" y="441960"/>
          <a:ext cx="2028510" cy="28022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60960</xdr:colOff>
      <xdr:row>11</xdr:row>
      <xdr:rowOff>198120</xdr:rowOff>
    </xdr:from>
    <xdr:to>
      <xdr:col>6</xdr:col>
      <xdr:colOff>1232535</xdr:colOff>
      <xdr:row>14</xdr:row>
      <xdr:rowOff>238126</xdr:rowOff>
    </xdr:to>
    <xdr:sp macro="" textlink="">
      <xdr:nvSpPr>
        <xdr:cNvPr id="1081" name="Text Box 57">
          <a:extLst>
            <a:ext uri="{FF2B5EF4-FFF2-40B4-BE49-F238E27FC236}">
              <a16:creationId xmlns:a16="http://schemas.microsoft.com/office/drawing/2014/main" id="{00000000-0008-0000-0000-000039040000}"/>
            </a:ext>
          </a:extLst>
        </xdr:cNvPr>
        <xdr:cNvSpPr txBox="1">
          <a:spLocks noChangeArrowheads="1"/>
        </xdr:cNvSpPr>
      </xdr:nvSpPr>
      <xdr:spPr bwMode="auto">
        <a:xfrm>
          <a:off x="4213860" y="2522220"/>
          <a:ext cx="2291715" cy="687706"/>
        </a:xfrm>
        <a:prstGeom prst="rect">
          <a:avLst/>
        </a:prstGeom>
        <a:solidFill>
          <a:srgbClr val="CCFFFF"/>
        </a:solidFill>
        <a:ln w="38100" cmpd="dbl">
          <a:solidFill>
            <a:srgbClr val="00FF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mn-lt"/>
              <a:cs typeface="Times New Roman"/>
            </a:rPr>
            <a:t>Spell Resistance:  </a:t>
          </a:r>
          <a:r>
            <a:rPr lang="en-US" sz="1200" b="0" i="0" u="none" strike="noStrike" baseline="0">
              <a:solidFill>
                <a:srgbClr val="000000"/>
              </a:solidFill>
              <a:latin typeface="+mn-lt"/>
              <a:cs typeface="Times New Roman"/>
            </a:rPr>
            <a:t>27</a:t>
          </a:r>
        </a:p>
        <a:p>
          <a:pPr algn="just" rtl="0">
            <a:defRPr sz="1000"/>
          </a:pPr>
          <a:r>
            <a:rPr lang="en-US" sz="1200" b="1" i="0" u="none" strike="noStrike" baseline="0">
              <a:solidFill>
                <a:srgbClr val="000000"/>
              </a:solidFill>
              <a:latin typeface="+mn-lt"/>
              <a:cs typeface="Times New Roman"/>
            </a:rPr>
            <a:t>Fast Healing: </a:t>
          </a:r>
          <a:r>
            <a:rPr lang="en-US" sz="1200" b="0" i="0" u="none" strike="noStrike" baseline="0">
              <a:solidFill>
                <a:srgbClr val="000000"/>
              </a:solidFill>
              <a:latin typeface="+mn-lt"/>
              <a:cs typeface="Times New Roman"/>
            </a:rPr>
            <a:t> 2 hp/round</a:t>
          </a:r>
        </a:p>
        <a:p>
          <a:pPr algn="just" rtl="0">
            <a:defRPr sz="1000"/>
          </a:pPr>
          <a:r>
            <a:rPr lang="en-US" sz="1200" b="1" i="0" u="none" strike="noStrike" baseline="0">
              <a:solidFill>
                <a:srgbClr val="000000"/>
              </a:solidFill>
              <a:latin typeface="+mn-lt"/>
              <a:cs typeface="Times New Roman"/>
            </a:rPr>
            <a:t>DR:  </a:t>
          </a:r>
          <a:r>
            <a:rPr lang="en-US" sz="1200" b="0" i="0" u="none" strike="noStrike" baseline="0">
              <a:solidFill>
                <a:srgbClr val="000000"/>
              </a:solidFill>
              <a:latin typeface="+mn-lt"/>
              <a:cs typeface="Times New Roman"/>
            </a:rPr>
            <a:t>5/fire, cold and acid</a:t>
          </a:r>
        </a:p>
      </xdr:txBody>
    </xdr:sp>
    <xdr:clientData/>
  </xdr:twoCellAnchor>
  <xdr:twoCellAnchor>
    <xdr:from>
      <xdr:col>0</xdr:col>
      <xdr:colOff>76200</xdr:colOff>
      <xdr:row>15</xdr:row>
      <xdr:rowOff>85725</xdr:rowOff>
    </xdr:from>
    <xdr:to>
      <xdr:col>6</xdr:col>
      <xdr:colOff>1219200</xdr:colOff>
      <xdr:row>31</xdr:row>
      <xdr:rowOff>161925</xdr:rowOff>
    </xdr:to>
    <xdr:sp macro="" textlink="">
      <xdr:nvSpPr>
        <xdr:cNvPr id="1084" name="Text 6">
          <a:extLst>
            <a:ext uri="{FF2B5EF4-FFF2-40B4-BE49-F238E27FC236}">
              <a16:creationId xmlns:a16="http://schemas.microsoft.com/office/drawing/2014/main" id="{00000000-0008-0000-0000-00003C040000}"/>
            </a:ext>
          </a:extLst>
        </xdr:cNvPr>
        <xdr:cNvSpPr txBox="1">
          <a:spLocks noChangeArrowheads="1"/>
        </xdr:cNvSpPr>
      </xdr:nvSpPr>
      <xdr:spPr bwMode="auto">
        <a:xfrm>
          <a:off x="76200" y="4191000"/>
          <a:ext cx="6886575" cy="3019425"/>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200">
              <a:effectLst/>
              <a:latin typeface="+mn-lt"/>
              <a:ea typeface="+mn-ea"/>
              <a:cs typeface="Times New Roman" panose="02020603050405020304" pitchFamily="18" charset="0"/>
            </a:rPr>
            <a:t>Whisper’s skin is a dusky gray, and his eyes glitter with a azure-platinum glow.  Shadows cling to his form and he appears much more menacing and impressive under the shroud of darkness.  Empowered by the darkness, he often stays invisible when he can, but those who gaze upon his silhouette often see traces of misery upon his ill-defined face.  His hair grows dark and is often braided or otherwise bound away from his face.  At six feet, he towers over most other humanoids, and often uses this to his advantage when intimidating his victims.</a:t>
          </a:r>
        </a:p>
        <a:p>
          <a:pPr algn="just"/>
          <a:r>
            <a:rPr lang="en-US" sz="1200">
              <a:effectLst/>
              <a:latin typeface="+mn-lt"/>
              <a:ea typeface="+mn-ea"/>
              <a:cs typeface="Times New Roman" panose="02020603050405020304" pitchFamily="18" charset="0"/>
            </a:rPr>
            <a:t> </a:t>
          </a:r>
        </a:p>
        <a:p>
          <a:pPr algn="just"/>
          <a:r>
            <a:rPr lang="en-US" sz="1200">
              <a:effectLst/>
              <a:latin typeface="+mn-lt"/>
              <a:ea typeface="+mn-ea"/>
              <a:cs typeface="Times New Roman" panose="02020603050405020304" pitchFamily="18" charset="0"/>
            </a:rPr>
            <a:t>Whisper remembers little of his tumultuous youth, and suspects that a magical incantation was cast on him, that he might never truly remember who he is.  The vicious warrior-sorcerer does recall that as a child, magic seemed to come easily to him, and before his tenth summer, he was already shooting birds down from the sky with his electric jolts, acid splashes and rays of frost.  Other than these fleeting images of his early powers, Whisper does not have any recollection of his identity, his parents, home community, or any real sense of his origins.  He has been at the Academy as long as he can remember, and has for quite some time yearned to strike out and free himself of the trappings of this cloistered life.</a:t>
          </a:r>
        </a:p>
        <a:p>
          <a:pPr algn="just"/>
          <a:r>
            <a:rPr lang="en-US" sz="1200">
              <a:effectLst/>
              <a:latin typeface="+mn-lt"/>
              <a:ea typeface="+mn-ea"/>
              <a:cs typeface="Times New Roman" panose="02020603050405020304" pitchFamily="18" charset="0"/>
            </a:rPr>
            <a:t> </a:t>
          </a:r>
        </a:p>
        <a:p>
          <a:pPr algn="just"/>
          <a:r>
            <a:rPr lang="en-US" sz="1200">
              <a:effectLst/>
              <a:latin typeface="+mn-lt"/>
              <a:ea typeface="+mn-ea"/>
              <a:cs typeface="Times New Roman" panose="02020603050405020304" pitchFamily="18" charset="0"/>
            </a:rPr>
            <a:t>After a successful endeavor, Whisper enjoys partaking in the crucifixion of livestock and other celebrations.  “Now that we’ve defeated these fools,” he once stated after a scuffle in the dining hall.  “Let the festivities ensue!  I would have a goat, a few planks of wood, a handful of nails, and a bottle of human ale, if you please.”</a:t>
          </a:r>
        </a:p>
        <a:p>
          <a:pPr algn="just" rtl="0">
            <a:defRPr sz="1000"/>
          </a:pPr>
          <a:endParaRPr lang="en-US" sz="1200" b="0" i="0" u="none" strike="noStrike" baseline="0">
            <a:solidFill>
              <a:sysClr val="windowText" lastClr="000000"/>
            </a:solidFill>
            <a:latin typeface="+mn-lt"/>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19050</xdr:colOff>
      <xdr:row>1</xdr:row>
      <xdr:rowOff>57150</xdr:rowOff>
    </xdr:from>
    <xdr:to>
      <xdr:col>6</xdr:col>
      <xdr:colOff>795709</xdr:colOff>
      <xdr:row>10</xdr:row>
      <xdr:rowOff>121920</xdr:rowOff>
    </xdr:to>
    <xdr:pic>
      <xdr:nvPicPr>
        <xdr:cNvPr id="18439" name="Picture 6" descr="arkan as a shade">
          <a:extLst>
            <a:ext uri="{FF2B5EF4-FFF2-40B4-BE49-F238E27FC236}">
              <a16:creationId xmlns:a16="http://schemas.microsoft.com/office/drawing/2014/main" id="{00000000-0008-0000-0100-0000074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38675" y="428625"/>
          <a:ext cx="1900609" cy="2028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60960</xdr:colOff>
      <xdr:row>11</xdr:row>
      <xdr:rowOff>137160</xdr:rowOff>
    </xdr:from>
    <xdr:to>
      <xdr:col>6</xdr:col>
      <xdr:colOff>769620</xdr:colOff>
      <xdr:row>24</xdr:row>
      <xdr:rowOff>152400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60960" y="2651760"/>
          <a:ext cx="6522720" cy="2590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latin typeface="Times New Roman" panose="02020603050405020304" pitchFamily="18" charset="0"/>
              <a:cs typeface="Times New Roman" panose="02020603050405020304" pitchFamily="18" charset="0"/>
            </a:rPr>
            <a:t>Contingencies:</a:t>
          </a:r>
          <a:r>
            <a:rPr lang="en-US" sz="1200" b="1" baseline="0">
              <a:latin typeface="Times New Roman" panose="02020603050405020304" pitchFamily="18" charset="0"/>
              <a:cs typeface="Times New Roman" panose="02020603050405020304" pitchFamily="18" charset="0"/>
            </a:rPr>
            <a:t>  </a:t>
          </a:r>
          <a:r>
            <a:rPr lang="en-US" sz="1200" baseline="0">
              <a:latin typeface="Times New Roman" panose="02020603050405020304" pitchFamily="18" charset="0"/>
              <a:cs typeface="Times New Roman" panose="02020603050405020304" pitchFamily="18" charset="0"/>
            </a:rPr>
            <a:t>Upon encountering a foe/threat:</a:t>
          </a:r>
        </a:p>
        <a:p>
          <a:r>
            <a:rPr lang="en-US" sz="1200" i="1" baseline="0">
              <a:latin typeface="Times New Roman" panose="02020603050405020304" pitchFamily="18" charset="0"/>
              <a:cs typeface="Times New Roman" panose="02020603050405020304" pitchFamily="18" charset="0"/>
            </a:rPr>
            <a:t>[Uses Silent Spell boost (+1 SL) if stealth is needed; otherwise, possibly Empower Spell (+2 SL).]</a:t>
          </a:r>
        </a:p>
        <a:p>
          <a:endParaRPr lang="en-US" sz="1200" baseline="0">
            <a:latin typeface="Times New Roman" panose="02020603050405020304" pitchFamily="18" charset="0"/>
            <a:cs typeface="Times New Roman" panose="02020603050405020304" pitchFamily="18" charset="0"/>
          </a:endParaRPr>
        </a:p>
        <a:p>
          <a:r>
            <a:rPr lang="en-US" sz="1200" baseline="0">
              <a:latin typeface="Times New Roman" panose="02020603050405020304" pitchFamily="18" charset="0"/>
              <a:cs typeface="Times New Roman" panose="02020603050405020304" pitchFamily="18" charset="0"/>
            </a:rPr>
            <a:t>Priority 1:  Manifests </a:t>
          </a:r>
          <a:r>
            <a:rPr lang="en-US" sz="1200" i="1" baseline="0">
              <a:latin typeface="Times New Roman" panose="02020603050405020304" pitchFamily="18" charset="0"/>
              <a:cs typeface="Times New Roman" panose="02020603050405020304" pitchFamily="18" charset="0"/>
            </a:rPr>
            <a:t>invisibility </a:t>
          </a:r>
          <a:r>
            <a:rPr lang="en-US" sz="1200" i="0" baseline="0">
              <a:latin typeface="Times New Roman" panose="02020603050405020304" pitchFamily="18" charset="0"/>
              <a:cs typeface="Times New Roman" panose="02020603050405020304" pitchFamily="18" charset="0"/>
            </a:rPr>
            <a:t>and casts</a:t>
          </a:r>
          <a:r>
            <a:rPr lang="en-US" sz="1200" baseline="0">
              <a:latin typeface="Times New Roman" panose="02020603050405020304" pitchFamily="18" charset="0"/>
              <a:cs typeface="Times New Roman" panose="02020603050405020304" pitchFamily="18" charset="0"/>
            </a:rPr>
            <a:t> </a:t>
          </a:r>
          <a:r>
            <a:rPr lang="en-US" sz="1200" i="1" baseline="0">
              <a:latin typeface="Times New Roman" panose="02020603050405020304" pitchFamily="18" charset="0"/>
              <a:cs typeface="Times New Roman" panose="02020603050405020304" pitchFamily="18" charset="0"/>
            </a:rPr>
            <a:t>mage armor </a:t>
          </a:r>
          <a:r>
            <a:rPr lang="en-US" sz="1200" i="0" baseline="0">
              <a:latin typeface="Times New Roman" panose="02020603050405020304" pitchFamily="18" charset="0"/>
              <a:cs typeface="Times New Roman" panose="02020603050405020304" pitchFamily="18" charset="0"/>
            </a:rPr>
            <a:t>on himself.</a:t>
          </a:r>
          <a:endParaRPr lang="en-US" sz="1200" baseline="0">
            <a:latin typeface="Times New Roman" panose="02020603050405020304" pitchFamily="18" charset="0"/>
            <a:cs typeface="Times New Roman" panose="02020603050405020304" pitchFamily="18" charset="0"/>
          </a:endParaRPr>
        </a:p>
        <a:p>
          <a:endParaRPr lang="en-US" sz="1200" baseline="0">
            <a:latin typeface="Times New Roman" panose="02020603050405020304" pitchFamily="18" charset="0"/>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200" baseline="0">
              <a:solidFill>
                <a:schemeClr val="dk1"/>
              </a:solidFill>
              <a:effectLst/>
              <a:latin typeface="Times New Roman" panose="02020603050405020304" pitchFamily="18" charset="0"/>
              <a:ea typeface="+mn-ea"/>
              <a:cs typeface="Times New Roman" panose="02020603050405020304" pitchFamily="18" charset="0"/>
            </a:rPr>
            <a:t>Priority 2:  Casts </a:t>
          </a:r>
          <a:r>
            <a:rPr lang="en-US" sz="1200" i="1" baseline="0">
              <a:solidFill>
                <a:schemeClr val="dk1"/>
              </a:solidFill>
              <a:effectLst/>
              <a:latin typeface="Times New Roman" panose="02020603050405020304" pitchFamily="18" charset="0"/>
              <a:ea typeface="+mn-ea"/>
              <a:cs typeface="Times New Roman" panose="02020603050405020304" pitchFamily="18" charset="0"/>
            </a:rPr>
            <a:t>enhance familiar</a:t>
          </a:r>
          <a:r>
            <a:rPr lang="en-US" sz="1200" i="0" baseline="0">
              <a:solidFill>
                <a:schemeClr val="dk1"/>
              </a:solidFill>
              <a:effectLst/>
              <a:latin typeface="Times New Roman" panose="02020603050405020304" pitchFamily="18" charset="0"/>
              <a:ea typeface="+mn-ea"/>
              <a:cs typeface="Times New Roman" panose="02020603050405020304" pitchFamily="18" charset="0"/>
            </a:rPr>
            <a:t> on Typhoid.</a:t>
          </a:r>
          <a:endParaRPr lang="en-US" sz="1200" baseline="0">
            <a:solidFill>
              <a:schemeClr val="dk1"/>
            </a:solidFill>
            <a:effectLst/>
            <a:latin typeface="Times New Roman" panose="020206030504050203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1200" baseline="0">
            <a:solidFill>
              <a:schemeClr val="dk1"/>
            </a:solidFill>
            <a:effectLst/>
            <a:latin typeface="Times New Roman" panose="020206030504050203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200" baseline="0">
              <a:solidFill>
                <a:schemeClr val="dk1"/>
              </a:solidFill>
              <a:effectLst/>
              <a:latin typeface="Times New Roman" panose="02020603050405020304" pitchFamily="18" charset="0"/>
              <a:ea typeface="+mn-ea"/>
              <a:cs typeface="Times New Roman" panose="02020603050405020304" pitchFamily="18" charset="0"/>
            </a:rPr>
            <a:t>Priority 3:  Casts </a:t>
          </a:r>
          <a:r>
            <a:rPr lang="en-US" sz="1200" i="1" baseline="0">
              <a:solidFill>
                <a:schemeClr val="dk1"/>
              </a:solidFill>
              <a:effectLst/>
              <a:latin typeface="Times New Roman" panose="02020603050405020304" pitchFamily="18" charset="0"/>
              <a:ea typeface="+mn-ea"/>
              <a:cs typeface="Times New Roman" panose="02020603050405020304" pitchFamily="18" charset="0"/>
            </a:rPr>
            <a:t>bull’s strength </a:t>
          </a:r>
          <a:r>
            <a:rPr lang="en-US" sz="1200" i="0" baseline="0">
              <a:solidFill>
                <a:schemeClr val="dk1"/>
              </a:solidFill>
              <a:effectLst/>
              <a:latin typeface="Times New Roman" panose="02020603050405020304" pitchFamily="18" charset="0"/>
              <a:ea typeface="+mn-ea"/>
              <a:cs typeface="Times New Roman" panose="02020603050405020304" pitchFamily="18" charset="0"/>
            </a:rPr>
            <a:t>on himself and/or Lady Asunder.</a:t>
          </a:r>
          <a:endParaRPr lang="en-US" sz="1200">
            <a:effectLst/>
            <a:latin typeface="Times New Roman" panose="02020603050405020304" pitchFamily="18" charset="0"/>
            <a:cs typeface="Times New Roman" panose="02020603050405020304" pitchFamily="18" charset="0"/>
          </a:endParaRPr>
        </a:p>
        <a:p>
          <a:endParaRPr lang="en-US" sz="1200">
            <a:latin typeface="Times New Roman" panose="02020603050405020304" pitchFamily="18" charset="0"/>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200" baseline="0">
              <a:solidFill>
                <a:schemeClr val="dk1"/>
              </a:solidFill>
              <a:effectLst/>
              <a:latin typeface="Times New Roman" panose="02020603050405020304" pitchFamily="18" charset="0"/>
              <a:ea typeface="+mn-ea"/>
              <a:cs typeface="Times New Roman" panose="02020603050405020304" pitchFamily="18" charset="0"/>
            </a:rPr>
            <a:t>Priority 4:  Casts </a:t>
          </a:r>
          <a:r>
            <a:rPr lang="en-US" sz="1200" i="1" baseline="0">
              <a:solidFill>
                <a:schemeClr val="dk1"/>
              </a:solidFill>
              <a:effectLst/>
              <a:latin typeface="Times New Roman" panose="02020603050405020304" pitchFamily="18" charset="0"/>
              <a:ea typeface="+mn-ea"/>
              <a:cs typeface="Times New Roman" panose="02020603050405020304" pitchFamily="18" charset="0"/>
            </a:rPr>
            <a:t>fly </a:t>
          </a:r>
          <a:r>
            <a:rPr lang="en-US" sz="1200" i="0" baseline="0">
              <a:solidFill>
                <a:schemeClr val="dk1"/>
              </a:solidFill>
              <a:effectLst/>
              <a:latin typeface="Times New Roman" panose="02020603050405020304" pitchFamily="18" charset="0"/>
              <a:ea typeface="+mn-ea"/>
              <a:cs typeface="Times New Roman" panose="02020603050405020304" pitchFamily="18" charset="0"/>
            </a:rPr>
            <a:t>on himself and maybe 1 follower.</a:t>
          </a:r>
          <a:endParaRPr lang="en-US" sz="1200">
            <a:effectLst/>
            <a:latin typeface="Times New Roman" panose="02020603050405020304" pitchFamily="18" charset="0"/>
            <a:cs typeface="Times New Roman" panose="02020603050405020304" pitchFamily="18" charset="0"/>
          </a:endParaRPr>
        </a:p>
        <a:p>
          <a:endParaRPr lang="en-US" sz="1200">
            <a:latin typeface="Times New Roman" panose="02020603050405020304" pitchFamily="18" charset="0"/>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200" baseline="0">
              <a:solidFill>
                <a:schemeClr val="dk1"/>
              </a:solidFill>
              <a:effectLst/>
              <a:latin typeface="Times New Roman" panose="02020603050405020304" pitchFamily="18" charset="0"/>
              <a:ea typeface="+mn-ea"/>
              <a:cs typeface="Times New Roman" panose="02020603050405020304" pitchFamily="18" charset="0"/>
            </a:rPr>
            <a:t>Priority 5:  P</a:t>
          </a:r>
          <a:r>
            <a:rPr lang="en-US" sz="1200" i="0" baseline="0">
              <a:solidFill>
                <a:schemeClr val="dk1"/>
              </a:solidFill>
              <a:effectLst/>
              <a:latin typeface="Times New Roman" panose="02020603050405020304" pitchFamily="18" charset="0"/>
              <a:ea typeface="+mn-ea"/>
              <a:cs typeface="Times New Roman" panose="02020603050405020304" pitchFamily="18" charset="0"/>
            </a:rPr>
            <a:t>ossibly dimounts as Typhoid emerges from the robes.</a:t>
          </a:r>
          <a:endParaRPr lang="en-US" sz="1200">
            <a:effectLst/>
            <a:latin typeface="Times New Roman" panose="02020603050405020304" pitchFamily="18"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7162800" y="0"/>
          <a:ext cx="76200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22860</xdr:colOff>
      <xdr:row>2</xdr:row>
      <xdr:rowOff>0</xdr:rowOff>
    </xdr:from>
    <xdr:to>
      <xdr:col>9</xdr:col>
      <xdr:colOff>640080</xdr:colOff>
      <xdr:row>23</xdr:row>
      <xdr:rowOff>205740</xdr:rowOff>
    </xdr:to>
    <xdr:sp macro="" textlink="">
      <xdr:nvSpPr>
        <xdr:cNvPr id="3" name="Right Brace 2">
          <a:extLst>
            <a:ext uri="{FF2B5EF4-FFF2-40B4-BE49-F238E27FC236}">
              <a16:creationId xmlns:a16="http://schemas.microsoft.com/office/drawing/2014/main" id="{00000000-0008-0000-0300-000003000000}"/>
            </a:ext>
          </a:extLst>
        </xdr:cNvPr>
        <xdr:cNvSpPr/>
      </xdr:nvSpPr>
      <xdr:spPr bwMode="auto">
        <a:xfrm>
          <a:off x="8618220" y="533400"/>
          <a:ext cx="617220" cy="4846320"/>
        </a:xfrm>
        <a:prstGeom prst="rightBrace">
          <a:avLst>
            <a:gd name="adj1" fmla="val 24824"/>
            <a:gd name="adj2" fmla="val 66275"/>
          </a:avLst>
        </a:prstGeom>
        <a:gradFill>
          <a:gsLst>
            <a:gs pos="0">
              <a:srgbClr val="FF3399">
                <a:alpha val="71000"/>
              </a:srgbClr>
            </a:gs>
            <a:gs pos="25000">
              <a:srgbClr val="FF6633">
                <a:alpha val="74000"/>
              </a:srgbClr>
            </a:gs>
            <a:gs pos="50000">
              <a:srgbClr val="FFFF00">
                <a:alpha val="52000"/>
              </a:srgbClr>
            </a:gs>
            <a:gs pos="75000">
              <a:srgbClr val="01A78F">
                <a:alpha val="55000"/>
              </a:srgbClr>
            </a:gs>
            <a:gs pos="100000">
              <a:srgbClr val="3366FF">
                <a:alpha val="45000"/>
              </a:srgbClr>
            </a:gs>
          </a:gsLst>
          <a:lin ang="5400000" scaled="0"/>
        </a:gra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lientData/>
  </xdr:twoCellAnchor>
  <xdr:twoCellAnchor>
    <xdr:from>
      <xdr:col>12</xdr:col>
      <xdr:colOff>243840</xdr:colOff>
      <xdr:row>3</xdr:row>
      <xdr:rowOff>91440</xdr:rowOff>
    </xdr:from>
    <xdr:to>
      <xdr:col>15</xdr:col>
      <xdr:colOff>731520</xdr:colOff>
      <xdr:row>14</xdr:row>
      <xdr:rowOff>167640</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10774680" y="845820"/>
          <a:ext cx="3459480" cy="25069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latin typeface="Times New Roman" panose="02020603050405020304" pitchFamily="18" charset="0"/>
              <a:cs typeface="Times New Roman" panose="02020603050405020304" pitchFamily="18" charset="0"/>
            </a:rPr>
            <a:t>Prep Parameters</a:t>
          </a:r>
        </a:p>
        <a:p>
          <a:endParaRPr lang="en-US" sz="1200">
            <a:latin typeface="Times New Roman" panose="02020603050405020304" pitchFamily="18" charset="0"/>
            <a:cs typeface="Times New Roman" panose="02020603050405020304" pitchFamily="18" charset="0"/>
          </a:endParaRPr>
        </a:p>
        <a:p>
          <a:r>
            <a:rPr lang="en-US" sz="1200">
              <a:latin typeface="Times New Roman" panose="02020603050405020304" pitchFamily="18" charset="0"/>
              <a:cs typeface="Times New Roman" panose="02020603050405020304" pitchFamily="18" charset="0"/>
            </a:rPr>
            <a:t>Assume </a:t>
          </a:r>
          <a:r>
            <a:rPr lang="en-US" sz="1200" i="1">
              <a:latin typeface="Times New Roman" panose="02020603050405020304" pitchFamily="18" charset="0"/>
              <a:cs typeface="Times New Roman" panose="02020603050405020304" pitchFamily="18" charset="0"/>
            </a:rPr>
            <a:t>invisibility</a:t>
          </a:r>
          <a:r>
            <a:rPr lang="en-US" sz="1200" i="0">
              <a:latin typeface="Times New Roman" panose="02020603050405020304" pitchFamily="18" charset="0"/>
              <a:cs typeface="Times New Roman" panose="02020603050405020304" pitchFamily="18" charset="0"/>
            </a:rPr>
            <a:t> as</a:t>
          </a:r>
          <a:r>
            <a:rPr lang="en-US" sz="1200" i="0" baseline="0">
              <a:latin typeface="Times New Roman" panose="02020603050405020304" pitchFamily="18" charset="0"/>
              <a:cs typeface="Times New Roman" panose="02020603050405020304" pitchFamily="18" charset="0"/>
            </a:rPr>
            <a:t> default status in darkness.</a:t>
          </a:r>
        </a:p>
        <a:p>
          <a:endParaRPr lang="en-US" sz="1200">
            <a:latin typeface="Times New Roman" panose="02020603050405020304" pitchFamily="18" charset="0"/>
            <a:cs typeface="Times New Roman" panose="02020603050405020304" pitchFamily="18" charset="0"/>
          </a:endParaRPr>
        </a:p>
        <a:p>
          <a:r>
            <a:rPr lang="en-US" sz="1200">
              <a:latin typeface="Times New Roman" panose="02020603050405020304" pitchFamily="18" charset="0"/>
              <a:cs typeface="Times New Roman" panose="02020603050405020304" pitchFamily="18" charset="0"/>
            </a:rPr>
            <a:t>Cast Empowered </a:t>
          </a:r>
          <a:r>
            <a:rPr lang="en-US" sz="1200" i="1">
              <a:latin typeface="Times New Roman" panose="02020603050405020304" pitchFamily="18" charset="0"/>
              <a:cs typeface="Times New Roman" panose="02020603050405020304" pitchFamily="18" charset="0"/>
            </a:rPr>
            <a:t>enhance</a:t>
          </a:r>
          <a:r>
            <a:rPr lang="en-US" sz="1200" i="1" baseline="0">
              <a:latin typeface="Times New Roman" panose="02020603050405020304" pitchFamily="18" charset="0"/>
              <a:cs typeface="Times New Roman" panose="02020603050405020304" pitchFamily="18" charset="0"/>
            </a:rPr>
            <a:t> familiar </a:t>
          </a:r>
          <a:r>
            <a:rPr lang="en-US" sz="1200" i="0" baseline="0">
              <a:latin typeface="Times New Roman" panose="02020603050405020304" pitchFamily="18" charset="0"/>
              <a:cs typeface="Times New Roman" panose="02020603050405020304" pitchFamily="18" charset="0"/>
            </a:rPr>
            <a:t>on Typhoid.</a:t>
          </a:r>
        </a:p>
        <a:p>
          <a:endParaRPr lang="en-US" sz="1200" i="0" baseline="0">
            <a:latin typeface="Times New Roman" panose="02020603050405020304" pitchFamily="18" charset="0"/>
            <a:cs typeface="Times New Roman" panose="02020603050405020304" pitchFamily="18" charset="0"/>
          </a:endParaRPr>
        </a:p>
        <a:p>
          <a:r>
            <a:rPr lang="en-US" sz="1200" i="0" baseline="0">
              <a:latin typeface="Times New Roman" panose="02020603050405020304" pitchFamily="18" charset="0"/>
              <a:cs typeface="Times New Roman" panose="02020603050405020304" pitchFamily="18" charset="0"/>
            </a:rPr>
            <a:t>Cast Empowered </a:t>
          </a:r>
          <a:r>
            <a:rPr lang="en-US" sz="1200" i="1" baseline="0">
              <a:latin typeface="Times New Roman" panose="02020603050405020304" pitchFamily="18" charset="0"/>
              <a:cs typeface="Times New Roman" panose="02020603050405020304" pitchFamily="18" charset="0"/>
            </a:rPr>
            <a:t>mage armor </a:t>
          </a:r>
          <a:r>
            <a:rPr lang="en-US" sz="1200" i="0" baseline="0">
              <a:latin typeface="Times New Roman" panose="02020603050405020304" pitchFamily="18" charset="0"/>
              <a:cs typeface="Times New Roman" panose="02020603050405020304" pitchFamily="18" charset="0"/>
            </a:rPr>
            <a:t>on self.</a:t>
          </a:r>
        </a:p>
        <a:p>
          <a:endParaRPr lang="en-US" sz="1200" i="0" baseline="0">
            <a:latin typeface="Times New Roman" panose="02020603050405020304" pitchFamily="18" charset="0"/>
            <a:cs typeface="Times New Roman" panose="02020603050405020304" pitchFamily="18" charset="0"/>
          </a:endParaRPr>
        </a:p>
        <a:p>
          <a:r>
            <a:rPr lang="en-US" sz="1200" i="0" baseline="0">
              <a:latin typeface="Times New Roman" panose="02020603050405020304" pitchFamily="18" charset="0"/>
              <a:cs typeface="Times New Roman" panose="02020603050405020304" pitchFamily="18" charset="0"/>
            </a:rPr>
            <a:t>Other priorities:</a:t>
          </a:r>
        </a:p>
        <a:p>
          <a:r>
            <a:rPr lang="en-US" sz="1200" i="0" baseline="0">
              <a:latin typeface="Times New Roman" panose="02020603050405020304" pitchFamily="18" charset="0"/>
              <a:cs typeface="Times New Roman" panose="02020603050405020304" pitchFamily="18" charset="0"/>
            </a:rPr>
            <a:t>Cast </a:t>
          </a:r>
          <a:r>
            <a:rPr lang="en-US" sz="1200" i="1" baseline="0">
              <a:latin typeface="Times New Roman" panose="02020603050405020304" pitchFamily="18" charset="0"/>
              <a:cs typeface="Times New Roman" panose="02020603050405020304" pitchFamily="18" charset="0"/>
            </a:rPr>
            <a:t>bull’s strength </a:t>
          </a:r>
          <a:r>
            <a:rPr lang="en-US" sz="1200" i="0" baseline="0">
              <a:latin typeface="Times New Roman" panose="02020603050405020304" pitchFamily="18" charset="0"/>
              <a:cs typeface="Times New Roman" panose="02020603050405020304" pitchFamily="18" charset="0"/>
            </a:rPr>
            <a:t>on self and/or Lady Asunder.</a:t>
          </a:r>
        </a:p>
        <a:p>
          <a:r>
            <a:rPr lang="en-US" sz="1200" i="0" baseline="0">
              <a:latin typeface="Times New Roman" panose="02020603050405020304" pitchFamily="18" charset="0"/>
              <a:cs typeface="Times New Roman" panose="02020603050405020304" pitchFamily="18" charset="0"/>
            </a:rPr>
            <a:t>Cast </a:t>
          </a:r>
          <a:r>
            <a:rPr lang="en-US" sz="1200" i="1" baseline="0">
              <a:latin typeface="Times New Roman" panose="02020603050405020304" pitchFamily="18" charset="0"/>
              <a:cs typeface="Times New Roman" panose="02020603050405020304" pitchFamily="18" charset="0"/>
            </a:rPr>
            <a:t>enlarge person </a:t>
          </a:r>
          <a:r>
            <a:rPr lang="en-US" sz="1200" i="0" baseline="0">
              <a:latin typeface="Times New Roman" panose="02020603050405020304" pitchFamily="18" charset="0"/>
              <a:cs typeface="Times New Roman" panose="02020603050405020304" pitchFamily="18" charset="0"/>
            </a:rPr>
            <a:t>on self and/or Lady Asunder.</a:t>
          </a:r>
        </a:p>
        <a:p>
          <a:r>
            <a:rPr lang="en-US" sz="1200">
              <a:latin typeface="Times New Roman" panose="02020603050405020304" pitchFamily="18" charset="0"/>
              <a:cs typeface="Times New Roman" panose="02020603050405020304" pitchFamily="18" charset="0"/>
            </a:rPr>
            <a:t>C</a:t>
          </a:r>
          <a:r>
            <a:rPr lang="en-US" sz="1200" baseline="0">
              <a:latin typeface="Times New Roman" panose="02020603050405020304" pitchFamily="18" charset="0"/>
              <a:cs typeface="Times New Roman" panose="02020603050405020304" pitchFamily="18" charset="0"/>
            </a:rPr>
            <a:t>ast </a:t>
          </a:r>
          <a:r>
            <a:rPr lang="en-US" sz="1200" i="1" baseline="0">
              <a:latin typeface="Times New Roman" panose="02020603050405020304" pitchFamily="18" charset="0"/>
              <a:cs typeface="Times New Roman" panose="02020603050405020304" pitchFamily="18" charset="0"/>
            </a:rPr>
            <a:t>fly </a:t>
          </a:r>
          <a:r>
            <a:rPr lang="en-US" sz="1200" i="0" baseline="0">
              <a:latin typeface="Times New Roman" panose="02020603050405020304" pitchFamily="18" charset="0"/>
              <a:cs typeface="Times New Roman" panose="02020603050405020304" pitchFamily="18" charset="0"/>
            </a:rPr>
            <a:t>on self and maybe others.</a:t>
          </a:r>
        </a:p>
        <a:p>
          <a:endParaRPr lang="en-US" sz="1200" i="0" baseline="0">
            <a:latin typeface="Times New Roman" panose="02020603050405020304" pitchFamily="18" charset="0"/>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6396" name="Rectangle 1">
          <a:extLst>
            <a:ext uri="{FF2B5EF4-FFF2-40B4-BE49-F238E27FC236}">
              <a16:creationId xmlns:a16="http://schemas.microsoft.com/office/drawing/2014/main" id="{00000000-0008-0000-0400-00000C400000}"/>
            </a:ext>
          </a:extLst>
        </xdr:cNvPr>
        <xdr:cNvSpPr>
          <a:spLocks noChangeArrowheads="1"/>
        </xdr:cNvSpPr>
      </xdr:nvSpPr>
      <xdr:spPr bwMode="auto">
        <a:xfrm>
          <a:off x="4867275" y="0"/>
          <a:ext cx="78105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1105767</xdr:colOff>
      <xdr:row>9</xdr:row>
      <xdr:rowOff>99060</xdr:rowOff>
    </xdr:from>
    <xdr:to>
      <xdr:col>10</xdr:col>
      <xdr:colOff>266700</xdr:colOff>
      <xdr:row>24</xdr:row>
      <xdr:rowOff>139306</xdr:rowOff>
    </xdr:to>
    <xdr:pic>
      <xdr:nvPicPr>
        <xdr:cNvPr id="3" name="Picture 2" descr="C:\A\Jue\SoF\Images\Scapes\subterranean &amp; exotic\shade.bmp">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5767" y="2247900"/>
          <a:ext cx="2757573" cy="37054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350520</xdr:colOff>
      <xdr:row>1</xdr:row>
      <xdr:rowOff>116205</xdr:rowOff>
    </xdr:from>
    <xdr:to>
      <xdr:col>2</xdr:col>
      <xdr:colOff>1042035</xdr:colOff>
      <xdr:row>2</xdr:row>
      <xdr:rowOff>59055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116204</xdr:colOff>
      <xdr:row>1</xdr:row>
      <xdr:rowOff>32385</xdr:rowOff>
    </xdr:from>
    <xdr:to>
      <xdr:col>12</xdr:col>
      <xdr:colOff>621030</xdr:colOff>
      <xdr:row>16</xdr:row>
      <xdr:rowOff>22860</xdr:rowOff>
    </xdr:to>
    <xdr:pic>
      <xdr:nvPicPr>
        <xdr:cNvPr id="2" name="Picture 1" descr="C:\Users\Owner\Desktop\mirror image plus disguise.jpg">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2784" y="329565"/>
          <a:ext cx="6936106" cy="31070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9</xdr:row>
      <xdr:rowOff>19050</xdr:rowOff>
    </xdr:from>
    <xdr:to>
      <xdr:col>6</xdr:col>
      <xdr:colOff>1343025</xdr:colOff>
      <xdr:row>22</xdr:row>
      <xdr:rowOff>9525</xdr:rowOff>
    </xdr:to>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9525" y="2105025"/>
          <a:ext cx="6896100" cy="2733675"/>
        </a:xfrm>
        <a:prstGeom prst="rect">
          <a:avLst/>
        </a:prstGeom>
        <a:solidFill>
          <a:srgbClr val="FFFFFF">
            <a:alpha val="58000"/>
          </a:srgbClr>
        </a:solidFill>
        <a:ln w="9525">
          <a:solidFill>
            <a:srgbClr val="000000"/>
          </a:solidFill>
          <a:miter lim="800000"/>
          <a:headEnd/>
          <a:tailEnd/>
        </a:ln>
      </xdr:spPr>
      <xdr:txBody>
        <a:bodyPr vertOverflow="clip" wrap="square" lIns="27432" tIns="27432" rIns="0" bIns="0" anchor="t" upright="1"/>
        <a:lstStyle/>
        <a:p>
          <a:pPr marL="0" marR="0" indent="0" algn="just" defTabSz="914400" rtl="0" eaLnBrk="1" fontAlgn="auto" latinLnBrk="0" hangingPunct="1">
            <a:lnSpc>
              <a:spcPct val="100000"/>
            </a:lnSpc>
            <a:spcBef>
              <a:spcPts val="0"/>
            </a:spcBef>
            <a:spcAft>
              <a:spcPts val="0"/>
            </a:spcAft>
            <a:buClrTx/>
            <a:buSzTx/>
            <a:buFontTx/>
            <a:buNone/>
            <a:tabLst/>
            <a:defRPr sz="1000"/>
          </a:pPr>
          <a:r>
            <a:rPr lang="en-US" sz="1200" b="1" i="0" baseline="0">
              <a:effectLst/>
              <a:latin typeface="+mn-lt"/>
              <a:ea typeface="+mn-ea"/>
              <a:cs typeface="Times New Roman" pitchFamily="18" charset="0"/>
            </a:rPr>
            <a:t>Full Attack:  </a:t>
          </a:r>
          <a:r>
            <a:rPr lang="en-US" sz="1200" b="0" i="0" baseline="0">
              <a:effectLst/>
              <a:latin typeface="+mn-lt"/>
              <a:ea typeface="+mn-ea"/>
              <a:cs typeface="Times New Roman" pitchFamily="18" charset="0"/>
            </a:rPr>
            <a:t>BAB +3 (+4 at night), 2 claws (+8, 1d3 - 1 + poison) and bite (+3, 1d4+1) are chaotic and evil for purposes of overcoming DR.</a:t>
          </a:r>
          <a:endParaRPr lang="en-US" sz="1200">
            <a:effectLst/>
            <a:latin typeface="+mn-lt"/>
            <a:cs typeface="Times New Roman" pitchFamily="18" charset="0"/>
          </a:endParaRPr>
        </a:p>
        <a:p>
          <a:pPr algn="just" rtl="0">
            <a:defRPr sz="1000"/>
          </a:pPr>
          <a:r>
            <a:rPr lang="en-US" sz="1200" b="1" i="0" u="none" strike="noStrike" baseline="0">
              <a:solidFill>
                <a:srgbClr val="000000"/>
              </a:solidFill>
              <a:latin typeface="+mn-lt"/>
              <a:cs typeface="Times New Roman" pitchFamily="18" charset="0"/>
            </a:rPr>
            <a:t>Skills:</a:t>
          </a:r>
          <a:r>
            <a:rPr lang="en-US" sz="1200" b="0" i="0" u="none" strike="noStrike" baseline="0">
              <a:solidFill>
                <a:srgbClr val="000000"/>
              </a:solidFill>
              <a:latin typeface="+mn-lt"/>
              <a:cs typeface="Times New Roman" pitchFamily="18" charset="0"/>
            </a:rPr>
            <a:t>  Bluff +6, Diplomacy +2, Disguise +0 (+2 acting), Hide +17, Intimidate +2, K: </a:t>
          </a:r>
          <a:r>
            <a:rPr lang="en-US" sz="1200" b="0" i="0" u="none" strike="noStrike" baseline="0">
              <a:solidFill>
                <a:sysClr val="windowText" lastClr="000000"/>
              </a:solidFill>
              <a:latin typeface="+mn-lt"/>
              <a:cs typeface="Times New Roman" pitchFamily="18" charset="0"/>
            </a:rPr>
            <a:t>Dungeoneering</a:t>
          </a:r>
          <a:r>
            <a:rPr lang="en-US" sz="1200" b="0" i="0" u="none" strike="noStrike" baseline="0">
              <a:solidFill>
                <a:srgbClr val="000000"/>
              </a:solidFill>
              <a:latin typeface="+mn-lt"/>
              <a:cs typeface="Times New Roman" pitchFamily="18" charset="0"/>
            </a:rPr>
            <a:t> +6, Listen +7, Move Silently +9, Search +6, Spellcraft +6, Spot +6.</a:t>
          </a:r>
        </a:p>
        <a:p>
          <a:pPr algn="just" rtl="0">
            <a:defRPr sz="1000"/>
          </a:pPr>
          <a:r>
            <a:rPr lang="en-US" sz="1200" b="1" i="0" baseline="0">
              <a:effectLst/>
              <a:latin typeface="+mn-lt"/>
              <a:ea typeface="+mn-ea"/>
              <a:cs typeface="Times New Roman" pitchFamily="18" charset="0"/>
            </a:rPr>
            <a:t>Feats:  </a:t>
          </a:r>
          <a:r>
            <a:rPr lang="en-US" sz="1200" b="0" i="0" baseline="0">
              <a:effectLst/>
              <a:latin typeface="+mn-lt"/>
              <a:ea typeface="+mn-ea"/>
              <a:cs typeface="Times New Roman" pitchFamily="18" charset="0"/>
            </a:rPr>
            <a:t>Alertness, Improved Evasion, Improved Initiative, Weapon Finesse (claws).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n-US" sz="1200" b="1" i="0" baseline="0">
              <a:effectLst/>
              <a:latin typeface="+mn-lt"/>
              <a:ea typeface="+mn-ea"/>
              <a:cs typeface="Times New Roman" pitchFamily="18" charset="0"/>
            </a:rPr>
            <a:t>Special Qualities:  </a:t>
          </a:r>
          <a:r>
            <a:rPr lang="en-US" sz="1200" b="0" i="0" baseline="0">
              <a:effectLst/>
              <a:latin typeface="+mn-lt"/>
              <a:ea typeface="+mn-ea"/>
              <a:cs typeface="Times New Roman" pitchFamily="18" charset="0"/>
            </a:rPr>
            <a:t>DR 5/cold iron or good, Darkvision 60</a:t>
          </a:r>
          <a:r>
            <a:rPr lang="en-US" sz="1000" b="0" i="0" baseline="0">
              <a:effectLst/>
              <a:latin typeface="+mn-lt"/>
              <a:ea typeface="+mn-ea"/>
              <a:cs typeface="+mn-cs"/>
            </a:rPr>
            <a:t>’</a:t>
          </a:r>
          <a:r>
            <a:rPr lang="en-US" sz="1200" b="0" i="0" baseline="0">
              <a:effectLst/>
              <a:latin typeface="+mn-lt"/>
              <a:ea typeface="+mn-ea"/>
              <a:cs typeface="Times New Roman" pitchFamily="18" charset="0"/>
            </a:rPr>
            <a:t>, Fast Healing 2, Immunity to Poison, Resistance to Fire (10), Deliver Touch Spell; Improved Evasion</a:t>
          </a:r>
          <a:r>
            <a:rPr lang="en-US" sz="1000" b="0" i="0" baseline="0">
              <a:effectLst/>
              <a:latin typeface="+mn-lt"/>
              <a:ea typeface="+mn-ea"/>
              <a:cs typeface="+mn-cs"/>
            </a:rPr>
            <a:t>;</a:t>
          </a:r>
          <a:r>
            <a:rPr lang="en-US" sz="1200" b="0" i="0" baseline="0">
              <a:effectLst/>
              <a:latin typeface="+mn-lt"/>
              <a:ea typeface="+mn-ea"/>
              <a:cs typeface="Times New Roman" pitchFamily="18" charset="0"/>
            </a:rPr>
            <a:t> Share Spells</a:t>
          </a:r>
          <a:r>
            <a:rPr lang="en-US" sz="1000" b="0" i="0" baseline="0">
              <a:effectLst/>
              <a:latin typeface="+mn-lt"/>
              <a:ea typeface="+mn-ea"/>
              <a:cs typeface="+mn-cs"/>
            </a:rPr>
            <a:t>;</a:t>
          </a:r>
          <a:r>
            <a:rPr lang="en-US" sz="1200" b="0" i="0" baseline="0">
              <a:effectLst/>
              <a:latin typeface="+mn-lt"/>
              <a:ea typeface="+mn-ea"/>
              <a:cs typeface="Times New Roman" pitchFamily="18" charset="0"/>
            </a:rPr>
            <a:t> Empathic Link</a:t>
          </a:r>
          <a:r>
            <a:rPr lang="en-US" sz="1000" b="0" i="0" baseline="0">
              <a:effectLst/>
              <a:latin typeface="+mn-lt"/>
              <a:ea typeface="+mn-ea"/>
              <a:cs typeface="+mn-cs"/>
            </a:rPr>
            <a:t>;</a:t>
          </a:r>
          <a:r>
            <a:rPr lang="en-US" sz="1200" b="0" i="0" baseline="0">
              <a:effectLst/>
              <a:latin typeface="+mn-lt"/>
              <a:ea typeface="+mn-ea"/>
              <a:cs typeface="Times New Roman" pitchFamily="18" charset="0"/>
            </a:rPr>
            <a:t> Poison (Fort DC 13; initial damage 1d4 Dex, secondary damage 2d4 Dex.  Save DC is Con-based and includes +2 racial bonus).</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n-US" sz="1200" b="0" i="0" baseline="0">
            <a:effectLst/>
            <a:latin typeface="+mn-lt"/>
            <a:ea typeface="+mn-ea"/>
            <a:cs typeface="Times New Roman" pitchFamily="18"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n-US" sz="1200" b="1" i="0" baseline="0">
              <a:effectLst/>
              <a:latin typeface="+mn-lt"/>
              <a:ea typeface="+mn-ea"/>
              <a:cs typeface="Times New Roman" pitchFamily="18" charset="0"/>
            </a:rPr>
            <a:t>Spell-like Abilities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n-US" sz="1200" b="1" i="0" baseline="0">
              <a:effectLst/>
              <a:latin typeface="+mn-lt"/>
              <a:ea typeface="+mn-ea"/>
              <a:cs typeface="Times New Roman" pitchFamily="18" charset="0"/>
            </a:rPr>
            <a:t>At will:  </a:t>
          </a:r>
          <a:r>
            <a:rPr lang="en-US" sz="1200" b="0" i="0" baseline="0">
              <a:effectLst/>
              <a:latin typeface="+mn-lt"/>
              <a:ea typeface="+mn-ea"/>
              <a:cs typeface="Times New Roman" pitchFamily="18" charset="0"/>
            </a:rPr>
            <a:t>Detect Good, Detect Magic, Invisibility</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n-US" sz="1200" b="1" i="0" baseline="0">
              <a:effectLst/>
              <a:latin typeface="+mn-lt"/>
              <a:ea typeface="+mn-ea"/>
              <a:cs typeface="Times New Roman" pitchFamily="18" charset="0"/>
            </a:rPr>
            <a:t>1/day:  </a:t>
          </a:r>
          <a:r>
            <a:rPr lang="en-US" sz="1200" b="0" i="0" baseline="0">
              <a:effectLst/>
              <a:latin typeface="+mn-lt"/>
              <a:ea typeface="+mn-ea"/>
              <a:cs typeface="Times New Roman" pitchFamily="18" charset="0"/>
            </a:rPr>
            <a:t>Cause Fear (30</a:t>
          </a:r>
          <a:r>
            <a:rPr lang="en-US" sz="1000" b="0" i="0" baseline="0">
              <a:effectLst/>
              <a:latin typeface="+mn-lt"/>
              <a:ea typeface="+mn-ea"/>
              <a:cs typeface="+mn-cs"/>
            </a:rPr>
            <a:t>’</a:t>
          </a:r>
          <a:r>
            <a:rPr lang="en-US" sz="1200" b="0" i="0" baseline="0">
              <a:effectLst/>
              <a:latin typeface="+mn-lt"/>
              <a:ea typeface="+mn-ea"/>
              <a:cs typeface="Times New Roman" pitchFamily="18" charset="0"/>
            </a:rPr>
            <a:t> radius from quasit, Cha-based save DC 11, caster level based on PC ECL)</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n-US" sz="1200" b="1" i="0" baseline="0">
              <a:effectLst/>
              <a:latin typeface="+mn-lt"/>
              <a:ea typeface="+mn-ea"/>
              <a:cs typeface="Times New Roman" pitchFamily="18" charset="0"/>
            </a:rPr>
            <a:t>1/week:  </a:t>
          </a:r>
          <a:r>
            <a:rPr lang="en-US" sz="1200" b="0" i="0" baseline="0">
              <a:effectLst/>
              <a:latin typeface="+mn-lt"/>
              <a:ea typeface="+mn-ea"/>
              <a:cs typeface="Times New Roman" pitchFamily="18" charset="0"/>
            </a:rPr>
            <a:t>Commune as caster 12th</a:t>
          </a:r>
          <a:endParaRPr lang="en-US" sz="1200" b="1" i="0" baseline="0">
            <a:effectLst/>
            <a:latin typeface="+mn-lt"/>
            <a:ea typeface="+mn-ea"/>
            <a:cs typeface="Times New Roman" pitchFamily="18"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n-US" sz="1200" b="1" i="0" baseline="0">
              <a:effectLst/>
              <a:latin typeface="+mn-lt"/>
              <a:ea typeface="+mn-ea"/>
              <a:cs typeface="Times New Roman" pitchFamily="18" charset="0"/>
            </a:rPr>
            <a:t>Alternate Form:  </a:t>
          </a:r>
          <a:r>
            <a:rPr lang="en-US" sz="1200" b="0" i="0" baseline="0">
              <a:effectLst/>
              <a:latin typeface="+mn-lt"/>
              <a:ea typeface="+mn-ea"/>
              <a:cs typeface="Times New Roman" pitchFamily="18" charset="0"/>
            </a:rPr>
            <a:t>Polymorph as caster 12th, no HP regained, limited to 2 forms no larger than Medium (raven, monkey).</a:t>
          </a:r>
          <a:endParaRPr lang="en-US" sz="1200">
            <a:effectLst/>
            <a:latin typeface="+mn-lt"/>
            <a:cs typeface="Times New Roman" pitchFamily="18" charset="0"/>
          </a:endParaRPr>
        </a:p>
      </xdr:txBody>
    </xdr:sp>
    <xdr:clientData/>
  </xdr:twoCellAnchor>
  <xdr:twoCellAnchor>
    <xdr:from>
      <xdr:col>5</xdr:col>
      <xdr:colOff>30480</xdr:colOff>
      <xdr:row>5</xdr:row>
      <xdr:rowOff>0</xdr:rowOff>
    </xdr:from>
    <xdr:to>
      <xdr:col>5</xdr:col>
      <xdr:colOff>678180</xdr:colOff>
      <xdr:row>9</xdr:row>
      <xdr:rowOff>0</xdr:rowOff>
    </xdr:to>
    <xdr:sp macro="" textlink="">
      <xdr:nvSpPr>
        <xdr:cNvPr id="5" name="TextBox 4">
          <a:extLst>
            <a:ext uri="{FF2B5EF4-FFF2-40B4-BE49-F238E27FC236}">
              <a16:creationId xmlns:a16="http://schemas.microsoft.com/office/drawing/2014/main" id="{00000000-0008-0000-0700-000005000000}"/>
            </a:ext>
          </a:extLst>
        </xdr:cNvPr>
        <xdr:cNvSpPr txBox="1"/>
      </xdr:nvSpPr>
      <xdr:spPr>
        <a:xfrm>
          <a:off x="3909060" y="1249680"/>
          <a:ext cx="647700" cy="861060"/>
        </a:xfrm>
        <a:prstGeom prst="rect">
          <a:avLst/>
        </a:prstGeom>
        <a:solidFill>
          <a:srgbClr val="FFFF00">
            <a:alpha val="59000"/>
          </a:srgb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50" b="0" i="1">
              <a:solidFill>
                <a:sysClr val="windowText" lastClr="000000"/>
              </a:solidFill>
              <a:latin typeface="Times New Roman" panose="02020603050405020304" pitchFamily="18" charset="0"/>
              <a:cs typeface="Times New Roman" panose="02020603050405020304" pitchFamily="18" charset="0"/>
            </a:rPr>
            <a:t>enhance familiar +2</a:t>
          </a:r>
          <a:endParaRPr lang="en-US" sz="1050" b="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twoCellAnchor>
    <xdr:from>
      <xdr:col>1</xdr:col>
      <xdr:colOff>236220</xdr:colOff>
      <xdr:row>8</xdr:row>
      <xdr:rowOff>175260</xdr:rowOff>
    </xdr:from>
    <xdr:to>
      <xdr:col>1</xdr:col>
      <xdr:colOff>670560</xdr:colOff>
      <xdr:row>9</xdr:row>
      <xdr:rowOff>182880</xdr:rowOff>
    </xdr:to>
    <xdr:sp macro="" textlink="">
      <xdr:nvSpPr>
        <xdr:cNvPr id="8" name="TextBox 7">
          <a:extLst>
            <a:ext uri="{FF2B5EF4-FFF2-40B4-BE49-F238E27FC236}">
              <a16:creationId xmlns:a16="http://schemas.microsoft.com/office/drawing/2014/main" id="{00000000-0008-0000-0700-000008000000}"/>
            </a:ext>
          </a:extLst>
        </xdr:cNvPr>
        <xdr:cNvSpPr txBox="1"/>
      </xdr:nvSpPr>
      <xdr:spPr>
        <a:xfrm>
          <a:off x="1264920" y="2065020"/>
          <a:ext cx="434340" cy="228600"/>
        </a:xfrm>
        <a:prstGeom prst="rect">
          <a:avLst/>
        </a:prstGeom>
        <a:solidFill>
          <a:srgbClr val="FFFF00">
            <a:alpha val="59000"/>
          </a:srgb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b="1" i="1">
              <a:solidFill>
                <a:sysClr val="windowText" lastClr="000000"/>
              </a:solidFill>
              <a:latin typeface="Times New Roman" panose="02020603050405020304" pitchFamily="18" charset="0"/>
              <a:cs typeface="Times New Roman" panose="02020603050405020304" pitchFamily="18" charset="0"/>
            </a:rPr>
            <a:t>+2</a:t>
          </a:r>
          <a:endParaRPr lang="en-US" sz="1400" b="1">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twoCellAnchor editAs="oneCell">
    <xdr:from>
      <xdr:col>6</xdr:col>
      <xdr:colOff>30576</xdr:colOff>
      <xdr:row>3</xdr:row>
      <xdr:rowOff>35053</xdr:rowOff>
    </xdr:from>
    <xdr:to>
      <xdr:col>6</xdr:col>
      <xdr:colOff>861059</xdr:colOff>
      <xdr:row>8</xdr:row>
      <xdr:rowOff>182881</xdr:rowOff>
    </xdr:to>
    <xdr:pic>
      <xdr:nvPicPr>
        <xdr:cNvPr id="4" name="Picture 3" descr="C:\A\Jue\SoF\quasit 3.jpg">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44536" y="850393"/>
          <a:ext cx="830483" cy="12603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21</xdr:col>
      <xdr:colOff>632460</xdr:colOff>
      <xdr:row>9</xdr:row>
      <xdr:rowOff>23722</xdr:rowOff>
    </xdr:from>
    <xdr:to>
      <xdr:col>22</xdr:col>
      <xdr:colOff>541019</xdr:colOff>
      <xdr:row>14</xdr:row>
      <xdr:rowOff>48510</xdr:rowOff>
    </xdr:to>
    <xdr:pic>
      <xdr:nvPicPr>
        <xdr:cNvPr id="2" name="Picture 1">
          <a:extLst>
            <a:ext uri="{FF2B5EF4-FFF2-40B4-BE49-F238E27FC236}">
              <a16:creationId xmlns:a16="http://schemas.microsoft.com/office/drawing/2014/main" id="{71280885-05BB-4BDC-82BF-7B47D76BE7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47960" y="4831942"/>
          <a:ext cx="579119" cy="10153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0</xdr:colOff>
      <xdr:row>8</xdr:row>
      <xdr:rowOff>30479</xdr:rowOff>
    </xdr:from>
    <xdr:to>
      <xdr:col>23</xdr:col>
      <xdr:colOff>7619</xdr:colOff>
      <xdr:row>24</xdr:row>
      <xdr:rowOff>29786</xdr:rowOff>
    </xdr:to>
    <xdr:pic>
      <xdr:nvPicPr>
        <xdr:cNvPr id="3" name="Picture 2">
          <a:extLst>
            <a:ext uri="{FF2B5EF4-FFF2-40B4-BE49-F238E27FC236}">
              <a16:creationId xmlns:a16="http://schemas.microsoft.com/office/drawing/2014/main" id="{7CC195CC-DE2F-0B3C-26A3-4E58FE8DADF9}"/>
            </a:ext>
          </a:extLst>
        </xdr:cNvPr>
        <xdr:cNvPicPr>
          <a:picLocks noChangeAspect="1"/>
        </xdr:cNvPicPr>
      </xdr:nvPicPr>
      <xdr:blipFill>
        <a:blip xmlns:r="http://schemas.openxmlformats.org/officeDocument/2006/relationships" r:embed="rId2"/>
        <a:stretch>
          <a:fillRect/>
        </a:stretch>
      </xdr:blipFill>
      <xdr:spPr>
        <a:xfrm>
          <a:off x="10386060" y="4640579"/>
          <a:ext cx="3428999" cy="316922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3"/>
  <sheetViews>
    <sheetView showGridLines="0" tabSelected="1" zoomScaleNormal="100" workbookViewId="0"/>
  </sheetViews>
  <sheetFormatPr defaultColWidth="13" defaultRowHeight="15.6" x14ac:dyDescent="0.3"/>
  <cols>
    <col min="1" max="1" width="14.796875" style="58" customWidth="1"/>
    <col min="2" max="2" width="10" style="59" customWidth="1"/>
    <col min="3" max="3" width="5.09765625" style="59" customWidth="1"/>
    <col min="4" max="4" width="14.3984375" style="58" bestFit="1" customWidth="1"/>
    <col min="5" max="5" width="10.8984375" style="59" bestFit="1" customWidth="1"/>
    <col min="6" max="6" width="14" style="58" customWidth="1"/>
    <col min="7" max="7" width="14" style="59" customWidth="1"/>
    <col min="8" max="16384" width="13" style="8"/>
  </cols>
  <sheetData>
    <row r="1" spans="1:7" ht="30" thickTop="1" thickBot="1" x14ac:dyDescent="0.35">
      <c r="A1" s="2" t="s">
        <v>107</v>
      </c>
      <c r="B1" s="3" t="s">
        <v>106</v>
      </c>
      <c r="C1" s="4"/>
      <c r="D1" s="5"/>
      <c r="E1" s="6"/>
      <c r="F1" s="5"/>
      <c r="G1" s="7" t="s">
        <v>221</v>
      </c>
    </row>
    <row r="2" spans="1:7" ht="18" thickTop="1" x14ac:dyDescent="0.3">
      <c r="A2" s="9" t="s">
        <v>273</v>
      </c>
      <c r="B2" s="10" t="s">
        <v>177</v>
      </c>
      <c r="C2" s="10"/>
      <c r="D2" s="11" t="s">
        <v>276</v>
      </c>
      <c r="E2" s="12" t="s">
        <v>93</v>
      </c>
      <c r="F2" s="11"/>
      <c r="G2" s="13"/>
    </row>
    <row r="3" spans="1:7" ht="17.399999999999999" x14ac:dyDescent="0.3">
      <c r="A3" s="9" t="s">
        <v>274</v>
      </c>
      <c r="B3" s="10" t="s">
        <v>155</v>
      </c>
      <c r="C3" s="10"/>
      <c r="D3" s="11" t="s">
        <v>126</v>
      </c>
      <c r="E3" s="12">
        <v>14</v>
      </c>
      <c r="F3" s="11"/>
      <c r="G3" s="13"/>
    </row>
    <row r="4" spans="1:7" ht="17.399999999999999" x14ac:dyDescent="0.3">
      <c r="A4" s="9" t="s">
        <v>367</v>
      </c>
      <c r="B4" s="10" t="s">
        <v>101</v>
      </c>
      <c r="C4" s="10"/>
      <c r="D4" s="11" t="s">
        <v>126</v>
      </c>
      <c r="E4" s="12">
        <v>2</v>
      </c>
      <c r="F4" s="11"/>
      <c r="G4" s="13"/>
    </row>
    <row r="5" spans="1:7" ht="17.399999999999999" x14ac:dyDescent="0.3">
      <c r="A5" s="9" t="s">
        <v>368</v>
      </c>
      <c r="B5" s="14" t="s">
        <v>186</v>
      </c>
      <c r="C5" s="10"/>
      <c r="D5" s="11"/>
      <c r="E5" s="12"/>
      <c r="F5" s="11"/>
      <c r="G5" s="13"/>
    </row>
    <row r="6" spans="1:7" ht="17.399999999999999" x14ac:dyDescent="0.3">
      <c r="A6" s="9" t="s">
        <v>452</v>
      </c>
      <c r="B6" s="10" t="s">
        <v>453</v>
      </c>
      <c r="C6" s="10"/>
      <c r="D6" s="11" t="s">
        <v>369</v>
      </c>
      <c r="E6" s="12" t="s">
        <v>205</v>
      </c>
      <c r="F6" s="11"/>
      <c r="G6" s="13"/>
    </row>
    <row r="7" spans="1:7" ht="18" thickBot="1" x14ac:dyDescent="0.35">
      <c r="A7" s="9" t="s">
        <v>366</v>
      </c>
      <c r="B7" s="10" t="s">
        <v>324</v>
      </c>
      <c r="C7" s="10"/>
      <c r="D7" s="11" t="s">
        <v>370</v>
      </c>
      <c r="E7" s="12" t="s">
        <v>94</v>
      </c>
      <c r="F7" s="11"/>
      <c r="G7" s="13"/>
    </row>
    <row r="8" spans="1:7" ht="18.600000000000001" thickTop="1" thickBot="1" x14ac:dyDescent="0.4">
      <c r="A8" s="15" t="s">
        <v>371</v>
      </c>
      <c r="B8" s="16">
        <f>ROUNDDOWN((E3)*3/4,0)</f>
        <v>10</v>
      </c>
      <c r="C8" s="17"/>
      <c r="D8" s="18" t="s">
        <v>372</v>
      </c>
      <c r="E8" s="19" t="s">
        <v>206</v>
      </c>
      <c r="F8" s="11"/>
      <c r="G8" s="13"/>
    </row>
    <row r="9" spans="1:7" ht="17.399999999999999" x14ac:dyDescent="0.35">
      <c r="A9" s="20" t="s">
        <v>373</v>
      </c>
      <c r="B9" s="21">
        <f>15+2+2+4</f>
        <v>23</v>
      </c>
      <c r="C9" s="22" t="str">
        <f t="shared" ref="C9:C14" si="0">IF(B9&gt;9.9,CONCATENATE("+",ROUNDDOWN((B9-10)/2,0)),ROUNDUP((B9-10)/2,0))</f>
        <v>+6</v>
      </c>
      <c r="D9" s="23" t="s">
        <v>374</v>
      </c>
      <c r="E9" s="24" t="s">
        <v>418</v>
      </c>
      <c r="F9" s="25"/>
      <c r="G9" s="13"/>
    </row>
    <row r="10" spans="1:7" ht="17.399999999999999" x14ac:dyDescent="0.3">
      <c r="A10" s="26" t="s">
        <v>375</v>
      </c>
      <c r="B10" s="27">
        <f>12+2+4</f>
        <v>18</v>
      </c>
      <c r="C10" s="28" t="str">
        <f t="shared" si="0"/>
        <v>+4</v>
      </c>
      <c r="D10" s="29" t="s">
        <v>376</v>
      </c>
      <c r="E10" s="30">
        <f>SUM(Martial!$G$3:$G$25)+SUM(Equipment!$C$3:$C$16)</f>
        <v>41.7</v>
      </c>
      <c r="F10" s="25"/>
      <c r="G10" s="13"/>
    </row>
    <row r="11" spans="1:7" ht="17.399999999999999" x14ac:dyDescent="0.3">
      <c r="A11" s="31" t="s">
        <v>377</v>
      </c>
      <c r="B11" s="32">
        <f>12</f>
        <v>12</v>
      </c>
      <c r="C11" s="33" t="str">
        <f t="shared" si="0"/>
        <v>+1</v>
      </c>
      <c r="D11" s="29" t="s">
        <v>378</v>
      </c>
      <c r="E11" s="34">
        <f>ROUNDUP(((E3*8)*0.75)+(E3*C11),0)</f>
        <v>98</v>
      </c>
      <c r="F11" s="25"/>
      <c r="G11" s="13"/>
    </row>
    <row r="12" spans="1:7" ht="17.399999999999999" x14ac:dyDescent="0.3">
      <c r="A12" s="35" t="s">
        <v>379</v>
      </c>
      <c r="B12" s="32">
        <v>12</v>
      </c>
      <c r="C12" s="28" t="str">
        <f t="shared" si="0"/>
        <v>+1</v>
      </c>
      <c r="D12" s="36" t="s">
        <v>380</v>
      </c>
      <c r="E12" s="37">
        <f>10+C10</f>
        <v>14</v>
      </c>
      <c r="F12" s="9"/>
      <c r="G12" s="13"/>
    </row>
    <row r="13" spans="1:7" ht="17.399999999999999" x14ac:dyDescent="0.3">
      <c r="A13" s="38" t="s">
        <v>381</v>
      </c>
      <c r="B13" s="32">
        <f>10</f>
        <v>10</v>
      </c>
      <c r="C13" s="28" t="str">
        <f t="shared" si="0"/>
        <v>+0</v>
      </c>
      <c r="D13" s="36" t="s">
        <v>382</v>
      </c>
      <c r="E13" s="37">
        <f>E14-C10</f>
        <v>20</v>
      </c>
      <c r="F13" s="25"/>
      <c r="G13" s="13"/>
    </row>
    <row r="14" spans="1:7" ht="18" thickBot="1" x14ac:dyDescent="0.35">
      <c r="A14" s="39" t="s">
        <v>383</v>
      </c>
      <c r="B14" s="40">
        <f>18+6</f>
        <v>24</v>
      </c>
      <c r="C14" s="41" t="str">
        <f t="shared" si="0"/>
        <v>+7</v>
      </c>
      <c r="D14" s="42" t="s">
        <v>283</v>
      </c>
      <c r="E14" s="43">
        <f>E12+SUM(Martial!B20:B21)</f>
        <v>24</v>
      </c>
      <c r="F14" s="25"/>
      <c r="G14" s="13"/>
    </row>
    <row r="15" spans="1:7" ht="24.6" thickTop="1" thickBot="1" x14ac:dyDescent="0.35">
      <c r="A15" s="44" t="s">
        <v>23</v>
      </c>
      <c r="B15" s="45"/>
      <c r="C15" s="45"/>
      <c r="D15" s="46"/>
      <c r="E15" s="46"/>
      <c r="F15" s="46"/>
      <c r="G15" s="47"/>
    </row>
    <row r="16" spans="1:7" s="51" customFormat="1" ht="18" thickTop="1" x14ac:dyDescent="0.3">
      <c r="A16" s="48"/>
      <c r="B16" s="49"/>
      <c r="C16" s="49"/>
      <c r="D16" s="49"/>
      <c r="E16" s="49"/>
      <c r="F16" s="49"/>
      <c r="G16" s="50"/>
    </row>
    <row r="17" spans="1:7" s="51" customFormat="1" ht="17.399999999999999" x14ac:dyDescent="0.3">
      <c r="A17" s="52"/>
      <c r="B17" s="53"/>
      <c r="C17" s="53"/>
      <c r="D17" s="53"/>
      <c r="E17" s="53"/>
      <c r="F17" s="53"/>
      <c r="G17" s="54"/>
    </row>
    <row r="18" spans="1:7" s="51" customFormat="1" ht="17.399999999999999" x14ac:dyDescent="0.3">
      <c r="A18" s="52"/>
      <c r="B18" s="53"/>
      <c r="C18" s="53"/>
      <c r="D18" s="53"/>
      <c r="E18" s="53"/>
      <c r="F18" s="53"/>
      <c r="G18" s="54"/>
    </row>
    <row r="19" spans="1:7" s="51" customFormat="1" ht="17.399999999999999" x14ac:dyDescent="0.3">
      <c r="A19" s="52"/>
      <c r="B19" s="53"/>
      <c r="C19" s="53"/>
      <c r="D19" s="53"/>
      <c r="E19" s="53"/>
      <c r="F19" s="53"/>
      <c r="G19" s="54"/>
    </row>
    <row r="20" spans="1:7" s="51" customFormat="1" ht="17.399999999999999" x14ac:dyDescent="0.3">
      <c r="A20" s="52"/>
      <c r="B20" s="53"/>
      <c r="C20" s="53"/>
      <c r="D20" s="53"/>
      <c r="E20" s="53"/>
      <c r="F20" s="53"/>
      <c r="G20" s="54"/>
    </row>
    <row r="21" spans="1:7" s="51" customFormat="1" ht="17.399999999999999" x14ac:dyDescent="0.3">
      <c r="A21" s="52"/>
      <c r="B21" s="53"/>
      <c r="C21" s="53"/>
      <c r="D21" s="53"/>
      <c r="E21" s="53"/>
      <c r="F21" s="53"/>
      <c r="G21" s="54"/>
    </row>
    <row r="22" spans="1:7" s="51" customFormat="1" ht="17.399999999999999" x14ac:dyDescent="0.3">
      <c r="A22" s="52"/>
      <c r="B22" s="53"/>
      <c r="C22" s="53"/>
      <c r="D22" s="53"/>
      <c r="E22" s="53"/>
      <c r="F22" s="53"/>
      <c r="G22" s="54"/>
    </row>
    <row r="23" spans="1:7" s="51" customFormat="1" ht="17.399999999999999" x14ac:dyDescent="0.3">
      <c r="A23" s="52"/>
      <c r="B23" s="53"/>
      <c r="C23" s="53"/>
      <c r="D23" s="53"/>
      <c r="E23" s="53"/>
      <c r="F23" s="53"/>
      <c r="G23" s="54"/>
    </row>
    <row r="24" spans="1:7" s="51" customFormat="1" ht="17.399999999999999" x14ac:dyDescent="0.3">
      <c r="A24" s="52"/>
      <c r="B24" s="53"/>
      <c r="C24" s="53"/>
      <c r="D24" s="53"/>
      <c r="E24" s="53"/>
      <c r="F24" s="53"/>
      <c r="G24" s="54"/>
    </row>
    <row r="25" spans="1:7" s="51" customFormat="1" ht="17.399999999999999" x14ac:dyDescent="0.3">
      <c r="A25" s="52"/>
      <c r="B25" s="53"/>
      <c r="C25" s="53"/>
      <c r="D25" s="53"/>
      <c r="E25" s="53"/>
      <c r="F25" s="53"/>
      <c r="G25" s="54"/>
    </row>
    <row r="26" spans="1:7" s="51" customFormat="1" ht="17.399999999999999" x14ac:dyDescent="0.3">
      <c r="A26" s="52"/>
      <c r="B26" s="53"/>
      <c r="C26" s="53"/>
      <c r="D26" s="53"/>
      <c r="E26" s="53"/>
      <c r="F26" s="53"/>
      <c r="G26" s="54"/>
    </row>
    <row r="27" spans="1:7" s="51" customFormat="1" ht="17.399999999999999" x14ac:dyDescent="0.3">
      <c r="A27" s="52"/>
      <c r="B27" s="53"/>
      <c r="C27" s="53"/>
      <c r="D27" s="53"/>
      <c r="E27" s="53"/>
      <c r="F27" s="53"/>
      <c r="G27" s="54"/>
    </row>
    <row r="28" spans="1:7" s="51" customFormat="1" ht="17.399999999999999" x14ac:dyDescent="0.3">
      <c r="A28" s="52"/>
      <c r="B28" s="53"/>
      <c r="C28" s="53"/>
      <c r="D28" s="53"/>
      <c r="E28" s="53"/>
      <c r="F28" s="53"/>
      <c r="G28" s="54"/>
    </row>
    <row r="29" spans="1:7" s="51" customFormat="1" ht="17.399999999999999" x14ac:dyDescent="0.3">
      <c r="A29" s="52"/>
      <c r="B29" s="53"/>
      <c r="C29" s="53"/>
      <c r="D29" s="53"/>
      <c r="E29" s="53"/>
      <c r="F29" s="53"/>
      <c r="G29" s="54"/>
    </row>
    <row r="30" spans="1:7" s="51" customFormat="1" ht="17.399999999999999" x14ac:dyDescent="0.3">
      <c r="A30" s="52"/>
      <c r="B30" s="53"/>
      <c r="C30" s="53"/>
      <c r="D30" s="53"/>
      <c r="E30" s="53"/>
      <c r="F30" s="53"/>
      <c r="G30" s="54"/>
    </row>
    <row r="31" spans="1:7" s="51" customFormat="1" ht="17.399999999999999" x14ac:dyDescent="0.3">
      <c r="A31" s="52"/>
      <c r="B31" s="53"/>
      <c r="C31" s="53"/>
      <c r="D31" s="53"/>
      <c r="E31" s="53"/>
      <c r="F31" s="53"/>
      <c r="G31" s="54"/>
    </row>
    <row r="32" spans="1:7" ht="18" thickBot="1" x14ac:dyDescent="0.35">
      <c r="A32" s="55"/>
      <c r="B32" s="56"/>
      <c r="C32" s="56"/>
      <c r="D32" s="56"/>
      <c r="E32" s="56"/>
      <c r="F32" s="56"/>
      <c r="G32" s="57"/>
    </row>
    <row r="33" ht="16.2" thickTop="1" x14ac:dyDescent="0.3"/>
  </sheetData>
  <phoneticPr fontId="0" type="noConversion"/>
  <conditionalFormatting sqref="E10">
    <cfRule type="cellIs" dxfId="14" priority="4" stopIfTrue="1" operator="greaterThan">
      <formula>133</formula>
    </cfRule>
    <cfRule type="cellIs" dxfId="13" priority="5" stopIfTrue="1" operator="between">
      <formula>66</formula>
      <formula>133</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1"/>
  <sheetViews>
    <sheetView showGridLines="0" workbookViewId="0"/>
  </sheetViews>
  <sheetFormatPr defaultColWidth="13" defaultRowHeight="15.6" x14ac:dyDescent="0.3"/>
  <cols>
    <col min="1" max="1" width="15.69921875" style="58" bestFit="1" customWidth="1"/>
    <col min="2" max="2" width="10" style="59" customWidth="1"/>
    <col min="3" max="3" width="5.09765625" style="59" customWidth="1"/>
    <col min="4" max="4" width="13.69921875" style="58" bestFit="1" customWidth="1"/>
    <col min="5" max="5" width="10.19921875" style="59" bestFit="1" customWidth="1"/>
    <col min="6" max="6" width="14.69921875" style="58" customWidth="1"/>
    <col min="7" max="7" width="10.5" style="59" customWidth="1"/>
    <col min="8" max="16384" width="13" style="8"/>
  </cols>
  <sheetData>
    <row r="1" spans="1:7" ht="30" thickTop="1" thickBot="1" x14ac:dyDescent="0.35">
      <c r="A1" s="2" t="s">
        <v>107</v>
      </c>
      <c r="B1" s="3" t="s">
        <v>332</v>
      </c>
      <c r="C1" s="4"/>
      <c r="D1" s="5"/>
      <c r="E1" s="6"/>
      <c r="F1" s="5"/>
      <c r="G1" s="7"/>
    </row>
    <row r="2" spans="1:7" ht="18" thickTop="1" x14ac:dyDescent="0.3">
      <c r="A2" s="60" t="s">
        <v>188</v>
      </c>
      <c r="B2" s="61" t="s">
        <v>419</v>
      </c>
      <c r="C2" s="62"/>
      <c r="D2" s="60"/>
      <c r="E2" s="62"/>
      <c r="F2" s="63"/>
      <c r="G2" s="64"/>
    </row>
    <row r="3" spans="1:7" ht="17.399999999999999" x14ac:dyDescent="0.3">
      <c r="A3" s="63" t="s">
        <v>62</v>
      </c>
      <c r="B3" s="65" t="str">
        <f>'Personal File'!B3</f>
        <v>Battle Sorcerer</v>
      </c>
      <c r="C3" s="65"/>
      <c r="D3" s="63" t="s">
        <v>63</v>
      </c>
      <c r="E3" s="66">
        <f>'Personal File'!E3</f>
        <v>14</v>
      </c>
      <c r="F3" s="63"/>
      <c r="G3" s="64"/>
    </row>
    <row r="4" spans="1:7" ht="17.399999999999999" x14ac:dyDescent="0.3">
      <c r="A4" s="63" t="s">
        <v>100</v>
      </c>
      <c r="B4" s="65" t="str">
        <f>'Personal File'!B4</f>
        <v>Shade</v>
      </c>
      <c r="C4" s="65"/>
      <c r="D4" s="63" t="s">
        <v>237</v>
      </c>
      <c r="E4" s="66">
        <f>'Personal File'!E4</f>
        <v>2</v>
      </c>
      <c r="F4" s="63"/>
      <c r="G4" s="64"/>
    </row>
    <row r="5" spans="1:7" ht="17.399999999999999" x14ac:dyDescent="0.3">
      <c r="A5" s="63" t="s">
        <v>109</v>
      </c>
      <c r="B5" s="67" t="str">
        <f>CONCATENATE("+",'Personal File'!B8+2)</f>
        <v>+12</v>
      </c>
      <c r="C5" s="68"/>
      <c r="D5" s="69" t="s">
        <v>215</v>
      </c>
      <c r="E5" s="70" t="s">
        <v>207</v>
      </c>
      <c r="F5" s="71"/>
      <c r="G5" s="72"/>
    </row>
    <row r="6" spans="1:7" ht="17.399999999999999" x14ac:dyDescent="0.35">
      <c r="A6" s="73" t="s">
        <v>1</v>
      </c>
      <c r="B6" s="66">
        <f>'Personal File'!B9</f>
        <v>23</v>
      </c>
      <c r="C6" s="74" t="str">
        <f t="shared" ref="C6:C11" si="0">IF(B6&gt;9.9,CONCATENATE("+",ROUNDDOWN((B6-10)/2,0)),ROUNDUP((B6-10)/2,0))</f>
        <v>+6</v>
      </c>
      <c r="D6" s="73" t="s">
        <v>74</v>
      </c>
      <c r="E6" s="75" t="s">
        <v>420</v>
      </c>
      <c r="F6" s="76"/>
      <c r="G6" s="72"/>
    </row>
    <row r="7" spans="1:7" ht="17.399999999999999" x14ac:dyDescent="0.3">
      <c r="A7" s="77" t="s">
        <v>2</v>
      </c>
      <c r="B7" s="66">
        <f>'Personal File'!B10</f>
        <v>18</v>
      </c>
      <c r="C7" s="74" t="str">
        <f t="shared" si="0"/>
        <v>+4</v>
      </c>
      <c r="D7" s="73" t="s">
        <v>75</v>
      </c>
      <c r="E7" s="78">
        <f>SUM(Martial!$G$3:$G$25)+SUM(Equipment!$C$3:$C$16)</f>
        <v>41.7</v>
      </c>
      <c r="F7" s="76"/>
      <c r="G7" s="72"/>
    </row>
    <row r="8" spans="1:7" ht="17.399999999999999" x14ac:dyDescent="0.3">
      <c r="A8" s="79" t="s">
        <v>10</v>
      </c>
      <c r="B8" s="80">
        <f>'Personal File'!B11+2</f>
        <v>14</v>
      </c>
      <c r="C8" s="74" t="str">
        <f t="shared" si="0"/>
        <v>+2</v>
      </c>
      <c r="D8" s="73" t="s">
        <v>12</v>
      </c>
      <c r="E8" s="81">
        <f>'Personal File'!E11+(('Personal File'!E3*C11)/2)</f>
        <v>154</v>
      </c>
      <c r="F8" s="76"/>
      <c r="G8" s="72"/>
    </row>
    <row r="9" spans="1:7" ht="17.399999999999999" x14ac:dyDescent="0.3">
      <c r="A9" s="82" t="s">
        <v>11</v>
      </c>
      <c r="B9" s="83">
        <f>'Personal File'!B12</f>
        <v>12</v>
      </c>
      <c r="C9" s="74" t="str">
        <f t="shared" si="0"/>
        <v>+1</v>
      </c>
      <c r="D9" s="82" t="s">
        <v>99</v>
      </c>
      <c r="E9" s="70">
        <f>'Personal File'!E12+4</f>
        <v>18</v>
      </c>
      <c r="F9" s="71"/>
      <c r="G9" s="72"/>
    </row>
    <row r="10" spans="1:7" ht="17.399999999999999" x14ac:dyDescent="0.3">
      <c r="A10" s="84" t="s">
        <v>13</v>
      </c>
      <c r="B10" s="66">
        <f>'Personal File'!B13</f>
        <v>10</v>
      </c>
      <c r="C10" s="74" t="str">
        <f t="shared" si="0"/>
        <v>+0</v>
      </c>
      <c r="D10" s="82" t="s">
        <v>216</v>
      </c>
      <c r="E10" s="70">
        <f>'Personal File'!E13+4</f>
        <v>24</v>
      </c>
      <c r="F10" s="76"/>
      <c r="G10" s="72"/>
    </row>
    <row r="11" spans="1:7" ht="17.399999999999999" x14ac:dyDescent="0.3">
      <c r="A11" s="85" t="s">
        <v>9</v>
      </c>
      <c r="B11" s="80">
        <f>'Personal File'!B14+2</f>
        <v>26</v>
      </c>
      <c r="C11" s="74" t="str">
        <f t="shared" si="0"/>
        <v>+8</v>
      </c>
      <c r="D11" s="82" t="s">
        <v>385</v>
      </c>
      <c r="E11" s="70">
        <f>'Personal File'!E14+4</f>
        <v>28</v>
      </c>
      <c r="F11" s="76"/>
      <c r="G11" s="72"/>
    </row>
  </sheetData>
  <phoneticPr fontId="0" type="noConversion"/>
  <conditionalFormatting sqref="E7">
    <cfRule type="cellIs" dxfId="12" priority="1" stopIfTrue="1" operator="greaterThan">
      <formula>133</formula>
    </cfRule>
    <cfRule type="cellIs" dxfId="11" priority="2" stopIfTrue="1" operator="between">
      <formula>66</formula>
      <formula>133</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7"/>
  <sheetViews>
    <sheetView showGridLines="0" zoomScaleNormal="100" workbookViewId="0"/>
  </sheetViews>
  <sheetFormatPr defaultColWidth="13" defaultRowHeight="15.6" x14ac:dyDescent="0.3"/>
  <cols>
    <col min="1" max="1" width="40.19921875" style="58" bestFit="1" customWidth="1"/>
    <col min="2" max="2" width="5.8984375" style="58" bestFit="1" customWidth="1"/>
    <col min="3" max="3" width="7.09765625" style="59" hidden="1" customWidth="1"/>
    <col min="4" max="4" width="5.796875" style="59" hidden="1" customWidth="1"/>
    <col min="5" max="5" width="9.5" style="59" bestFit="1" customWidth="1"/>
    <col min="6" max="6" width="8.296875" style="59" customWidth="1"/>
    <col min="7" max="7" width="5.8984375" style="59" bestFit="1" customWidth="1"/>
    <col min="8" max="8" width="6.5" style="59" bestFit="1" customWidth="1"/>
    <col min="9" max="9" width="4.69921875" style="59" bestFit="1" customWidth="1"/>
    <col min="10" max="11" width="6.8984375" style="59" bestFit="1" customWidth="1"/>
    <col min="12" max="12" width="57" style="58" customWidth="1"/>
    <col min="13" max="16384" width="13" style="8"/>
  </cols>
  <sheetData>
    <row r="1" spans="1:12" ht="24" thickBot="1" x14ac:dyDescent="0.35">
      <c r="A1" s="86" t="s">
        <v>357</v>
      </c>
      <c r="B1" s="87"/>
      <c r="C1" s="87"/>
      <c r="D1" s="87"/>
      <c r="E1" s="87"/>
      <c r="F1" s="87"/>
      <c r="G1" s="87"/>
      <c r="H1" s="87"/>
      <c r="I1" s="87"/>
      <c r="J1" s="87"/>
      <c r="K1" s="87"/>
      <c r="L1" s="87"/>
    </row>
    <row r="2" spans="1:12" s="51" customFormat="1" ht="35.4" thickBot="1" x14ac:dyDescent="0.35">
      <c r="A2" s="88" t="s">
        <v>199</v>
      </c>
      <c r="B2" s="89" t="s">
        <v>27</v>
      </c>
      <c r="C2" s="89" t="s">
        <v>34</v>
      </c>
      <c r="D2" s="89" t="s">
        <v>26</v>
      </c>
      <c r="E2" s="90" t="s">
        <v>59</v>
      </c>
      <c r="F2" s="90" t="s">
        <v>35</v>
      </c>
      <c r="G2" s="90" t="s">
        <v>65</v>
      </c>
      <c r="H2" s="91" t="s">
        <v>364</v>
      </c>
      <c r="I2" s="654" t="s">
        <v>187</v>
      </c>
      <c r="J2" s="90" t="s">
        <v>86</v>
      </c>
      <c r="K2" s="91" t="s">
        <v>365</v>
      </c>
      <c r="L2" s="92" t="s">
        <v>211</v>
      </c>
    </row>
    <row r="3" spans="1:12" s="51" customFormat="1" ht="17.399999999999999" x14ac:dyDescent="0.3">
      <c r="A3" s="93" t="s">
        <v>68</v>
      </c>
      <c r="B3" s="94">
        <f>4</f>
        <v>4</v>
      </c>
      <c r="C3" s="95" t="s">
        <v>29</v>
      </c>
      <c r="D3" s="95" t="str">
        <f>IF(C3="Str",'Personal File'!$C$9,IF(C3="Dex",'Personal File'!$C$10,IF(C3="Con",'Personal File'!$C$11,IF(C3="Int",'Personal File'!$C$12,IF(C3="Wis",'Personal File'!$C$13,IF(C3="Cha",'Personal File'!$C$14))))))</f>
        <v>+1</v>
      </c>
      <c r="E3" s="96" t="str">
        <f>CONCATENATE(C3," (",D3,")")</f>
        <v>Con (+1)</v>
      </c>
      <c r="F3" s="97">
        <v>2</v>
      </c>
      <c r="G3" s="98">
        <f t="shared" ref="G3:G41" si="0">B3+D3+F3</f>
        <v>7</v>
      </c>
      <c r="H3" s="99">
        <f>G3+4</f>
        <v>11</v>
      </c>
      <c r="I3" s="655">
        <f ca="1">RANDBETWEEN(1,20)</f>
        <v>10</v>
      </c>
      <c r="J3" s="100">
        <f t="shared" ref="J3:J41" ca="1" si="1">I3+G3</f>
        <v>17</v>
      </c>
      <c r="K3" s="99">
        <f t="shared" ref="K3:K11" ca="1" si="2">SUM(H3:I3)</f>
        <v>21</v>
      </c>
      <c r="L3" s="101"/>
    </row>
    <row r="4" spans="1:12" s="51" customFormat="1" ht="17.399999999999999" x14ac:dyDescent="0.3">
      <c r="A4" s="102" t="s">
        <v>69</v>
      </c>
      <c r="B4" s="94">
        <f>4</f>
        <v>4</v>
      </c>
      <c r="C4" s="95" t="s">
        <v>32</v>
      </c>
      <c r="D4" s="95" t="str">
        <f>IF(C4="Str",'Personal File'!$C$9,IF(C4="Dex",'Personal File'!$C$10,IF(C4="Con",'Personal File'!$C$11,IF(C4="Int",'Personal File'!$C$12,IF(C4="Wis",'Personal File'!$C$13,IF(C4="Cha",'Personal File'!$C$14))))))</f>
        <v>+4</v>
      </c>
      <c r="E4" s="103" t="str">
        <f>CONCATENATE(C4," (",D4,")")</f>
        <v>Dex (+4)</v>
      </c>
      <c r="F4" s="97">
        <v>2</v>
      </c>
      <c r="G4" s="98">
        <f t="shared" si="0"/>
        <v>10</v>
      </c>
      <c r="H4" s="99">
        <f>G4+4</f>
        <v>14</v>
      </c>
      <c r="I4" s="655">
        <f ca="1">RANDBETWEEN(1,20)</f>
        <v>4</v>
      </c>
      <c r="J4" s="100">
        <f t="shared" ca="1" si="1"/>
        <v>14</v>
      </c>
      <c r="K4" s="99">
        <f t="shared" ca="1" si="2"/>
        <v>18</v>
      </c>
      <c r="L4" s="101"/>
    </row>
    <row r="5" spans="1:12" s="51" customFormat="1" ht="17.399999999999999" x14ac:dyDescent="0.3">
      <c r="A5" s="104" t="s">
        <v>70</v>
      </c>
      <c r="B5" s="105">
        <v>9</v>
      </c>
      <c r="C5" s="106" t="s">
        <v>31</v>
      </c>
      <c r="D5" s="106" t="str">
        <f>IF(C5="Str",'Personal File'!$C$9,IF(C5="Dex",'Personal File'!$C$10,IF(C5="Con",'Personal File'!$C$11,IF(C5="Int",'Personal File'!$C$12,IF(C5="Wis",'Personal File'!$C$13,IF(C5="Cha",'Personal File'!$C$14))))))</f>
        <v>+0</v>
      </c>
      <c r="E5" s="107" t="str">
        <f>CONCATENATE(C5," (",D5,")")</f>
        <v>Wis (+0)</v>
      </c>
      <c r="F5" s="108">
        <v>2</v>
      </c>
      <c r="G5" s="109">
        <f t="shared" si="0"/>
        <v>11</v>
      </c>
      <c r="H5" s="110">
        <f>G5+4</f>
        <v>15</v>
      </c>
      <c r="I5" s="656">
        <f ca="1">RANDBETWEEN(1,20)</f>
        <v>14</v>
      </c>
      <c r="J5" s="111">
        <f t="shared" ca="1" si="1"/>
        <v>25</v>
      </c>
      <c r="K5" s="110">
        <f t="shared" ca="1" si="2"/>
        <v>29</v>
      </c>
      <c r="L5" s="112"/>
    </row>
    <row r="6" spans="1:12" s="119" customFormat="1" ht="18" x14ac:dyDescent="0.3">
      <c r="A6" s="113" t="s">
        <v>36</v>
      </c>
      <c r="B6" s="95">
        <v>0</v>
      </c>
      <c r="C6" s="114" t="s">
        <v>30</v>
      </c>
      <c r="D6" s="115" t="str">
        <f>IF(C6="Str",'Personal File'!$C$9,IF(C6="Dex",'Personal File'!$C$10,IF(C6="Con",'Personal File'!$C$11,IF(C6="Int",'Personal File'!$C$12,IF(C6="Wis",'Personal File'!$C$13,IF(C6="Cha",'Personal File'!$C$14))))))</f>
        <v>+1</v>
      </c>
      <c r="E6" s="115" t="str">
        <f t="shared" ref="E6:E41" si="3">CONCATENATE(C6," (",D6,")")</f>
        <v>Int (+1)</v>
      </c>
      <c r="F6" s="116" t="s">
        <v>60</v>
      </c>
      <c r="G6" s="117">
        <f t="shared" si="0"/>
        <v>1</v>
      </c>
      <c r="H6" s="118">
        <f t="shared" ref="H6:H11" si="4">G6</f>
        <v>1</v>
      </c>
      <c r="I6" s="657">
        <f ca="1">RANDBETWEEN(1,20)</f>
        <v>20</v>
      </c>
      <c r="J6" s="117">
        <f t="shared" ca="1" si="1"/>
        <v>21</v>
      </c>
      <c r="K6" s="70">
        <f t="shared" ca="1" si="2"/>
        <v>21</v>
      </c>
      <c r="L6" s="101"/>
    </row>
    <row r="7" spans="1:12" s="124" customFormat="1" ht="17.399999999999999" x14ac:dyDescent="0.3">
      <c r="A7" s="120" t="s">
        <v>37</v>
      </c>
      <c r="B7" s="95">
        <v>0</v>
      </c>
      <c r="C7" s="121" t="s">
        <v>32</v>
      </c>
      <c r="D7" s="122" t="str">
        <f>IF(C7="Str",'Personal File'!$C$9,IF(C7="Dex",'Personal File'!$C$10,IF(C7="Con",'Personal File'!$C$11,IF(C7="Int",'Personal File'!$C$12,IF(C7="Wis",'Personal File'!$C$13,IF(C7="Cha",'Personal File'!$C$14))))))</f>
        <v>+4</v>
      </c>
      <c r="E7" s="122" t="str">
        <f t="shared" si="3"/>
        <v>Dex (+4)</v>
      </c>
      <c r="F7" s="123">
        <f>SUM(Martial!$D$20:$D$21)</f>
        <v>-1</v>
      </c>
      <c r="G7" s="117">
        <f t="shared" si="0"/>
        <v>3</v>
      </c>
      <c r="H7" s="118">
        <f t="shared" si="4"/>
        <v>3</v>
      </c>
      <c r="I7" s="657">
        <f ca="1">RANDBETWEEN(1,20)</f>
        <v>3</v>
      </c>
      <c r="J7" s="117">
        <f t="shared" ca="1" si="1"/>
        <v>6</v>
      </c>
      <c r="K7" s="70">
        <f t="shared" ca="1" si="2"/>
        <v>6</v>
      </c>
      <c r="L7" s="101"/>
    </row>
    <row r="8" spans="1:12" s="129" customFormat="1" ht="17.399999999999999" x14ac:dyDescent="0.3">
      <c r="A8" s="125" t="s">
        <v>38</v>
      </c>
      <c r="B8" s="95">
        <v>0</v>
      </c>
      <c r="C8" s="126" t="s">
        <v>28</v>
      </c>
      <c r="D8" s="127" t="str">
        <f>IF(C8="Str",'Personal File'!$C$9,IF(C8="Dex",'Personal File'!$C$10,IF(C8="Con",'Personal File'!$C$11,IF(C8="Int",'Personal File'!$C$12,IF(C8="Wis",'Personal File'!$C$13,IF(C8="Cha",'Personal File'!$C$14))))))</f>
        <v>+7</v>
      </c>
      <c r="E8" s="128" t="str">
        <f t="shared" si="3"/>
        <v>Cha (+7)</v>
      </c>
      <c r="F8" s="117" t="s">
        <v>60</v>
      </c>
      <c r="G8" s="117">
        <f t="shared" si="0"/>
        <v>7</v>
      </c>
      <c r="H8" s="118">
        <f t="shared" si="4"/>
        <v>7</v>
      </c>
      <c r="I8" s="657">
        <f t="shared" ref="I8:I41" ca="1" si="5">RANDBETWEEN(1,20)</f>
        <v>15</v>
      </c>
      <c r="J8" s="117">
        <f t="shared" ca="1" si="1"/>
        <v>22</v>
      </c>
      <c r="K8" s="70">
        <f t="shared" ca="1" si="2"/>
        <v>22</v>
      </c>
      <c r="L8" s="101"/>
    </row>
    <row r="9" spans="1:12" s="133" customFormat="1" ht="17.399999999999999" x14ac:dyDescent="0.3">
      <c r="A9" s="130" t="s">
        <v>39</v>
      </c>
      <c r="B9" s="95">
        <v>0</v>
      </c>
      <c r="C9" s="131" t="s">
        <v>33</v>
      </c>
      <c r="D9" s="132" t="str">
        <f>IF(C9="Str",'Personal File'!$C$9,IF(C9="Dex",'Personal File'!$C$10,IF(C9="Con",'Personal File'!$C$11,IF(C9="Int",'Personal File'!$C$12,IF(C9="Wis",'Personal File'!$C$13,IF(C9="Cha",'Personal File'!$C$14))))))</f>
        <v>+6</v>
      </c>
      <c r="E9" s="132" t="str">
        <f t="shared" si="3"/>
        <v>Str (+6)</v>
      </c>
      <c r="F9" s="123">
        <f>SUM(Martial!$D$20:$D$21)</f>
        <v>-1</v>
      </c>
      <c r="G9" s="117">
        <f t="shared" si="0"/>
        <v>5</v>
      </c>
      <c r="H9" s="118">
        <f t="shared" si="4"/>
        <v>5</v>
      </c>
      <c r="I9" s="657">
        <f t="shared" ca="1" si="5"/>
        <v>1</v>
      </c>
      <c r="J9" s="117">
        <f t="shared" ca="1" si="1"/>
        <v>6</v>
      </c>
      <c r="K9" s="70">
        <f t="shared" ca="1" si="2"/>
        <v>6</v>
      </c>
      <c r="L9" s="101"/>
    </row>
    <row r="10" spans="1:12" s="133" customFormat="1" ht="17.399999999999999" x14ac:dyDescent="0.3">
      <c r="A10" s="134" t="s">
        <v>14</v>
      </c>
      <c r="B10" s="135">
        <v>11</v>
      </c>
      <c r="C10" s="136" t="s">
        <v>29</v>
      </c>
      <c r="D10" s="137" t="str">
        <f>IF(C10="Str",'Personal File'!$C$9,IF(C10="Dex",'Personal File'!$C$10,IF(C10="Con",'Personal File'!$C$11,IF(C10="Int",'Personal File'!$C$12,IF(C10="Wis",'Personal File'!$C$13,IF(C10="Cha",'Personal File'!$C$14))))))</f>
        <v>+1</v>
      </c>
      <c r="E10" s="137" t="str">
        <f t="shared" si="3"/>
        <v>Con (+1)</v>
      </c>
      <c r="F10" s="138" t="s">
        <v>60</v>
      </c>
      <c r="G10" s="138">
        <f t="shared" si="0"/>
        <v>12</v>
      </c>
      <c r="H10" s="118">
        <f t="shared" si="4"/>
        <v>12</v>
      </c>
      <c r="I10" s="657">
        <f t="shared" ca="1" si="5"/>
        <v>8</v>
      </c>
      <c r="J10" s="138">
        <f t="shared" ca="1" si="1"/>
        <v>20</v>
      </c>
      <c r="K10" s="70">
        <f t="shared" ca="1" si="2"/>
        <v>20</v>
      </c>
      <c r="L10" s="139"/>
    </row>
    <row r="11" spans="1:12" s="119" customFormat="1" ht="17.399999999999999" x14ac:dyDescent="0.3">
      <c r="A11" s="140" t="s">
        <v>146</v>
      </c>
      <c r="B11" s="141">
        <v>6</v>
      </c>
      <c r="C11" s="142" t="s">
        <v>30</v>
      </c>
      <c r="D11" s="143" t="str">
        <f>IF(C11="Str",'Personal File'!$C$9,IF(C11="Dex",'Personal File'!$C$10,IF(C11="Con",'Personal File'!$C$11,IF(C11="Int",'Personal File'!$C$12,IF(C11="Wis",'Personal File'!$C$13,IF(C11="Cha",'Personal File'!$C$14))))))</f>
        <v>+1</v>
      </c>
      <c r="E11" s="143" t="str">
        <f t="shared" si="3"/>
        <v>Int (+1)</v>
      </c>
      <c r="F11" s="138" t="s">
        <v>60</v>
      </c>
      <c r="G11" s="144">
        <f t="shared" si="0"/>
        <v>7</v>
      </c>
      <c r="H11" s="118">
        <f t="shared" si="4"/>
        <v>7</v>
      </c>
      <c r="I11" s="657">
        <f t="shared" ca="1" si="5"/>
        <v>5</v>
      </c>
      <c r="J11" s="144">
        <f t="shared" ca="1" si="1"/>
        <v>12</v>
      </c>
      <c r="K11" s="70">
        <f t="shared" ca="1" si="2"/>
        <v>12</v>
      </c>
      <c r="L11" s="145"/>
    </row>
    <row r="12" spans="1:12" s="153" customFormat="1" ht="17.399999999999999" x14ac:dyDescent="0.3">
      <c r="A12" s="146" t="s">
        <v>40</v>
      </c>
      <c r="B12" s="147">
        <v>0</v>
      </c>
      <c r="C12" s="148" t="s">
        <v>30</v>
      </c>
      <c r="D12" s="149" t="str">
        <f>IF(C12="Str",'Personal File'!$C$9,IF(C12="Dex",'Personal File'!$C$10,IF(C12="Con",'Personal File'!$C$11,IF(C12="Int",'Personal File'!$C$12,IF(C12="Wis",'Personal File'!$C$13,IF(C12="Cha",'Personal File'!$C$14))))))</f>
        <v>+1</v>
      </c>
      <c r="E12" s="149" t="str">
        <f t="shared" si="3"/>
        <v>Int (+1)</v>
      </c>
      <c r="F12" s="150" t="s">
        <v>60</v>
      </c>
      <c r="G12" s="151">
        <f t="shared" si="0"/>
        <v>1</v>
      </c>
      <c r="H12" s="118">
        <f t="shared" ref="H12:H40" si="6">G12</f>
        <v>1</v>
      </c>
      <c r="I12" s="657">
        <f t="shared" ca="1" si="5"/>
        <v>10</v>
      </c>
      <c r="J12" s="150">
        <f t="shared" ca="1" si="1"/>
        <v>11</v>
      </c>
      <c r="K12" s="70">
        <f t="shared" ref="K12:K40" ca="1" si="7">SUM(H12:I12)</f>
        <v>11</v>
      </c>
      <c r="L12" s="152"/>
    </row>
    <row r="13" spans="1:12" s="124" customFormat="1" ht="17.399999999999999" x14ac:dyDescent="0.3">
      <c r="A13" s="125" t="s">
        <v>41</v>
      </c>
      <c r="B13" s="95">
        <v>0</v>
      </c>
      <c r="C13" s="126" t="s">
        <v>28</v>
      </c>
      <c r="D13" s="127" t="str">
        <f>IF(C13="Str",'Personal File'!$C$9,IF(C13="Dex",'Personal File'!$C$10,IF(C13="Con",'Personal File'!$C$11,IF(C13="Int",'Personal File'!$C$12,IF(C13="Wis",'Personal File'!$C$13,IF(C13="Cha",'Personal File'!$C$14))))))</f>
        <v>+7</v>
      </c>
      <c r="E13" s="128" t="str">
        <f t="shared" si="3"/>
        <v>Cha (+7)</v>
      </c>
      <c r="F13" s="117" t="s">
        <v>60</v>
      </c>
      <c r="G13" s="117">
        <f t="shared" si="0"/>
        <v>7</v>
      </c>
      <c r="H13" s="118">
        <f t="shared" si="6"/>
        <v>7</v>
      </c>
      <c r="I13" s="657">
        <f t="shared" ca="1" si="5"/>
        <v>5</v>
      </c>
      <c r="J13" s="117">
        <f t="shared" ca="1" si="1"/>
        <v>12</v>
      </c>
      <c r="K13" s="70">
        <f t="shared" ca="1" si="7"/>
        <v>12</v>
      </c>
      <c r="L13" s="154"/>
    </row>
    <row r="14" spans="1:12" s="124" customFormat="1" ht="17.399999999999999" x14ac:dyDescent="0.3">
      <c r="A14" s="146" t="s">
        <v>42</v>
      </c>
      <c r="B14" s="147">
        <v>0</v>
      </c>
      <c r="C14" s="148" t="s">
        <v>30</v>
      </c>
      <c r="D14" s="149" t="str">
        <f>IF(C14="Str",'Personal File'!$C$9,IF(C14="Dex",'Personal File'!$C$10,IF(C14="Con",'Personal File'!$C$11,IF(C14="Int",'Personal File'!$C$12,IF(C14="Wis",'Personal File'!$C$13,IF(C14="Cha",'Personal File'!$C$14))))))</f>
        <v>+1</v>
      </c>
      <c r="E14" s="149" t="str">
        <f t="shared" si="3"/>
        <v>Int (+1)</v>
      </c>
      <c r="F14" s="150" t="s">
        <v>60</v>
      </c>
      <c r="G14" s="151">
        <f t="shared" si="0"/>
        <v>1</v>
      </c>
      <c r="H14" s="118">
        <f t="shared" si="6"/>
        <v>1</v>
      </c>
      <c r="I14" s="657">
        <f t="shared" ca="1" si="5"/>
        <v>15</v>
      </c>
      <c r="J14" s="150">
        <f t="shared" ca="1" si="1"/>
        <v>16</v>
      </c>
      <c r="K14" s="70">
        <f t="shared" ca="1" si="7"/>
        <v>16</v>
      </c>
      <c r="L14" s="152"/>
    </row>
    <row r="15" spans="1:12" s="124" customFormat="1" ht="17.399999999999999" x14ac:dyDescent="0.3">
      <c r="A15" s="125" t="s">
        <v>43</v>
      </c>
      <c r="B15" s="95">
        <v>0</v>
      </c>
      <c r="C15" s="126" t="s">
        <v>28</v>
      </c>
      <c r="D15" s="127" t="str">
        <f>IF(C15="Str",'Personal File'!$C$9,IF(C15="Dex",'Personal File'!$C$10,IF(C15="Con",'Personal File'!$C$11,IF(C15="Int",'Personal File'!$C$12,IF(C15="Wis",'Personal File'!$C$13,IF(C15="Cha",'Personal File'!$C$14))))))</f>
        <v>+7</v>
      </c>
      <c r="E15" s="128" t="str">
        <f t="shared" si="3"/>
        <v>Cha (+7)</v>
      </c>
      <c r="F15" s="117" t="s">
        <v>60</v>
      </c>
      <c r="G15" s="117">
        <f t="shared" si="0"/>
        <v>7</v>
      </c>
      <c r="H15" s="118">
        <f t="shared" si="6"/>
        <v>7</v>
      </c>
      <c r="I15" s="657">
        <f t="shared" ca="1" si="5"/>
        <v>20</v>
      </c>
      <c r="J15" s="117">
        <f t="shared" ca="1" si="1"/>
        <v>27</v>
      </c>
      <c r="K15" s="70">
        <f t="shared" ca="1" si="7"/>
        <v>27</v>
      </c>
      <c r="L15" s="154"/>
    </row>
    <row r="16" spans="1:12" s="124" customFormat="1" ht="17.399999999999999" x14ac:dyDescent="0.3">
      <c r="A16" s="120" t="s">
        <v>44</v>
      </c>
      <c r="B16" s="95">
        <v>0</v>
      </c>
      <c r="C16" s="121" t="s">
        <v>32</v>
      </c>
      <c r="D16" s="122" t="str">
        <f>IF(C16="Str",'Personal File'!$C$9,IF(C16="Dex",'Personal File'!$C$10,IF(C16="Con",'Personal File'!$C$11,IF(C16="Int",'Personal File'!$C$12,IF(C16="Wis",'Personal File'!$C$13,IF(C16="Cha",'Personal File'!$C$14))))))</f>
        <v>+4</v>
      </c>
      <c r="E16" s="103" t="str">
        <f t="shared" si="3"/>
        <v>Dex (+4)</v>
      </c>
      <c r="F16" s="123">
        <f>SUM(Martial!$D$20:$D$21)</f>
        <v>-1</v>
      </c>
      <c r="G16" s="117">
        <f t="shared" si="0"/>
        <v>3</v>
      </c>
      <c r="H16" s="118">
        <f t="shared" si="6"/>
        <v>3</v>
      </c>
      <c r="I16" s="657">
        <f t="shared" ca="1" si="5"/>
        <v>18</v>
      </c>
      <c r="J16" s="117">
        <f t="shared" ca="1" si="1"/>
        <v>21</v>
      </c>
      <c r="K16" s="70">
        <f t="shared" ca="1" si="7"/>
        <v>21</v>
      </c>
      <c r="L16" s="101"/>
    </row>
    <row r="17" spans="1:12" s="124" customFormat="1" ht="17.399999999999999" x14ac:dyDescent="0.3">
      <c r="A17" s="155" t="s">
        <v>45</v>
      </c>
      <c r="B17" s="156">
        <v>0</v>
      </c>
      <c r="C17" s="157" t="s">
        <v>30</v>
      </c>
      <c r="D17" s="158" t="str">
        <f>IF(C17="Str",'Personal File'!$C$9,IF(C17="Dex",'Personal File'!$C$10,IF(C17="Con",'Personal File'!$C$11,IF(C17="Int",'Personal File'!$C$12,IF(C17="Wis",'Personal File'!$C$13,IF(C17="Cha",'Personal File'!$C$14))))))</f>
        <v>+1</v>
      </c>
      <c r="E17" s="158" t="str">
        <f t="shared" si="3"/>
        <v>Int (+1)</v>
      </c>
      <c r="F17" s="159" t="s">
        <v>60</v>
      </c>
      <c r="G17" s="159">
        <f t="shared" si="0"/>
        <v>1</v>
      </c>
      <c r="H17" s="118">
        <f t="shared" si="6"/>
        <v>1</v>
      </c>
      <c r="I17" s="657">
        <f t="shared" ca="1" si="5"/>
        <v>2</v>
      </c>
      <c r="J17" s="159">
        <f t="shared" ca="1" si="1"/>
        <v>3</v>
      </c>
      <c r="K17" s="70">
        <f t="shared" ca="1" si="7"/>
        <v>3</v>
      </c>
      <c r="L17" s="160"/>
    </row>
    <row r="18" spans="1:12" s="124" customFormat="1" ht="17.399999999999999" x14ac:dyDescent="0.3">
      <c r="A18" s="125" t="s">
        <v>46</v>
      </c>
      <c r="B18" s="95">
        <v>0</v>
      </c>
      <c r="C18" s="126" t="s">
        <v>28</v>
      </c>
      <c r="D18" s="127" t="str">
        <f>IF(C18="Str",'Personal File'!$C$9,IF(C18="Dex",'Personal File'!$C$10,IF(C18="Con",'Personal File'!$C$11,IF(C18="Int",'Personal File'!$C$12,IF(C18="Wis",'Personal File'!$C$13,IF(C18="Cha",'Personal File'!$C$14))))))</f>
        <v>+7</v>
      </c>
      <c r="E18" s="128" t="str">
        <f t="shared" si="3"/>
        <v>Cha (+7)</v>
      </c>
      <c r="F18" s="117" t="s">
        <v>60</v>
      </c>
      <c r="G18" s="117">
        <f t="shared" si="0"/>
        <v>7</v>
      </c>
      <c r="H18" s="118">
        <f t="shared" si="6"/>
        <v>7</v>
      </c>
      <c r="I18" s="657">
        <f t="shared" ca="1" si="5"/>
        <v>12</v>
      </c>
      <c r="J18" s="117">
        <f t="shared" ca="1" si="1"/>
        <v>19</v>
      </c>
      <c r="K18" s="70">
        <f t="shared" ca="1" si="7"/>
        <v>19</v>
      </c>
      <c r="L18" s="101"/>
    </row>
    <row r="19" spans="1:12" s="124" customFormat="1" ht="17.399999999999999" x14ac:dyDescent="0.3">
      <c r="A19" s="161" t="s">
        <v>15</v>
      </c>
      <c r="B19" s="147">
        <v>0</v>
      </c>
      <c r="C19" s="162" t="s">
        <v>28</v>
      </c>
      <c r="D19" s="163" t="str">
        <f>IF(C19="Str",'Personal File'!$C$9,IF(C19="Dex",'Personal File'!$C$10,IF(C19="Con",'Personal File'!$C$11,IF(C19="Int",'Personal File'!$C$12,IF(C19="Wis",'Personal File'!$C$13,IF(C19="Cha",'Personal File'!$C$14))))))</f>
        <v>+7</v>
      </c>
      <c r="E19" s="163" t="str">
        <f t="shared" si="3"/>
        <v>Cha (+7)</v>
      </c>
      <c r="F19" s="150" t="s">
        <v>60</v>
      </c>
      <c r="G19" s="151">
        <f t="shared" si="0"/>
        <v>7</v>
      </c>
      <c r="H19" s="118">
        <f t="shared" si="6"/>
        <v>7</v>
      </c>
      <c r="I19" s="657">
        <f t="shared" ca="1" si="5"/>
        <v>13</v>
      </c>
      <c r="J19" s="150">
        <f t="shared" ca="1" si="1"/>
        <v>20</v>
      </c>
      <c r="K19" s="70">
        <f t="shared" ca="1" si="7"/>
        <v>20</v>
      </c>
      <c r="L19" s="152"/>
    </row>
    <row r="20" spans="1:12" s="124" customFormat="1" ht="17.399999999999999" x14ac:dyDescent="0.3">
      <c r="A20" s="164" t="s">
        <v>47</v>
      </c>
      <c r="B20" s="95">
        <v>0</v>
      </c>
      <c r="C20" s="165" t="s">
        <v>31</v>
      </c>
      <c r="D20" s="166" t="str">
        <f>IF(C20="Str",'Personal File'!$C$9,IF(C20="Dex",'Personal File'!$C$10,IF(C20="Con",'Personal File'!$C$11,IF(C20="Int",'Personal File'!$C$12,IF(C20="Wis",'Personal File'!$C$13,IF(C20="Cha",'Personal File'!$C$14))))))</f>
        <v>+0</v>
      </c>
      <c r="E20" s="166" t="str">
        <f t="shared" si="3"/>
        <v>Wis (+0)</v>
      </c>
      <c r="F20" s="117" t="s">
        <v>60</v>
      </c>
      <c r="G20" s="117">
        <f t="shared" si="0"/>
        <v>0</v>
      </c>
      <c r="H20" s="118">
        <f t="shared" si="6"/>
        <v>0</v>
      </c>
      <c r="I20" s="657">
        <f t="shared" ca="1" si="5"/>
        <v>5</v>
      </c>
      <c r="J20" s="117">
        <f t="shared" ca="1" si="1"/>
        <v>5</v>
      </c>
      <c r="K20" s="70">
        <f t="shared" ca="1" si="7"/>
        <v>5</v>
      </c>
      <c r="L20" s="101"/>
    </row>
    <row r="21" spans="1:12" s="124" customFormat="1" ht="17.399999999999999" x14ac:dyDescent="0.3">
      <c r="A21" s="120" t="s">
        <v>48</v>
      </c>
      <c r="B21" s="95">
        <v>0</v>
      </c>
      <c r="C21" s="121" t="s">
        <v>32</v>
      </c>
      <c r="D21" s="122" t="str">
        <f>IF(C21="Str",'Personal File'!$C$9,IF(C21="Dex",'Personal File'!$C$10,IF(C21="Con",'Personal File'!$C$11,IF(C21="Int",'Personal File'!$C$12,IF(C21="Wis",'Personal File'!$C$13,IF(C21="Cha",'Personal File'!$C$14))))))</f>
        <v>+4</v>
      </c>
      <c r="E21" s="122" t="str">
        <f t="shared" si="3"/>
        <v>Dex (+4)</v>
      </c>
      <c r="F21" s="123">
        <f>SUM(Martial!$D$20:$D$21)</f>
        <v>-1</v>
      </c>
      <c r="G21" s="117">
        <f t="shared" si="0"/>
        <v>3</v>
      </c>
      <c r="H21" s="118">
        <f>G21+8</f>
        <v>11</v>
      </c>
      <c r="I21" s="657">
        <f t="shared" ca="1" si="5"/>
        <v>7</v>
      </c>
      <c r="J21" s="117">
        <f t="shared" ca="1" si="1"/>
        <v>10</v>
      </c>
      <c r="K21" s="70">
        <f t="shared" ca="1" si="7"/>
        <v>18</v>
      </c>
      <c r="L21" s="154"/>
    </row>
    <row r="22" spans="1:12" s="124" customFormat="1" ht="17.399999999999999" x14ac:dyDescent="0.3">
      <c r="A22" s="167" t="s">
        <v>49</v>
      </c>
      <c r="B22" s="141">
        <v>16</v>
      </c>
      <c r="C22" s="168" t="s">
        <v>28</v>
      </c>
      <c r="D22" s="169" t="str">
        <f>IF(C22="Str",'Personal File'!$C$9,IF(C22="Dex",'Personal File'!$C$10,IF(C22="Con",'Personal File'!$C$11,IF(C22="Int",'Personal File'!$C$12,IF(C22="Wis",'Personal File'!$C$13,IF(C22="Cha",'Personal File'!$C$14))))))</f>
        <v>+7</v>
      </c>
      <c r="E22" s="169" t="str">
        <f t="shared" si="3"/>
        <v>Cha (+7)</v>
      </c>
      <c r="F22" s="138" t="s">
        <v>60</v>
      </c>
      <c r="G22" s="144">
        <f t="shared" si="0"/>
        <v>23</v>
      </c>
      <c r="H22" s="118">
        <f t="shared" si="6"/>
        <v>23</v>
      </c>
      <c r="I22" s="657">
        <f t="shared" ca="1" si="5"/>
        <v>15</v>
      </c>
      <c r="J22" s="144">
        <f t="shared" ca="1" si="1"/>
        <v>38</v>
      </c>
      <c r="K22" s="70">
        <f t="shared" ca="1" si="7"/>
        <v>38</v>
      </c>
      <c r="L22" s="145"/>
    </row>
    <row r="23" spans="1:12" s="124" customFormat="1" ht="17.399999999999999" x14ac:dyDescent="0.3">
      <c r="A23" s="130" t="s">
        <v>50</v>
      </c>
      <c r="B23" s="95">
        <v>0</v>
      </c>
      <c r="C23" s="131" t="s">
        <v>33</v>
      </c>
      <c r="D23" s="132" t="str">
        <f>IF(C23="Str",'Personal File'!$C$9,IF(C23="Dex",'Personal File'!$C$10,IF(C23="Con",'Personal File'!$C$11,IF(C23="Int",'Personal File'!$C$12,IF(C23="Wis",'Personal File'!$C$13,IF(C23="Cha",'Personal File'!$C$14))))))</f>
        <v>+6</v>
      </c>
      <c r="E23" s="132" t="str">
        <f t="shared" si="3"/>
        <v>Str (+6)</v>
      </c>
      <c r="F23" s="123">
        <f>SUM(Martial!$D$20:$D$21)</f>
        <v>-1</v>
      </c>
      <c r="G23" s="117">
        <f t="shared" si="0"/>
        <v>5</v>
      </c>
      <c r="H23" s="118">
        <f t="shared" si="6"/>
        <v>5</v>
      </c>
      <c r="I23" s="657">
        <f t="shared" ca="1" si="5"/>
        <v>2</v>
      </c>
      <c r="J23" s="117">
        <f t="shared" ca="1" si="1"/>
        <v>7</v>
      </c>
      <c r="K23" s="70">
        <f t="shared" ca="1" si="7"/>
        <v>7</v>
      </c>
      <c r="L23" s="101"/>
    </row>
    <row r="24" spans="1:12" s="124" customFormat="1" ht="17.399999999999999" x14ac:dyDescent="0.3">
      <c r="A24" s="170" t="s">
        <v>92</v>
      </c>
      <c r="B24" s="135">
        <v>13</v>
      </c>
      <c r="C24" s="171" t="s">
        <v>30</v>
      </c>
      <c r="D24" s="172" t="str">
        <f>IF(C24="Str",'Personal File'!$C$9,IF(C24="Dex",'Personal File'!$C$10,IF(C24="Con",'Personal File'!$C$11,IF(C24="Int",'Personal File'!$C$12,IF(C24="Wis",'Personal File'!$C$13,IF(C24="Cha",'Personal File'!$C$14))))))</f>
        <v>+1</v>
      </c>
      <c r="E24" s="172" t="str">
        <f t="shared" si="3"/>
        <v>Int (+1)</v>
      </c>
      <c r="F24" s="138" t="s">
        <v>60</v>
      </c>
      <c r="G24" s="138">
        <f t="shared" si="0"/>
        <v>14</v>
      </c>
      <c r="H24" s="118">
        <f t="shared" si="6"/>
        <v>14</v>
      </c>
      <c r="I24" s="657">
        <f t="shared" ca="1" si="5"/>
        <v>17</v>
      </c>
      <c r="J24" s="138">
        <f t="shared" ca="1" si="1"/>
        <v>31</v>
      </c>
      <c r="K24" s="70">
        <f t="shared" ca="1" si="7"/>
        <v>31</v>
      </c>
      <c r="L24" s="139"/>
    </row>
    <row r="25" spans="1:12" s="124" customFormat="1" ht="17.399999999999999" x14ac:dyDescent="0.3">
      <c r="A25" s="170" t="s">
        <v>333</v>
      </c>
      <c r="B25" s="135">
        <v>9</v>
      </c>
      <c r="C25" s="171" t="s">
        <v>30</v>
      </c>
      <c r="D25" s="172" t="str">
        <f>IF(C25="Str",'Personal File'!$C$9,IF(C25="Dex",'Personal File'!$C$10,IF(C25="Con",'Personal File'!$C$11,IF(C25="Int",'Personal File'!$C$12,IF(C25="Wis",'Personal File'!$C$13,IF(C25="Cha",'Personal File'!$C$14))))))</f>
        <v>+1</v>
      </c>
      <c r="E25" s="172" t="str">
        <f>CONCATENATE(C25," (",D25,")")</f>
        <v>Int (+1)</v>
      </c>
      <c r="F25" s="138" t="s">
        <v>60</v>
      </c>
      <c r="G25" s="138">
        <f t="shared" si="0"/>
        <v>10</v>
      </c>
      <c r="H25" s="118">
        <f t="shared" si="6"/>
        <v>10</v>
      </c>
      <c r="I25" s="657">
        <f t="shared" ca="1" si="5"/>
        <v>19</v>
      </c>
      <c r="J25" s="138">
        <f t="shared" ca="1" si="1"/>
        <v>29</v>
      </c>
      <c r="K25" s="70">
        <f t="shared" ca="1" si="7"/>
        <v>29</v>
      </c>
      <c r="L25" s="139"/>
    </row>
    <row r="26" spans="1:12" s="124" customFormat="1" ht="17.399999999999999" x14ac:dyDescent="0.3">
      <c r="A26" s="164" t="s">
        <v>51</v>
      </c>
      <c r="B26" s="95">
        <v>0</v>
      </c>
      <c r="C26" s="165" t="s">
        <v>31</v>
      </c>
      <c r="D26" s="166" t="str">
        <f>IF(C26="Str",'Personal File'!$C$9,IF(C26="Dex",'Personal File'!$C$10,IF(C26="Con",'Personal File'!$C$11,IF(C26="Int",'Personal File'!$C$12,IF(C26="Wis",'Personal File'!$C$13,IF(C26="Cha",'Personal File'!$C$14))))))</f>
        <v>+0</v>
      </c>
      <c r="E26" s="173" t="str">
        <f t="shared" si="3"/>
        <v>Wis (+0)</v>
      </c>
      <c r="F26" s="117" t="s">
        <v>111</v>
      </c>
      <c r="G26" s="117">
        <f t="shared" si="0"/>
        <v>5</v>
      </c>
      <c r="H26" s="118">
        <f>G26+4</f>
        <v>9</v>
      </c>
      <c r="I26" s="657">
        <f t="shared" ca="1" si="5"/>
        <v>13</v>
      </c>
      <c r="J26" s="117">
        <f t="shared" ca="1" si="1"/>
        <v>18</v>
      </c>
      <c r="K26" s="70">
        <f t="shared" ca="1" si="7"/>
        <v>22</v>
      </c>
      <c r="L26" s="154"/>
    </row>
    <row r="27" spans="1:12" s="124" customFormat="1" ht="17.399999999999999" x14ac:dyDescent="0.3">
      <c r="A27" s="120" t="s">
        <v>16</v>
      </c>
      <c r="B27" s="95">
        <v>0</v>
      </c>
      <c r="C27" s="121" t="s">
        <v>32</v>
      </c>
      <c r="D27" s="122" t="str">
        <f>IF(C27="Str",'Personal File'!$C$9,IF(C27="Dex",'Personal File'!$C$10,IF(C27="Con",'Personal File'!$C$11,IF(C27="Int",'Personal File'!$C$12,IF(C27="Wis",'Personal File'!$C$13,IF(C27="Cha",'Personal File'!$C$14))))))</f>
        <v>+4</v>
      </c>
      <c r="E27" s="122" t="str">
        <f t="shared" si="3"/>
        <v>Dex (+4)</v>
      </c>
      <c r="F27" s="123">
        <f>SUM(Martial!$D$20:$D$21)</f>
        <v>-1</v>
      </c>
      <c r="G27" s="117">
        <f t="shared" si="0"/>
        <v>3</v>
      </c>
      <c r="H27" s="118">
        <f>G27+8</f>
        <v>11</v>
      </c>
      <c r="I27" s="657">
        <f t="shared" ca="1" si="5"/>
        <v>14</v>
      </c>
      <c r="J27" s="117">
        <f t="shared" ca="1" si="1"/>
        <v>17</v>
      </c>
      <c r="K27" s="70">
        <f t="shared" ca="1" si="7"/>
        <v>25</v>
      </c>
      <c r="L27" s="154"/>
    </row>
    <row r="28" spans="1:12" s="124" customFormat="1" ht="17.399999999999999" x14ac:dyDescent="0.3">
      <c r="A28" s="174" t="s">
        <v>52</v>
      </c>
      <c r="B28" s="147">
        <v>0</v>
      </c>
      <c r="C28" s="175" t="s">
        <v>32</v>
      </c>
      <c r="D28" s="176" t="str">
        <f>IF(C28="Str",'Personal File'!$C$9,IF(C28="Dex",'Personal File'!$C$10,IF(C28="Con",'Personal File'!$C$11,IF(C28="Int",'Personal File'!$C$12,IF(C28="Wis",'Personal File'!$C$13,IF(C28="Cha",'Personal File'!$C$14))))))</f>
        <v>+4</v>
      </c>
      <c r="E28" s="176" t="str">
        <f t="shared" si="3"/>
        <v>Dex (+4)</v>
      </c>
      <c r="F28" s="150" t="s">
        <v>60</v>
      </c>
      <c r="G28" s="151">
        <f t="shared" si="0"/>
        <v>4</v>
      </c>
      <c r="H28" s="118">
        <f t="shared" si="6"/>
        <v>4</v>
      </c>
      <c r="I28" s="657">
        <f t="shared" ca="1" si="5"/>
        <v>12</v>
      </c>
      <c r="J28" s="150">
        <f t="shared" ca="1" si="1"/>
        <v>16</v>
      </c>
      <c r="K28" s="70">
        <f t="shared" ca="1" si="7"/>
        <v>16</v>
      </c>
      <c r="L28" s="152"/>
    </row>
    <row r="29" spans="1:12" ht="17.399999999999999" x14ac:dyDescent="0.3">
      <c r="A29" s="125" t="s">
        <v>91</v>
      </c>
      <c r="B29" s="95">
        <v>0</v>
      </c>
      <c r="C29" s="126" t="s">
        <v>28</v>
      </c>
      <c r="D29" s="127" t="str">
        <f>IF(C29="Str",'Personal File'!$C$9,IF(C29="Dex",'Personal File'!$C$10,IF(C29="Con",'Personal File'!$C$11,IF(C29="Int",'Personal File'!$C$12,IF(C29="Wis",'Personal File'!$C$13,IF(C29="Cha",'Personal File'!$C$14))))))</f>
        <v>+7</v>
      </c>
      <c r="E29" s="127" t="str">
        <f t="shared" si="3"/>
        <v>Cha (+7)</v>
      </c>
      <c r="F29" s="117" t="s">
        <v>60</v>
      </c>
      <c r="G29" s="117">
        <f t="shared" si="0"/>
        <v>7</v>
      </c>
      <c r="H29" s="118">
        <f t="shared" si="6"/>
        <v>7</v>
      </c>
      <c r="I29" s="657">
        <f t="shared" ca="1" si="5"/>
        <v>2</v>
      </c>
      <c r="J29" s="117">
        <f t="shared" ca="1" si="1"/>
        <v>9</v>
      </c>
      <c r="K29" s="70">
        <f t="shared" ca="1" si="7"/>
        <v>9</v>
      </c>
      <c r="L29" s="101"/>
    </row>
    <row r="30" spans="1:12" ht="17.399999999999999" x14ac:dyDescent="0.3">
      <c r="A30" s="177" t="s">
        <v>95</v>
      </c>
      <c r="B30" s="147">
        <v>0</v>
      </c>
      <c r="C30" s="178" t="s">
        <v>31</v>
      </c>
      <c r="D30" s="179" t="str">
        <f>IF(C30="Str",'Personal File'!$C$9,IF(C30="Dex",'Personal File'!$C$10,IF(C30="Con",'Personal File'!$C$11,IF(C30="Int",'Personal File'!$C$12,IF(C30="Wis",'Personal File'!$C$13,IF(C30="Cha",'Personal File'!$C$14))))))</f>
        <v>+0</v>
      </c>
      <c r="E30" s="179" t="str">
        <f t="shared" si="3"/>
        <v>Wis (+0)</v>
      </c>
      <c r="F30" s="150" t="s">
        <v>60</v>
      </c>
      <c r="G30" s="151">
        <f t="shared" si="0"/>
        <v>0</v>
      </c>
      <c r="H30" s="118">
        <f t="shared" si="6"/>
        <v>0</v>
      </c>
      <c r="I30" s="657">
        <f t="shared" ca="1" si="5"/>
        <v>3</v>
      </c>
      <c r="J30" s="150">
        <f t="shared" ca="1" si="1"/>
        <v>3</v>
      </c>
      <c r="K30" s="70">
        <f t="shared" ca="1" si="7"/>
        <v>3</v>
      </c>
      <c r="L30" s="152"/>
    </row>
    <row r="31" spans="1:12" ht="17.399999999999999" x14ac:dyDescent="0.3">
      <c r="A31" s="120" t="s">
        <v>17</v>
      </c>
      <c r="B31" s="95">
        <v>0</v>
      </c>
      <c r="C31" s="121" t="s">
        <v>32</v>
      </c>
      <c r="D31" s="122" t="str">
        <f>IF(C31="Str",'Personal File'!$C$9,IF(C31="Dex",'Personal File'!$C$10,IF(C31="Con",'Personal File'!$C$11,IF(C31="Int",'Personal File'!$C$12,IF(C31="Wis",'Personal File'!$C$13,IF(C31="Cha",'Personal File'!$C$14))))))</f>
        <v>+4</v>
      </c>
      <c r="E31" s="103" t="str">
        <f t="shared" si="3"/>
        <v>Dex (+4)</v>
      </c>
      <c r="F31" s="117" t="s">
        <v>60</v>
      </c>
      <c r="G31" s="117">
        <f t="shared" si="0"/>
        <v>4</v>
      </c>
      <c r="H31" s="118">
        <f t="shared" si="6"/>
        <v>4</v>
      </c>
      <c r="I31" s="657">
        <f t="shared" ca="1" si="5"/>
        <v>10</v>
      </c>
      <c r="J31" s="117">
        <f t="shared" ca="1" si="1"/>
        <v>14</v>
      </c>
      <c r="K31" s="70">
        <f t="shared" ca="1" si="7"/>
        <v>14</v>
      </c>
      <c r="L31" s="101"/>
    </row>
    <row r="32" spans="1:12" ht="17.399999999999999" x14ac:dyDescent="0.3">
      <c r="A32" s="180" t="s">
        <v>18</v>
      </c>
      <c r="B32" s="95">
        <v>0</v>
      </c>
      <c r="C32" s="114" t="s">
        <v>30</v>
      </c>
      <c r="D32" s="115" t="str">
        <f>IF(C32="Str",'Personal File'!$C$9,IF(C32="Dex",'Personal File'!$C$10,IF(C32="Con",'Personal File'!$C$11,IF(C32="Int",'Personal File'!$C$12,IF(C32="Wis",'Personal File'!$C$13,IF(C32="Cha",'Personal File'!$C$14))))))</f>
        <v>+1</v>
      </c>
      <c r="E32" s="115" t="str">
        <f t="shared" si="3"/>
        <v>Int (+1)</v>
      </c>
      <c r="F32" s="117" t="s">
        <v>60</v>
      </c>
      <c r="G32" s="117">
        <f t="shared" si="0"/>
        <v>1</v>
      </c>
      <c r="H32" s="118">
        <f t="shared" si="6"/>
        <v>1</v>
      </c>
      <c r="I32" s="657">
        <f t="shared" ca="1" si="5"/>
        <v>7</v>
      </c>
      <c r="J32" s="117">
        <f t="shared" ca="1" si="1"/>
        <v>8</v>
      </c>
      <c r="K32" s="70">
        <f t="shared" ca="1" si="7"/>
        <v>8</v>
      </c>
      <c r="L32" s="154"/>
    </row>
    <row r="33" spans="1:12" ht="17.399999999999999" x14ac:dyDescent="0.3">
      <c r="A33" s="164" t="s">
        <v>53</v>
      </c>
      <c r="B33" s="95">
        <v>0</v>
      </c>
      <c r="C33" s="165" t="s">
        <v>31</v>
      </c>
      <c r="D33" s="166" t="str">
        <f>IF(C33="Str",'Personal File'!$C$9,IF(C33="Dex",'Personal File'!$C$10,IF(C33="Con",'Personal File'!$C$11,IF(C33="Int",'Personal File'!$C$12,IF(C33="Wis",'Personal File'!$C$13,IF(C33="Cha",'Personal File'!$C$14))))))</f>
        <v>+0</v>
      </c>
      <c r="E33" s="166" t="str">
        <f t="shared" si="3"/>
        <v>Wis (+0)</v>
      </c>
      <c r="F33" s="117" t="s">
        <v>60</v>
      </c>
      <c r="G33" s="117">
        <f t="shared" si="0"/>
        <v>0</v>
      </c>
      <c r="H33" s="118">
        <f t="shared" si="6"/>
        <v>0</v>
      </c>
      <c r="I33" s="657">
        <f t="shared" ca="1" si="5"/>
        <v>17</v>
      </c>
      <c r="J33" s="117">
        <f t="shared" ca="1" si="1"/>
        <v>17</v>
      </c>
      <c r="K33" s="70">
        <f t="shared" ca="1" si="7"/>
        <v>17</v>
      </c>
      <c r="L33" s="101"/>
    </row>
    <row r="34" spans="1:12" ht="17.399999999999999" x14ac:dyDescent="0.3">
      <c r="A34" s="174" t="s">
        <v>97</v>
      </c>
      <c r="B34" s="147">
        <v>0</v>
      </c>
      <c r="C34" s="175" t="s">
        <v>32</v>
      </c>
      <c r="D34" s="176" t="str">
        <f>IF(C34="Str",'Personal File'!$C$9,IF(C34="Dex",'Personal File'!$C$10,IF(C34="Con",'Personal File'!$C$11,IF(C34="Int",'Personal File'!$C$12,IF(C34="Wis",'Personal File'!$C$13,IF(C34="Cha",'Personal File'!$C$14))))))</f>
        <v>+4</v>
      </c>
      <c r="E34" s="176" t="str">
        <f t="shared" si="3"/>
        <v>Dex (+4)</v>
      </c>
      <c r="F34" s="181">
        <f>SUM(Martial!$D$20:$D$21)</f>
        <v>-1</v>
      </c>
      <c r="G34" s="151">
        <f t="shared" si="0"/>
        <v>3</v>
      </c>
      <c r="H34" s="118">
        <f t="shared" si="6"/>
        <v>3</v>
      </c>
      <c r="I34" s="657">
        <f t="shared" ca="1" si="5"/>
        <v>7</v>
      </c>
      <c r="J34" s="150">
        <f t="shared" ca="1" si="1"/>
        <v>10</v>
      </c>
      <c r="K34" s="70">
        <f t="shared" ca="1" si="7"/>
        <v>10</v>
      </c>
      <c r="L34" s="152"/>
    </row>
    <row r="35" spans="1:12" ht="17.399999999999999" x14ac:dyDescent="0.3">
      <c r="A35" s="170" t="s">
        <v>54</v>
      </c>
      <c r="B35" s="135">
        <v>15</v>
      </c>
      <c r="C35" s="171" t="s">
        <v>30</v>
      </c>
      <c r="D35" s="172" t="str">
        <f>IF(C35="Str",'Personal File'!$C$9,IF(C35="Dex",'Personal File'!$C$10,IF(C35="Con",'Personal File'!$C$11,IF(C35="Int",'Personal File'!$C$12,IF(C35="Wis",'Personal File'!$C$13,IF(C35="Cha",'Personal File'!$C$14))))))</f>
        <v>+1</v>
      </c>
      <c r="E35" s="172" t="str">
        <f t="shared" si="3"/>
        <v>Int (+1)</v>
      </c>
      <c r="F35" s="138" t="s">
        <v>104</v>
      </c>
      <c r="G35" s="138">
        <f t="shared" si="0"/>
        <v>18</v>
      </c>
      <c r="H35" s="118">
        <f t="shared" si="6"/>
        <v>18</v>
      </c>
      <c r="I35" s="657">
        <f t="shared" ca="1" si="5"/>
        <v>10</v>
      </c>
      <c r="J35" s="138">
        <f t="shared" ca="1" si="1"/>
        <v>28</v>
      </c>
      <c r="K35" s="70">
        <f t="shared" ca="1" si="7"/>
        <v>28</v>
      </c>
      <c r="L35" s="182"/>
    </row>
    <row r="36" spans="1:12" ht="17.399999999999999" x14ac:dyDescent="0.3">
      <c r="A36" s="164" t="s">
        <v>55</v>
      </c>
      <c r="B36" s="95">
        <v>0</v>
      </c>
      <c r="C36" s="165" t="s">
        <v>31</v>
      </c>
      <c r="D36" s="166" t="str">
        <f>IF(C36="Str",'Personal File'!$C$9,IF(C36="Dex",'Personal File'!$C$10,IF(C36="Con",'Personal File'!$C$11,IF(C36="Int",'Personal File'!$C$12,IF(C36="Wis",'Personal File'!$C$13,IF(C36="Cha",'Personal File'!$C$14))))))</f>
        <v>+0</v>
      </c>
      <c r="E36" s="166" t="str">
        <f t="shared" si="3"/>
        <v>Wis (+0)</v>
      </c>
      <c r="F36" s="117" t="s">
        <v>104</v>
      </c>
      <c r="G36" s="117">
        <f t="shared" si="0"/>
        <v>2</v>
      </c>
      <c r="H36" s="118">
        <f>G36+4</f>
        <v>6</v>
      </c>
      <c r="I36" s="657">
        <f t="shared" ca="1" si="5"/>
        <v>6</v>
      </c>
      <c r="J36" s="117">
        <f t="shared" ca="1" si="1"/>
        <v>8</v>
      </c>
      <c r="K36" s="70">
        <f t="shared" ca="1" si="7"/>
        <v>12</v>
      </c>
      <c r="L36" s="154"/>
    </row>
    <row r="37" spans="1:12" ht="17.399999999999999" x14ac:dyDescent="0.3">
      <c r="A37" s="183" t="s">
        <v>98</v>
      </c>
      <c r="B37" s="156">
        <v>0</v>
      </c>
      <c r="C37" s="184" t="s">
        <v>31</v>
      </c>
      <c r="D37" s="185" t="str">
        <f>IF(C37="Str",'Personal File'!$C$9,IF(C37="Dex",'Personal File'!$C$10,IF(C37="Con",'Personal File'!$C$11,IF(C37="Int",'Personal File'!$C$12,IF(C37="Wis",'Personal File'!$C$13,IF(C37="Cha",'Personal File'!$C$14))))))</f>
        <v>+0</v>
      </c>
      <c r="E37" s="185" t="str">
        <f t="shared" si="3"/>
        <v>Wis (+0)</v>
      </c>
      <c r="F37" s="159" t="s">
        <v>60</v>
      </c>
      <c r="G37" s="159">
        <f t="shared" si="0"/>
        <v>0</v>
      </c>
      <c r="H37" s="118">
        <f t="shared" si="6"/>
        <v>0</v>
      </c>
      <c r="I37" s="657">
        <f t="shared" ca="1" si="5"/>
        <v>1</v>
      </c>
      <c r="J37" s="159">
        <f t="shared" ca="1" si="1"/>
        <v>1</v>
      </c>
      <c r="K37" s="70">
        <f t="shared" ca="1" si="7"/>
        <v>1</v>
      </c>
      <c r="L37" s="160"/>
    </row>
    <row r="38" spans="1:12" ht="17.399999999999999" x14ac:dyDescent="0.3">
      <c r="A38" s="130" t="s">
        <v>19</v>
      </c>
      <c r="B38" s="95">
        <v>0</v>
      </c>
      <c r="C38" s="131" t="s">
        <v>33</v>
      </c>
      <c r="D38" s="132" t="str">
        <f>IF(C38="Str",'Personal File'!$C$9,IF(C38="Dex",'Personal File'!$C$10,IF(C38="Con",'Personal File'!$C$11,IF(C38="Int",'Personal File'!$C$12,IF(C38="Wis",'Personal File'!$C$13,IF(C38="Cha",'Personal File'!$C$14))))))</f>
        <v>+6</v>
      </c>
      <c r="E38" s="132" t="str">
        <f t="shared" si="3"/>
        <v>Str (+6)</v>
      </c>
      <c r="F38" s="117" t="s">
        <v>60</v>
      </c>
      <c r="G38" s="117">
        <f t="shared" si="0"/>
        <v>6</v>
      </c>
      <c r="H38" s="118">
        <f t="shared" si="6"/>
        <v>6</v>
      </c>
      <c r="I38" s="657">
        <f t="shared" ca="1" si="5"/>
        <v>17</v>
      </c>
      <c r="J38" s="117">
        <f t="shared" ca="1" si="1"/>
        <v>23</v>
      </c>
      <c r="K38" s="70">
        <f t="shared" ca="1" si="7"/>
        <v>23</v>
      </c>
      <c r="L38" s="101"/>
    </row>
    <row r="39" spans="1:12" ht="17.399999999999999" x14ac:dyDescent="0.3">
      <c r="A39" s="186" t="s">
        <v>56</v>
      </c>
      <c r="B39" s="187">
        <v>0</v>
      </c>
      <c r="C39" s="188" t="s">
        <v>32</v>
      </c>
      <c r="D39" s="189" t="str">
        <f>IF(C39="Str",'Personal File'!$C$9,IF(C39="Dex",'Personal File'!$C$10,IF(C39="Con",'Personal File'!$C$11,IF(C39="Int",'Personal File'!$C$12,IF(C39="Wis",'Personal File'!$C$13,IF(C39="Cha",'Personal File'!$C$14))))))</f>
        <v>+4</v>
      </c>
      <c r="E39" s="189" t="str">
        <f t="shared" si="3"/>
        <v>Dex (+4)</v>
      </c>
      <c r="F39" s="181">
        <f>SUM(Martial!$D$20:$D$21)</f>
        <v>-1</v>
      </c>
      <c r="G39" s="151">
        <f t="shared" si="0"/>
        <v>3</v>
      </c>
      <c r="H39" s="118">
        <f t="shared" si="6"/>
        <v>3</v>
      </c>
      <c r="I39" s="657">
        <f t="shared" ca="1" si="5"/>
        <v>6</v>
      </c>
      <c r="J39" s="150">
        <f t="shared" ca="1" si="1"/>
        <v>9</v>
      </c>
      <c r="K39" s="70">
        <f t="shared" ca="1" si="7"/>
        <v>9</v>
      </c>
      <c r="L39" s="190"/>
    </row>
    <row r="40" spans="1:12" ht="17.399999999999999" x14ac:dyDescent="0.3">
      <c r="A40" s="191" t="s">
        <v>57</v>
      </c>
      <c r="B40" s="192">
        <v>0</v>
      </c>
      <c r="C40" s="193" t="s">
        <v>28</v>
      </c>
      <c r="D40" s="194" t="str">
        <f>IF(C40="Str",'Personal File'!$C$9,IF(C40="Dex",'Personal File'!$C$10,IF(C40="Con",'Personal File'!$C$11,IF(C40="Int",'Personal File'!$C$12,IF(C40="Wis",'Personal File'!$C$13,IF(C40="Cha",'Personal File'!$C$14))))))</f>
        <v>+7</v>
      </c>
      <c r="E40" s="194" t="str">
        <f t="shared" si="3"/>
        <v>Cha (+7)</v>
      </c>
      <c r="F40" s="195" t="s">
        <v>104</v>
      </c>
      <c r="G40" s="151">
        <f t="shared" si="0"/>
        <v>9</v>
      </c>
      <c r="H40" s="118">
        <f t="shared" si="6"/>
        <v>9</v>
      </c>
      <c r="I40" s="657">
        <f t="shared" ca="1" si="5"/>
        <v>3</v>
      </c>
      <c r="J40" s="150">
        <f t="shared" ca="1" si="1"/>
        <v>12</v>
      </c>
      <c r="K40" s="70">
        <f t="shared" ca="1" si="7"/>
        <v>12</v>
      </c>
      <c r="L40" s="196"/>
    </row>
    <row r="41" spans="1:12" ht="18" thickBot="1" x14ac:dyDescent="0.35">
      <c r="A41" s="197" t="s">
        <v>58</v>
      </c>
      <c r="B41" s="198">
        <v>0</v>
      </c>
      <c r="C41" s="199" t="s">
        <v>32</v>
      </c>
      <c r="D41" s="200" t="str">
        <f>IF(C41="Str",'Personal File'!$C$9,IF(C41="Dex",'Personal File'!$C$10,IF(C41="Con",'Personal File'!$C$11,IF(C41="Int",'Personal File'!$C$12,IF(C41="Wis",'Personal File'!$C$13,IF(C41="Cha",'Personal File'!$C$14))))))</f>
        <v>+4</v>
      </c>
      <c r="E41" s="200" t="str">
        <f t="shared" si="3"/>
        <v>Dex (+4)</v>
      </c>
      <c r="F41" s="201" t="s">
        <v>60</v>
      </c>
      <c r="G41" s="201">
        <f t="shared" si="0"/>
        <v>4</v>
      </c>
      <c r="H41" s="202">
        <f>G41</f>
        <v>4</v>
      </c>
      <c r="I41" s="658">
        <f t="shared" ca="1" si="5"/>
        <v>14</v>
      </c>
      <c r="J41" s="201">
        <f t="shared" ca="1" si="1"/>
        <v>18</v>
      </c>
      <c r="K41" s="203">
        <f ca="1">SUM(H41:I41)</f>
        <v>18</v>
      </c>
      <c r="L41" s="204"/>
    </row>
    <row r="42" spans="1:12" ht="16.2" thickTop="1" x14ac:dyDescent="0.3">
      <c r="B42" s="205">
        <f>SUM(B6:B41)</f>
        <v>70</v>
      </c>
      <c r="E42" s="206">
        <f>SUM(E43:E57)</f>
        <v>70</v>
      </c>
    </row>
    <row r="43" spans="1:12" x14ac:dyDescent="0.3">
      <c r="B43" s="205"/>
      <c r="E43" s="207">
        <f>4*(2+'Personal File'!$C$12)</f>
        <v>12</v>
      </c>
      <c r="F43" s="208" t="s">
        <v>194</v>
      </c>
    </row>
    <row r="44" spans="1:12" x14ac:dyDescent="0.3">
      <c r="E44" s="207">
        <f>2+'Personal File'!$C$12</f>
        <v>3</v>
      </c>
      <c r="F44" s="208" t="s">
        <v>191</v>
      </c>
    </row>
    <row r="45" spans="1:12" x14ac:dyDescent="0.3">
      <c r="E45" s="207">
        <f>2+'Personal File'!$C$12</f>
        <v>3</v>
      </c>
      <c r="F45" s="208" t="s">
        <v>193</v>
      </c>
    </row>
    <row r="46" spans="1:12" x14ac:dyDescent="0.3">
      <c r="E46" s="207">
        <f>2+'Personal File'!$C$12</f>
        <v>3</v>
      </c>
      <c r="F46" s="208" t="s">
        <v>192</v>
      </c>
    </row>
    <row r="47" spans="1:12" x14ac:dyDescent="0.3">
      <c r="E47" s="207">
        <f>2+'Personal File'!$C$12</f>
        <v>3</v>
      </c>
      <c r="F47" s="208" t="s">
        <v>185</v>
      </c>
    </row>
    <row r="48" spans="1:12" x14ac:dyDescent="0.3">
      <c r="E48" s="207">
        <f>2+'Personal File'!$C$12</f>
        <v>3</v>
      </c>
      <c r="F48" s="208" t="s">
        <v>197</v>
      </c>
    </row>
    <row r="49" spans="5:6" x14ac:dyDescent="0.3">
      <c r="E49" s="207">
        <f>2+'Personal File'!$C$12</f>
        <v>3</v>
      </c>
      <c r="F49" s="208" t="s">
        <v>220</v>
      </c>
    </row>
    <row r="50" spans="5:6" x14ac:dyDescent="0.3">
      <c r="E50" s="207">
        <f>2+'Personal File'!$C$12</f>
        <v>3</v>
      </c>
      <c r="F50" s="208" t="s">
        <v>251</v>
      </c>
    </row>
    <row r="51" spans="5:6" x14ac:dyDescent="0.3">
      <c r="E51" s="207">
        <f>2+'Personal File'!$C$12</f>
        <v>3</v>
      </c>
      <c r="F51" s="208" t="s">
        <v>257</v>
      </c>
    </row>
    <row r="52" spans="5:6" x14ac:dyDescent="0.3">
      <c r="E52" s="207">
        <f>2+'Personal File'!$C$12</f>
        <v>3</v>
      </c>
      <c r="F52" s="208" t="s">
        <v>258</v>
      </c>
    </row>
    <row r="53" spans="5:6" x14ac:dyDescent="0.3">
      <c r="E53" s="207">
        <f>2+'Personal File'!$C$12</f>
        <v>3</v>
      </c>
      <c r="F53" s="208" t="s">
        <v>301</v>
      </c>
    </row>
    <row r="54" spans="5:6" x14ac:dyDescent="0.3">
      <c r="E54" s="207">
        <f>2+'Personal File'!$C$12</f>
        <v>3</v>
      </c>
      <c r="F54" s="208" t="s">
        <v>302</v>
      </c>
    </row>
    <row r="55" spans="5:6" x14ac:dyDescent="0.3">
      <c r="E55" s="207">
        <f>2+'Personal File'!$C$12</f>
        <v>3</v>
      </c>
      <c r="F55" s="208" t="s">
        <v>348</v>
      </c>
    </row>
    <row r="56" spans="5:6" x14ac:dyDescent="0.3">
      <c r="E56" s="207">
        <f>2+'Personal File'!$C$12</f>
        <v>3</v>
      </c>
      <c r="F56" s="208" t="s">
        <v>384</v>
      </c>
    </row>
    <row r="57" spans="5:6" x14ac:dyDescent="0.3">
      <c r="E57" s="206">
        <f>SUM('Personal File'!E3:E4,3)</f>
        <v>19</v>
      </c>
      <c r="F57" s="208" t="s">
        <v>177</v>
      </c>
    </row>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2"/>
  <sheetViews>
    <sheetView showGridLines="0" zoomScaleNormal="100" workbookViewId="0">
      <pane ySplit="2" topLeftCell="A3" activePane="bottomLeft" state="frozen"/>
      <selection pane="bottomLeft" activeCell="A3" sqref="A3"/>
    </sheetView>
  </sheetViews>
  <sheetFormatPr defaultColWidth="13" defaultRowHeight="15.6" x14ac:dyDescent="0.3"/>
  <cols>
    <col min="1" max="1" width="21.69921875" style="266" bestFit="1" customWidth="1"/>
    <col min="2" max="2" width="6.19921875" style="266" bestFit="1" customWidth="1"/>
    <col min="3" max="3" width="13.59765625" style="267" bestFit="1" customWidth="1"/>
    <col min="4" max="4" width="12.69921875" style="267" customWidth="1"/>
    <col min="5" max="5" width="7.296875" style="267" bestFit="1" customWidth="1"/>
    <col min="6" max="6" width="13.19921875" style="267" bestFit="1" customWidth="1"/>
    <col min="7" max="7" width="11.19921875" style="267" bestFit="1" customWidth="1"/>
    <col min="8" max="8" width="21.3984375" style="266" bestFit="1" customWidth="1"/>
    <col min="9" max="9" width="5.5" style="8" bestFit="1" customWidth="1"/>
    <col min="10" max="10" width="9.19921875" style="270" customWidth="1"/>
    <col min="11" max="11" width="8.3984375" style="211" customWidth="1"/>
    <col min="12" max="12" width="8.296875" style="8" bestFit="1" customWidth="1"/>
    <col min="13" max="16384" width="13" style="211"/>
  </cols>
  <sheetData>
    <row r="1" spans="1:12" ht="24" thickBot="1" x14ac:dyDescent="0.35">
      <c r="A1" s="209" t="s">
        <v>127</v>
      </c>
      <c r="B1" s="210"/>
      <c r="C1" s="210"/>
      <c r="D1" s="210"/>
      <c r="E1" s="210"/>
      <c r="F1" s="210"/>
      <c r="G1" s="210"/>
      <c r="H1" s="210"/>
    </row>
    <row r="2" spans="1:12" s="217" customFormat="1" ht="18" thickBot="1" x14ac:dyDescent="0.35">
      <c r="A2" s="212" t="s">
        <v>77</v>
      </c>
      <c r="B2" s="213" t="s">
        <v>126</v>
      </c>
      <c r="C2" s="213" t="s">
        <v>125</v>
      </c>
      <c r="D2" s="269" t="s">
        <v>124</v>
      </c>
      <c r="E2" s="214" t="s">
        <v>123</v>
      </c>
      <c r="F2" s="213" t="s">
        <v>67</v>
      </c>
      <c r="G2" s="213" t="s">
        <v>22</v>
      </c>
      <c r="H2" s="215" t="s">
        <v>239</v>
      </c>
      <c r="I2" s="216" t="s">
        <v>240</v>
      </c>
      <c r="J2" s="271"/>
      <c r="L2" s="51"/>
    </row>
    <row r="3" spans="1:12" ht="17.399999999999999" x14ac:dyDescent="0.3">
      <c r="A3" s="218" t="s">
        <v>151</v>
      </c>
      <c r="B3" s="219">
        <v>0</v>
      </c>
      <c r="C3" s="220" t="s">
        <v>152</v>
      </c>
      <c r="D3" s="221" t="s">
        <v>118</v>
      </c>
      <c r="E3" s="222" t="s">
        <v>117</v>
      </c>
      <c r="F3" s="223" t="s">
        <v>121</v>
      </c>
      <c r="G3" s="223" t="s">
        <v>73</v>
      </c>
      <c r="H3" s="224" t="s">
        <v>241</v>
      </c>
      <c r="I3" s="225">
        <v>196</v>
      </c>
    </row>
    <row r="4" spans="1:12" ht="17.399999999999999" x14ac:dyDescent="0.3">
      <c r="A4" s="218" t="s">
        <v>149</v>
      </c>
      <c r="B4" s="219">
        <v>0</v>
      </c>
      <c r="C4" s="220" t="s">
        <v>119</v>
      </c>
      <c r="D4" s="221" t="s">
        <v>118</v>
      </c>
      <c r="E4" s="222" t="s">
        <v>117</v>
      </c>
      <c r="F4" s="223" t="s">
        <v>121</v>
      </c>
      <c r="G4" s="223" t="s">
        <v>73</v>
      </c>
      <c r="H4" s="223" t="s">
        <v>242</v>
      </c>
      <c r="I4" s="225">
        <v>78</v>
      </c>
    </row>
    <row r="5" spans="1:12" ht="17.399999999999999" x14ac:dyDescent="0.3">
      <c r="A5" s="218" t="s">
        <v>195</v>
      </c>
      <c r="B5" s="219">
        <v>0</v>
      </c>
      <c r="C5" s="220" t="s">
        <v>217</v>
      </c>
      <c r="D5" s="226" t="s">
        <v>196</v>
      </c>
      <c r="E5" s="227" t="s">
        <v>117</v>
      </c>
      <c r="F5" s="223" t="s">
        <v>170</v>
      </c>
      <c r="G5" s="223" t="s">
        <v>73</v>
      </c>
      <c r="H5" s="228" t="s">
        <v>242</v>
      </c>
      <c r="I5" s="229">
        <v>130</v>
      </c>
    </row>
    <row r="6" spans="1:12" ht="17.399999999999999" x14ac:dyDescent="0.3">
      <c r="A6" s="218" t="s">
        <v>201</v>
      </c>
      <c r="B6" s="219">
        <v>0</v>
      </c>
      <c r="C6" s="220" t="s">
        <v>217</v>
      </c>
      <c r="D6" s="226" t="s">
        <v>122</v>
      </c>
      <c r="E6" s="227" t="s">
        <v>117</v>
      </c>
      <c r="F6" s="224" t="s">
        <v>116</v>
      </c>
      <c r="G6" s="223" t="s">
        <v>225</v>
      </c>
      <c r="H6" s="224" t="s">
        <v>241</v>
      </c>
      <c r="I6" s="225">
        <v>253</v>
      </c>
    </row>
    <row r="7" spans="1:12" ht="17.399999999999999" x14ac:dyDescent="0.3">
      <c r="A7" s="218" t="s">
        <v>248</v>
      </c>
      <c r="B7" s="219">
        <v>0</v>
      </c>
      <c r="C7" s="220" t="s">
        <v>217</v>
      </c>
      <c r="D7" s="226" t="s">
        <v>118</v>
      </c>
      <c r="E7" s="227" t="s">
        <v>117</v>
      </c>
      <c r="F7" s="224" t="s">
        <v>121</v>
      </c>
      <c r="G7" s="223" t="s">
        <v>219</v>
      </c>
      <c r="H7" s="224" t="s">
        <v>243</v>
      </c>
      <c r="I7" s="225">
        <v>100</v>
      </c>
    </row>
    <row r="8" spans="1:12" ht="17.399999999999999" x14ac:dyDescent="0.3">
      <c r="A8" s="218" t="s">
        <v>264</v>
      </c>
      <c r="B8" s="219">
        <v>0</v>
      </c>
      <c r="C8" s="220" t="s">
        <v>261</v>
      </c>
      <c r="D8" s="226" t="s">
        <v>118</v>
      </c>
      <c r="E8" s="227" t="s">
        <v>117</v>
      </c>
      <c r="F8" s="224" t="s">
        <v>228</v>
      </c>
      <c r="G8" s="223" t="s">
        <v>265</v>
      </c>
      <c r="H8" s="224" t="s">
        <v>241</v>
      </c>
      <c r="I8" s="225">
        <v>264</v>
      </c>
    </row>
    <row r="9" spans="1:12" ht="17.399999999999999" x14ac:dyDescent="0.3">
      <c r="A9" s="218" t="s">
        <v>150</v>
      </c>
      <c r="B9" s="219">
        <v>0</v>
      </c>
      <c r="C9" s="220" t="s">
        <v>152</v>
      </c>
      <c r="D9" s="226" t="s">
        <v>118</v>
      </c>
      <c r="E9" s="221" t="s">
        <v>117</v>
      </c>
      <c r="F9" s="223" t="s">
        <v>121</v>
      </c>
      <c r="G9" s="223" t="s">
        <v>73</v>
      </c>
      <c r="H9" s="228" t="s">
        <v>241</v>
      </c>
      <c r="I9" s="225">
        <v>269</v>
      </c>
    </row>
    <row r="10" spans="1:12" ht="17.399999999999999" x14ac:dyDescent="0.3">
      <c r="A10" s="230" t="s">
        <v>214</v>
      </c>
      <c r="B10" s="231">
        <v>0</v>
      </c>
      <c r="C10" s="232" t="s">
        <v>249</v>
      </c>
      <c r="D10" s="233" t="s">
        <v>198</v>
      </c>
      <c r="E10" s="234" t="s">
        <v>117</v>
      </c>
      <c r="F10" s="235" t="s">
        <v>170</v>
      </c>
      <c r="G10" s="235" t="s">
        <v>250</v>
      </c>
      <c r="H10" s="236" t="s">
        <v>241</v>
      </c>
      <c r="I10" s="237">
        <v>294</v>
      </c>
    </row>
    <row r="11" spans="1:12" ht="17.399999999999999" x14ac:dyDescent="0.3">
      <c r="A11" s="238" t="s">
        <v>212</v>
      </c>
      <c r="B11" s="239">
        <v>1</v>
      </c>
      <c r="C11" s="240" t="s">
        <v>217</v>
      </c>
      <c r="D11" s="226" t="s">
        <v>198</v>
      </c>
      <c r="E11" s="227" t="s">
        <v>218</v>
      </c>
      <c r="F11" s="224" t="s">
        <v>121</v>
      </c>
      <c r="G11" s="224" t="s">
        <v>219</v>
      </c>
      <c r="H11" s="224" t="s">
        <v>241</v>
      </c>
      <c r="I11" s="225">
        <v>227</v>
      </c>
      <c r="J11" s="1" t="s">
        <v>344</v>
      </c>
    </row>
    <row r="12" spans="1:12" ht="17.399999999999999" x14ac:dyDescent="0.3">
      <c r="A12" s="218" t="s">
        <v>298</v>
      </c>
      <c r="B12" s="219">
        <v>1</v>
      </c>
      <c r="C12" s="240" t="s">
        <v>152</v>
      </c>
      <c r="D12" s="226" t="s">
        <v>118</v>
      </c>
      <c r="E12" s="227" t="s">
        <v>117</v>
      </c>
      <c r="F12" s="224" t="s">
        <v>121</v>
      </c>
      <c r="G12" s="224" t="s">
        <v>73</v>
      </c>
      <c r="H12" s="224" t="s">
        <v>262</v>
      </c>
      <c r="I12" s="225">
        <v>116</v>
      </c>
    </row>
    <row r="13" spans="1:12" ht="17.399999999999999" x14ac:dyDescent="0.3">
      <c r="A13" s="238" t="s">
        <v>213</v>
      </c>
      <c r="B13" s="239">
        <v>1</v>
      </c>
      <c r="C13" s="240" t="s">
        <v>152</v>
      </c>
      <c r="D13" s="226" t="s">
        <v>122</v>
      </c>
      <c r="E13" s="227" t="s">
        <v>117</v>
      </c>
      <c r="F13" s="224" t="s">
        <v>170</v>
      </c>
      <c r="G13" s="241" t="s">
        <v>238</v>
      </c>
      <c r="H13" s="224" t="s">
        <v>241</v>
      </c>
      <c r="I13" s="225">
        <v>249</v>
      </c>
      <c r="J13" s="1" t="s">
        <v>344</v>
      </c>
    </row>
    <row r="14" spans="1:12" ht="17.399999999999999" x14ac:dyDescent="0.3">
      <c r="A14" s="230" t="s">
        <v>120</v>
      </c>
      <c r="B14" s="231">
        <v>1</v>
      </c>
      <c r="C14" s="242" t="s">
        <v>119</v>
      </c>
      <c r="D14" s="243" t="s">
        <v>118</v>
      </c>
      <c r="E14" s="244" t="s">
        <v>117</v>
      </c>
      <c r="F14" s="245" t="s">
        <v>116</v>
      </c>
      <c r="G14" s="245" t="s">
        <v>73</v>
      </c>
      <c r="H14" s="236" t="s">
        <v>241</v>
      </c>
      <c r="I14" s="246">
        <v>251</v>
      </c>
      <c r="J14" s="1"/>
    </row>
    <row r="15" spans="1:12" ht="17.399999999999999" x14ac:dyDescent="0.3">
      <c r="A15" s="247" t="s">
        <v>256</v>
      </c>
      <c r="B15" s="248">
        <v>2</v>
      </c>
      <c r="C15" s="240" t="s">
        <v>217</v>
      </c>
      <c r="D15" s="226" t="s">
        <v>259</v>
      </c>
      <c r="E15" s="227" t="s">
        <v>117</v>
      </c>
      <c r="F15" s="224" t="s">
        <v>170</v>
      </c>
      <c r="G15" s="224" t="s">
        <v>219</v>
      </c>
      <c r="H15" s="224" t="s">
        <v>241</v>
      </c>
      <c r="I15" s="225">
        <v>207</v>
      </c>
      <c r="J15" s="1" t="s">
        <v>344</v>
      </c>
    </row>
    <row r="16" spans="1:12" ht="17.399999999999999" x14ac:dyDescent="0.3">
      <c r="A16" s="218" t="s">
        <v>309</v>
      </c>
      <c r="B16" s="219">
        <v>2</v>
      </c>
      <c r="C16" s="240" t="s">
        <v>119</v>
      </c>
      <c r="D16" s="226" t="s">
        <v>118</v>
      </c>
      <c r="E16" s="227" t="s">
        <v>117</v>
      </c>
      <c r="F16" s="224" t="s">
        <v>121</v>
      </c>
      <c r="G16" s="224" t="s">
        <v>73</v>
      </c>
      <c r="H16" s="224" t="s">
        <v>241</v>
      </c>
      <c r="I16" s="225">
        <v>274</v>
      </c>
      <c r="K16" s="211" t="s">
        <v>335</v>
      </c>
    </row>
    <row r="17" spans="1:11" ht="17.399999999999999" x14ac:dyDescent="0.3">
      <c r="A17" s="218" t="s">
        <v>310</v>
      </c>
      <c r="B17" s="219">
        <v>2</v>
      </c>
      <c r="C17" s="240" t="s">
        <v>152</v>
      </c>
      <c r="D17" s="249" t="s">
        <v>198</v>
      </c>
      <c r="E17" s="227" t="s">
        <v>117</v>
      </c>
      <c r="F17" s="250" t="s">
        <v>311</v>
      </c>
      <c r="G17" s="224" t="s">
        <v>250</v>
      </c>
      <c r="H17" s="224" t="s">
        <v>312</v>
      </c>
      <c r="I17" s="225">
        <v>107</v>
      </c>
      <c r="K17" s="211" t="s">
        <v>336</v>
      </c>
    </row>
    <row r="18" spans="1:11" ht="17.399999999999999" x14ac:dyDescent="0.3">
      <c r="A18" s="230" t="s">
        <v>297</v>
      </c>
      <c r="B18" s="231">
        <v>2</v>
      </c>
      <c r="C18" s="232" t="s">
        <v>249</v>
      </c>
      <c r="D18" s="233" t="s">
        <v>118</v>
      </c>
      <c r="E18" s="234" t="s">
        <v>117</v>
      </c>
      <c r="F18" s="235" t="s">
        <v>121</v>
      </c>
      <c r="G18" s="235" t="s">
        <v>250</v>
      </c>
      <c r="H18" s="236" t="s">
        <v>243</v>
      </c>
      <c r="I18" s="237">
        <v>110</v>
      </c>
      <c r="K18" s="211" t="s">
        <v>123</v>
      </c>
    </row>
    <row r="19" spans="1:11" ht="17.399999999999999" x14ac:dyDescent="0.3">
      <c r="A19" s="247" t="s">
        <v>260</v>
      </c>
      <c r="B19" s="248">
        <v>3</v>
      </c>
      <c r="C19" s="251" t="s">
        <v>261</v>
      </c>
      <c r="D19" s="226" t="s">
        <v>118</v>
      </c>
      <c r="E19" s="222" t="s">
        <v>117</v>
      </c>
      <c r="F19" s="223" t="s">
        <v>170</v>
      </c>
      <c r="G19" s="252" t="s">
        <v>238</v>
      </c>
      <c r="H19" s="224" t="s">
        <v>262</v>
      </c>
      <c r="I19" s="253">
        <v>105</v>
      </c>
      <c r="J19" s="1" t="s">
        <v>344</v>
      </c>
    </row>
    <row r="20" spans="1:11" ht="17.399999999999999" x14ac:dyDescent="0.3">
      <c r="A20" s="218" t="s">
        <v>307</v>
      </c>
      <c r="B20" s="219">
        <v>3</v>
      </c>
      <c r="C20" s="240" t="s">
        <v>119</v>
      </c>
      <c r="D20" s="249" t="s">
        <v>118</v>
      </c>
      <c r="E20" s="227" t="s">
        <v>117</v>
      </c>
      <c r="F20" s="250" t="s">
        <v>308</v>
      </c>
      <c r="G20" s="224" t="s">
        <v>73</v>
      </c>
      <c r="H20" s="224" t="s">
        <v>262</v>
      </c>
      <c r="I20" s="101">
        <v>121</v>
      </c>
    </row>
    <row r="21" spans="1:11" ht="17.399999999999999" x14ac:dyDescent="0.3">
      <c r="A21" s="230" t="s">
        <v>200</v>
      </c>
      <c r="B21" s="231">
        <v>3</v>
      </c>
      <c r="C21" s="232" t="s">
        <v>217</v>
      </c>
      <c r="D21" s="233" t="s">
        <v>224</v>
      </c>
      <c r="E21" s="234" t="s">
        <v>117</v>
      </c>
      <c r="F21" s="235" t="s">
        <v>170</v>
      </c>
      <c r="G21" s="235" t="s">
        <v>219</v>
      </c>
      <c r="H21" s="236" t="s">
        <v>241</v>
      </c>
      <c r="I21" s="237">
        <v>232</v>
      </c>
      <c r="J21" s="1" t="s">
        <v>344</v>
      </c>
    </row>
    <row r="22" spans="1:11" ht="17.399999999999999" x14ac:dyDescent="0.3">
      <c r="A22" s="247" t="s">
        <v>305</v>
      </c>
      <c r="B22" s="248">
        <v>4</v>
      </c>
      <c r="C22" s="254" t="s">
        <v>249</v>
      </c>
      <c r="D22" s="255" t="s">
        <v>118</v>
      </c>
      <c r="E22" s="256" t="s">
        <v>117</v>
      </c>
      <c r="F22" s="257" t="s">
        <v>116</v>
      </c>
      <c r="G22" s="257" t="s">
        <v>73</v>
      </c>
      <c r="H22" s="257" t="s">
        <v>306</v>
      </c>
      <c r="I22" s="258">
        <v>52</v>
      </c>
    </row>
    <row r="23" spans="1:11" ht="17.399999999999999" x14ac:dyDescent="0.3">
      <c r="A23" s="218" t="s">
        <v>350</v>
      </c>
      <c r="B23" s="219">
        <v>4</v>
      </c>
      <c r="C23" s="240" t="s">
        <v>119</v>
      </c>
      <c r="D23" s="249" t="s">
        <v>259</v>
      </c>
      <c r="E23" s="224" t="s">
        <v>117</v>
      </c>
      <c r="F23" s="250" t="s">
        <v>351</v>
      </c>
      <c r="G23" s="224" t="s">
        <v>352</v>
      </c>
      <c r="H23" s="224" t="s">
        <v>241</v>
      </c>
      <c r="I23" s="101">
        <v>243</v>
      </c>
      <c r="J23" s="1"/>
    </row>
    <row r="24" spans="1:11" ht="17.399999999999999" x14ac:dyDescent="0.3">
      <c r="A24" s="230" t="s">
        <v>263</v>
      </c>
      <c r="B24" s="231">
        <v>4</v>
      </c>
      <c r="C24" s="242" t="s">
        <v>249</v>
      </c>
      <c r="D24" s="243" t="s">
        <v>198</v>
      </c>
      <c r="E24" s="244" t="s">
        <v>117</v>
      </c>
      <c r="F24" s="245" t="s">
        <v>116</v>
      </c>
      <c r="G24" s="245" t="s">
        <v>250</v>
      </c>
      <c r="H24" s="235" t="s">
        <v>262</v>
      </c>
      <c r="I24" s="237">
        <v>100</v>
      </c>
    </row>
    <row r="25" spans="1:11" ht="17.399999999999999" x14ac:dyDescent="0.3">
      <c r="A25" s="247" t="s">
        <v>353</v>
      </c>
      <c r="B25" s="219">
        <v>5</v>
      </c>
      <c r="C25" s="240" t="s">
        <v>152</v>
      </c>
      <c r="D25" s="226" t="s">
        <v>198</v>
      </c>
      <c r="E25" s="227" t="s">
        <v>117</v>
      </c>
      <c r="F25" s="224" t="s">
        <v>351</v>
      </c>
      <c r="G25" s="224" t="s">
        <v>73</v>
      </c>
      <c r="H25" s="224" t="s">
        <v>262</v>
      </c>
      <c r="I25" s="225">
        <v>128</v>
      </c>
      <c r="J25" s="1"/>
    </row>
    <row r="26" spans="1:11" ht="17.399999999999999" x14ac:dyDescent="0.3">
      <c r="A26" s="230" t="s">
        <v>303</v>
      </c>
      <c r="B26" s="231">
        <v>5</v>
      </c>
      <c r="C26" s="242" t="s">
        <v>249</v>
      </c>
      <c r="D26" s="243" t="s">
        <v>198</v>
      </c>
      <c r="E26" s="244" t="s">
        <v>117</v>
      </c>
      <c r="F26" s="245" t="s">
        <v>121</v>
      </c>
      <c r="G26" s="245" t="s">
        <v>73</v>
      </c>
      <c r="H26" s="235" t="s">
        <v>304</v>
      </c>
      <c r="I26" s="237">
        <v>32</v>
      </c>
      <c r="J26" s="1" t="s">
        <v>344</v>
      </c>
    </row>
    <row r="27" spans="1:11" ht="18" thickBot="1" x14ac:dyDescent="0.35">
      <c r="A27" s="259" t="s">
        <v>325</v>
      </c>
      <c r="B27" s="260">
        <v>6</v>
      </c>
      <c r="C27" s="261" t="s">
        <v>152</v>
      </c>
      <c r="D27" s="262" t="s">
        <v>326</v>
      </c>
      <c r="E27" s="263" t="s">
        <v>117</v>
      </c>
      <c r="F27" s="264" t="s">
        <v>116</v>
      </c>
      <c r="G27" s="264" t="s">
        <v>250</v>
      </c>
      <c r="H27" s="264" t="s">
        <v>241</v>
      </c>
      <c r="I27" s="265">
        <v>196</v>
      </c>
      <c r="J27" s="1"/>
    </row>
    <row r="28" spans="1:11" ht="16.2" thickTop="1" x14ac:dyDescent="0.3">
      <c r="A28" s="8"/>
      <c r="D28" s="211"/>
      <c r="E28" s="211"/>
      <c r="F28" s="211"/>
      <c r="G28" s="211"/>
      <c r="H28" s="211"/>
    </row>
    <row r="29" spans="1:11" x14ac:dyDescent="0.3">
      <c r="A29" s="51"/>
      <c r="D29" s="211"/>
      <c r="E29" s="211"/>
      <c r="F29" s="211"/>
      <c r="G29" s="211"/>
      <c r="H29" s="211"/>
    </row>
    <row r="30" spans="1:11" x14ac:dyDescent="0.3">
      <c r="A30" s="51"/>
      <c r="D30" s="211"/>
      <c r="E30" s="211"/>
      <c r="F30" s="211"/>
      <c r="G30" s="211"/>
      <c r="H30" s="211"/>
    </row>
    <row r="31" spans="1:11" x14ac:dyDescent="0.3">
      <c r="A31" s="211"/>
      <c r="B31" s="211"/>
      <c r="C31" s="211"/>
      <c r="D31" s="211"/>
      <c r="E31" s="211"/>
      <c r="F31" s="211"/>
      <c r="G31" s="211"/>
      <c r="H31" s="211"/>
    </row>
    <row r="32" spans="1:11" x14ac:dyDescent="0.3">
      <c r="A32" s="8"/>
      <c r="B32" s="268"/>
    </row>
  </sheetData>
  <sortState xmlns:xlrd2="http://schemas.microsoft.com/office/spreadsheetml/2017/richdata2" ref="A3:I20">
    <sortCondition ref="B3:B20"/>
    <sortCondition ref="A3:A20"/>
  </sortState>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26"/>
  <sheetViews>
    <sheetView showGridLines="0" workbookViewId="0"/>
  </sheetViews>
  <sheetFormatPr defaultColWidth="13" defaultRowHeight="15.6" x14ac:dyDescent="0.3"/>
  <cols>
    <col min="1" max="1" width="14.59765625" style="58" bestFit="1" customWidth="1"/>
    <col min="2" max="2" width="3.59765625" style="266" bestFit="1" customWidth="1"/>
    <col min="3" max="3" width="3.3984375" style="266" bestFit="1" customWidth="1"/>
    <col min="4" max="4" width="3.8984375" style="266" bestFit="1" customWidth="1"/>
    <col min="5" max="5" width="3.69921875" style="266" bestFit="1" customWidth="1"/>
    <col min="6" max="11" width="3.59765625" style="266" bestFit="1" customWidth="1"/>
    <col min="12" max="12" width="1.5" style="266" customWidth="1"/>
    <col min="13" max="13" width="34.5" style="211" bestFit="1" customWidth="1"/>
    <col min="14" max="14" width="1.5" style="211" customWidth="1"/>
    <col min="15" max="15" width="38.3984375" style="211" bestFit="1" customWidth="1"/>
    <col min="16" max="16" width="1.69921875" style="211" customWidth="1"/>
    <col min="17" max="17" width="8.296875" style="211" bestFit="1" customWidth="1"/>
    <col min="18" max="18" width="3.3984375" style="211" bestFit="1" customWidth="1"/>
    <col min="19" max="19" width="3.3984375" style="211" customWidth="1"/>
    <col min="20" max="20" width="3.8984375" style="211" bestFit="1" customWidth="1"/>
    <col min="21" max="21" width="3.69921875" style="211" bestFit="1" customWidth="1"/>
    <col min="22" max="27" width="3.59765625" style="211" bestFit="1" customWidth="1"/>
    <col min="28" max="16384" width="13" style="211"/>
  </cols>
  <sheetData>
    <row r="1" spans="1:27" s="8" customFormat="1" ht="24.6" thickTop="1" thickBot="1" x14ac:dyDescent="0.35">
      <c r="B1" s="272" t="s">
        <v>148</v>
      </c>
      <c r="C1" s="273"/>
      <c r="D1" s="273"/>
      <c r="E1" s="273"/>
      <c r="F1" s="273"/>
      <c r="G1" s="273"/>
      <c r="H1" s="273"/>
      <c r="I1" s="273"/>
      <c r="J1" s="273"/>
      <c r="K1" s="274"/>
      <c r="M1" s="275" t="s">
        <v>112</v>
      </c>
      <c r="O1" s="275" t="s">
        <v>115</v>
      </c>
      <c r="Q1" s="276" t="s">
        <v>340</v>
      </c>
      <c r="R1" s="277"/>
      <c r="S1" s="277"/>
      <c r="T1" s="277"/>
      <c r="U1" s="277"/>
      <c r="V1" s="277"/>
      <c r="W1" s="277"/>
      <c r="X1" s="277"/>
      <c r="Y1" s="277"/>
      <c r="Z1" s="277"/>
      <c r="AA1" s="277"/>
    </row>
    <row r="2" spans="1:27" ht="32.4" thickTop="1" thickBot="1" x14ac:dyDescent="0.35">
      <c r="A2" s="8"/>
      <c r="B2" s="278" t="s">
        <v>132</v>
      </c>
      <c r="C2" s="279" t="s">
        <v>133</v>
      </c>
      <c r="D2" s="279" t="s">
        <v>134</v>
      </c>
      <c r="E2" s="279" t="s">
        <v>135</v>
      </c>
      <c r="F2" s="280" t="s">
        <v>136</v>
      </c>
      <c r="G2" s="279" t="s">
        <v>137</v>
      </c>
      <c r="H2" s="279" t="s">
        <v>138</v>
      </c>
      <c r="I2" s="279" t="s">
        <v>139</v>
      </c>
      <c r="J2" s="280" t="s">
        <v>140</v>
      </c>
      <c r="K2" s="281" t="s">
        <v>141</v>
      </c>
      <c r="L2" s="211"/>
      <c r="M2" s="282" t="s">
        <v>222</v>
      </c>
      <c r="O2" s="283" t="s">
        <v>103</v>
      </c>
      <c r="Q2" s="284" t="s">
        <v>126</v>
      </c>
      <c r="R2" s="285">
        <v>0</v>
      </c>
      <c r="S2" s="285" t="s">
        <v>133</v>
      </c>
      <c r="T2" s="286" t="s">
        <v>134</v>
      </c>
      <c r="U2" s="286" t="s">
        <v>135</v>
      </c>
      <c r="V2" s="286" t="s">
        <v>136</v>
      </c>
      <c r="W2" s="286" t="s">
        <v>137</v>
      </c>
      <c r="X2" s="286" t="s">
        <v>138</v>
      </c>
      <c r="Y2" s="286" t="s">
        <v>139</v>
      </c>
      <c r="Z2" s="286" t="s">
        <v>140</v>
      </c>
      <c r="AA2" s="659" t="s">
        <v>141</v>
      </c>
    </row>
    <row r="3" spans="1:27" ht="20.399999999999999" thickTop="1" x14ac:dyDescent="0.3">
      <c r="A3" s="288" t="s">
        <v>144</v>
      </c>
      <c r="B3" s="289">
        <v>6</v>
      </c>
      <c r="C3" s="290">
        <v>6</v>
      </c>
      <c r="D3" s="290">
        <v>6</v>
      </c>
      <c r="E3" s="290">
        <v>6</v>
      </c>
      <c r="F3" s="290">
        <v>6</v>
      </c>
      <c r="G3" s="290">
        <v>6</v>
      </c>
      <c r="H3" s="290">
        <v>5</v>
      </c>
      <c r="I3" s="290">
        <v>3</v>
      </c>
      <c r="J3" s="291">
        <v>0</v>
      </c>
      <c r="K3" s="292">
        <v>0</v>
      </c>
      <c r="L3" s="211"/>
      <c r="M3" s="293" t="s">
        <v>421</v>
      </c>
      <c r="O3" s="283" t="s">
        <v>102</v>
      </c>
      <c r="Q3" s="294">
        <v>1</v>
      </c>
      <c r="R3" s="295" t="s">
        <v>339</v>
      </c>
      <c r="S3" s="295" t="s">
        <v>104</v>
      </c>
      <c r="T3" s="296"/>
      <c r="U3" s="296"/>
      <c r="V3" s="296"/>
      <c r="W3" s="296"/>
      <c r="X3" s="296"/>
      <c r="Y3" s="296"/>
      <c r="Z3" s="296"/>
      <c r="AA3" s="297"/>
    </row>
    <row r="4" spans="1:27" ht="19.8" x14ac:dyDescent="0.3">
      <c r="A4" s="298" t="s">
        <v>178</v>
      </c>
      <c r="B4" s="299">
        <v>-1</v>
      </c>
      <c r="C4" s="300">
        <v>-1</v>
      </c>
      <c r="D4" s="300">
        <v>-1</v>
      </c>
      <c r="E4" s="300">
        <v>-1</v>
      </c>
      <c r="F4" s="300">
        <v>-1</v>
      </c>
      <c r="G4" s="300">
        <v>-1</v>
      </c>
      <c r="H4" s="300">
        <v>-1</v>
      </c>
      <c r="I4" s="300">
        <v>-1</v>
      </c>
      <c r="J4" s="301">
        <v>-1</v>
      </c>
      <c r="K4" s="302">
        <v>-1</v>
      </c>
      <c r="L4" s="211"/>
      <c r="M4" s="303" t="s">
        <v>422</v>
      </c>
      <c r="O4" s="283" t="s">
        <v>271</v>
      </c>
      <c r="Q4" s="304">
        <v>2</v>
      </c>
      <c r="R4" s="305">
        <v>5</v>
      </c>
      <c r="S4" s="305">
        <v>2</v>
      </c>
      <c r="T4" s="306"/>
      <c r="U4" s="306"/>
      <c r="V4" s="306"/>
      <c r="W4" s="306"/>
      <c r="X4" s="306"/>
      <c r="Y4" s="306"/>
      <c r="Z4" s="306"/>
      <c r="AA4" s="307"/>
    </row>
    <row r="5" spans="1:27" ht="19.8" x14ac:dyDescent="0.3">
      <c r="A5" s="308" t="s">
        <v>143</v>
      </c>
      <c r="B5" s="299">
        <v>0</v>
      </c>
      <c r="C5" s="300">
        <v>1</v>
      </c>
      <c r="D5" s="300">
        <v>1</v>
      </c>
      <c r="E5" s="300">
        <v>1</v>
      </c>
      <c r="F5" s="300">
        <v>1</v>
      </c>
      <c r="G5" s="300">
        <v>1</v>
      </c>
      <c r="H5" s="309">
        <v>1</v>
      </c>
      <c r="I5" s="300">
        <v>1</v>
      </c>
      <c r="J5" s="301">
        <v>0</v>
      </c>
      <c r="K5" s="302">
        <v>0</v>
      </c>
      <c r="L5" s="211"/>
      <c r="M5" s="293" t="s">
        <v>423</v>
      </c>
      <c r="O5" s="283" t="s">
        <v>169</v>
      </c>
      <c r="Q5" s="304">
        <v>3</v>
      </c>
      <c r="R5" s="305">
        <v>5</v>
      </c>
      <c r="S5" s="305">
        <v>3</v>
      </c>
      <c r="T5" s="306"/>
      <c r="U5" s="306"/>
      <c r="V5" s="306"/>
      <c r="W5" s="306"/>
      <c r="X5" s="306"/>
      <c r="Y5" s="306"/>
      <c r="Z5" s="306"/>
      <c r="AA5" s="307"/>
    </row>
    <row r="6" spans="1:27" ht="20.399999999999999" thickBot="1" x14ac:dyDescent="0.35">
      <c r="A6" s="310" t="s">
        <v>142</v>
      </c>
      <c r="B6" s="311">
        <f t="shared" ref="B6:C6" si="0">SUM(B3:B5)</f>
        <v>5</v>
      </c>
      <c r="C6" s="312">
        <f t="shared" si="0"/>
        <v>6</v>
      </c>
      <c r="D6" s="312">
        <f>SUM(D3:D5)</f>
        <v>6</v>
      </c>
      <c r="E6" s="312">
        <f>SUM(E3:E5)</f>
        <v>6</v>
      </c>
      <c r="F6" s="312">
        <f>SUM(F3:F5)</f>
        <v>6</v>
      </c>
      <c r="G6" s="312">
        <f t="shared" ref="G6:H6" si="1">SUM(G3:G5)</f>
        <v>6</v>
      </c>
      <c r="H6" s="312">
        <f t="shared" si="1"/>
        <v>5</v>
      </c>
      <c r="I6" s="312">
        <f t="shared" ref="I6" si="2">SUM(I3:I5)</f>
        <v>3</v>
      </c>
      <c r="J6" s="313">
        <f>SUM(J3:J5)</f>
        <v>-1</v>
      </c>
      <c r="K6" s="314">
        <f>SUM(K3:K5)</f>
        <v>-1</v>
      </c>
      <c r="L6" s="211"/>
      <c r="M6" s="303" t="s">
        <v>424</v>
      </c>
      <c r="O6" s="283" t="s">
        <v>313</v>
      </c>
      <c r="Q6" s="304">
        <v>4</v>
      </c>
      <c r="R6" s="305">
        <v>6</v>
      </c>
      <c r="S6" s="305">
        <v>3</v>
      </c>
      <c r="T6" s="315">
        <v>1</v>
      </c>
      <c r="U6" s="306"/>
      <c r="V6" s="306"/>
      <c r="W6" s="306"/>
      <c r="X6" s="306"/>
      <c r="Y6" s="306"/>
      <c r="Z6" s="306"/>
      <c r="AA6" s="307"/>
    </row>
    <row r="7" spans="1:27" ht="20.399999999999999" thickTop="1" x14ac:dyDescent="0.3">
      <c r="A7" s="316" t="s">
        <v>323</v>
      </c>
      <c r="B7" s="317">
        <f>10+(LEFT(B2,1)+'Personal File'!$C$14)</f>
        <v>17</v>
      </c>
      <c r="C7" s="318">
        <f>10+(LEFT(C2,1)+'Personal File'!$C$14)</f>
        <v>18</v>
      </c>
      <c r="D7" s="318">
        <f>10+(LEFT(D2,1)+'Personal File'!$C$14)</f>
        <v>19</v>
      </c>
      <c r="E7" s="318">
        <f>10+(LEFT(E2,1)+'Personal File'!$C$14)</f>
        <v>20</v>
      </c>
      <c r="F7" s="318">
        <f>10+(LEFT(F2,1)+'Personal File'!$C$14)</f>
        <v>21</v>
      </c>
      <c r="G7" s="318">
        <f>10+(LEFT(G2,1)+'Personal File'!$C$14)</f>
        <v>22</v>
      </c>
      <c r="H7" s="318">
        <f>10+(LEFT(H2,1)+'Personal File'!$C$14)</f>
        <v>23</v>
      </c>
      <c r="I7" s="318">
        <f>10+(LEFT(I2,1)+'Personal File'!$C$14)</f>
        <v>24</v>
      </c>
      <c r="J7" s="301">
        <v>0</v>
      </c>
      <c r="K7" s="302">
        <v>0</v>
      </c>
      <c r="L7" s="211"/>
      <c r="M7" s="293" t="s">
        <v>425</v>
      </c>
      <c r="O7" s="283" t="s">
        <v>202</v>
      </c>
      <c r="Q7" s="304">
        <v>5</v>
      </c>
      <c r="R7" s="305">
        <v>6</v>
      </c>
      <c r="S7" s="305">
        <v>4</v>
      </c>
      <c r="T7" s="315">
        <v>2</v>
      </c>
      <c r="U7" s="306"/>
      <c r="V7" s="306"/>
      <c r="W7" s="306"/>
      <c r="X7" s="306"/>
      <c r="Y7" s="306"/>
      <c r="Z7" s="306"/>
      <c r="AA7" s="307"/>
    </row>
    <row r="8" spans="1:27" ht="20.399999999999999" thickBot="1" x14ac:dyDescent="0.35">
      <c r="A8" s="319" t="s">
        <v>322</v>
      </c>
      <c r="B8" s="320">
        <f t="shared" ref="B8:H8" si="3">B7+1</f>
        <v>18</v>
      </c>
      <c r="C8" s="321">
        <f t="shared" si="3"/>
        <v>19</v>
      </c>
      <c r="D8" s="321">
        <f t="shared" si="3"/>
        <v>20</v>
      </c>
      <c r="E8" s="321">
        <f t="shared" si="3"/>
        <v>21</v>
      </c>
      <c r="F8" s="321">
        <f t="shared" si="3"/>
        <v>22</v>
      </c>
      <c r="G8" s="321">
        <f t="shared" si="3"/>
        <v>23</v>
      </c>
      <c r="H8" s="321">
        <f t="shared" si="3"/>
        <v>24</v>
      </c>
      <c r="I8" s="321">
        <f t="shared" ref="I8" si="4">I7+1</f>
        <v>25</v>
      </c>
      <c r="J8" s="301">
        <v>0</v>
      </c>
      <c r="K8" s="302">
        <v>0</v>
      </c>
      <c r="L8" s="211"/>
      <c r="M8" s="322" t="s">
        <v>426</v>
      </c>
      <c r="O8" s="283" t="s">
        <v>314</v>
      </c>
      <c r="Q8" s="304">
        <v>6</v>
      </c>
      <c r="R8" s="305">
        <v>7</v>
      </c>
      <c r="S8" s="305">
        <v>4</v>
      </c>
      <c r="T8" s="315">
        <v>2</v>
      </c>
      <c r="U8" s="315">
        <v>1</v>
      </c>
      <c r="V8" s="306"/>
      <c r="W8" s="306"/>
      <c r="X8" s="306"/>
      <c r="Y8" s="306"/>
      <c r="Z8" s="306"/>
      <c r="AA8" s="307"/>
    </row>
    <row r="9" spans="1:27" ht="18.600000000000001" thickTop="1" thickBot="1" x14ac:dyDescent="0.35">
      <c r="A9" s="323" t="s">
        <v>147</v>
      </c>
      <c r="B9" s="324">
        <v>2</v>
      </c>
      <c r="C9" s="325">
        <v>1</v>
      </c>
      <c r="D9" s="325">
        <v>1</v>
      </c>
      <c r="E9" s="325">
        <v>0</v>
      </c>
      <c r="F9" s="325">
        <v>2</v>
      </c>
      <c r="G9" s="325">
        <v>3</v>
      </c>
      <c r="H9" s="325">
        <v>1</v>
      </c>
      <c r="I9" s="325">
        <v>3</v>
      </c>
      <c r="J9" s="326" t="s">
        <v>255</v>
      </c>
      <c r="K9" s="327" t="s">
        <v>255</v>
      </c>
      <c r="L9" s="211"/>
      <c r="O9" s="283" t="s">
        <v>315</v>
      </c>
      <c r="Q9" s="304">
        <v>7</v>
      </c>
      <c r="R9" s="305">
        <v>7</v>
      </c>
      <c r="S9" s="305">
        <v>5</v>
      </c>
      <c r="T9" s="315">
        <v>3</v>
      </c>
      <c r="U9" s="315">
        <v>2</v>
      </c>
      <c r="V9" s="306"/>
      <c r="W9" s="306"/>
      <c r="X9" s="306"/>
      <c r="Y9" s="306"/>
      <c r="Z9" s="306"/>
      <c r="AA9" s="307"/>
    </row>
    <row r="10" spans="1:27" ht="24.6" thickTop="1" thickBot="1" x14ac:dyDescent="0.35">
      <c r="A10" s="8"/>
      <c r="B10" s="211"/>
      <c r="C10" s="211"/>
      <c r="D10" s="211"/>
      <c r="E10" s="211"/>
      <c r="F10" s="211"/>
      <c r="G10" s="211"/>
      <c r="H10" s="211"/>
      <c r="I10" s="211"/>
      <c r="J10" s="211"/>
      <c r="K10" s="211"/>
      <c r="L10" s="211"/>
      <c r="M10" s="275" t="s">
        <v>230</v>
      </c>
      <c r="O10" s="283" t="s">
        <v>316</v>
      </c>
      <c r="Q10" s="304">
        <v>8</v>
      </c>
      <c r="R10" s="305">
        <v>8</v>
      </c>
      <c r="S10" s="305">
        <v>5</v>
      </c>
      <c r="T10" s="315">
        <v>3</v>
      </c>
      <c r="U10" s="315">
        <v>2</v>
      </c>
      <c r="V10" s="315">
        <v>1</v>
      </c>
      <c r="W10" s="306"/>
      <c r="X10" s="306"/>
      <c r="Y10" s="306"/>
      <c r="Z10" s="306"/>
      <c r="AA10" s="307"/>
    </row>
    <row r="11" spans="1:27" ht="18" thickBot="1" x14ac:dyDescent="0.35">
      <c r="L11" s="211"/>
      <c r="M11" s="328" t="s">
        <v>154</v>
      </c>
      <c r="O11" s="329" t="str">
        <f>CONCATENATE("Spell Resistance ",SUM(11,'Personal File'!$E$3:$E$4))</f>
        <v>Spell Resistance 27</v>
      </c>
      <c r="Q11" s="304">
        <v>9</v>
      </c>
      <c r="R11" s="305">
        <v>8</v>
      </c>
      <c r="S11" s="305">
        <v>5</v>
      </c>
      <c r="T11" s="315">
        <v>4</v>
      </c>
      <c r="U11" s="315">
        <v>3</v>
      </c>
      <c r="V11" s="315">
        <v>2</v>
      </c>
      <c r="W11" s="306"/>
      <c r="X11" s="306"/>
      <c r="Y11" s="306"/>
      <c r="Z11" s="306"/>
      <c r="AA11" s="307"/>
    </row>
    <row r="12" spans="1:27" ht="18" thickTop="1" x14ac:dyDescent="0.3">
      <c r="M12" s="282" t="s">
        <v>295</v>
      </c>
      <c r="O12" s="268" t="s">
        <v>317</v>
      </c>
      <c r="Q12" s="304">
        <v>10</v>
      </c>
      <c r="R12" s="305">
        <v>9</v>
      </c>
      <c r="S12" s="305">
        <v>5</v>
      </c>
      <c r="T12" s="315">
        <v>4</v>
      </c>
      <c r="U12" s="315">
        <v>3</v>
      </c>
      <c r="V12" s="315">
        <v>2</v>
      </c>
      <c r="W12" s="315">
        <v>1</v>
      </c>
      <c r="X12" s="306"/>
      <c r="Y12" s="306"/>
      <c r="Z12" s="306"/>
      <c r="AA12" s="307"/>
    </row>
    <row r="13" spans="1:27" ht="18" thickBot="1" x14ac:dyDescent="0.35">
      <c r="M13" s="330" t="s">
        <v>145</v>
      </c>
      <c r="Q13" s="304">
        <v>11</v>
      </c>
      <c r="R13" s="305">
        <v>9</v>
      </c>
      <c r="S13" s="305">
        <v>5</v>
      </c>
      <c r="T13" s="315">
        <v>5</v>
      </c>
      <c r="U13" s="315">
        <v>4</v>
      </c>
      <c r="V13" s="315">
        <v>3</v>
      </c>
      <c r="W13" s="315">
        <v>2</v>
      </c>
      <c r="X13" s="306"/>
      <c r="Y13" s="306"/>
      <c r="Z13" s="306"/>
      <c r="AA13" s="307"/>
    </row>
    <row r="14" spans="1:27" ht="24.6" thickTop="1" thickBot="1" x14ac:dyDescent="0.35">
      <c r="O14" s="275" t="s">
        <v>179</v>
      </c>
      <c r="Q14" s="304">
        <v>12</v>
      </c>
      <c r="R14" s="305">
        <v>9</v>
      </c>
      <c r="S14" s="305">
        <v>5</v>
      </c>
      <c r="T14" s="315">
        <v>5</v>
      </c>
      <c r="U14" s="315">
        <v>4</v>
      </c>
      <c r="V14" s="315">
        <v>3</v>
      </c>
      <c r="W14" s="315">
        <v>2</v>
      </c>
      <c r="X14" s="315">
        <v>1</v>
      </c>
      <c r="Y14" s="306"/>
      <c r="Z14" s="306"/>
      <c r="AA14" s="307"/>
    </row>
    <row r="15" spans="1:27" ht="24.6" thickTop="1" thickBot="1" x14ac:dyDescent="0.35">
      <c r="M15" s="331" t="s">
        <v>108</v>
      </c>
      <c r="O15" s="282" t="s">
        <v>180</v>
      </c>
      <c r="Q15" s="304">
        <v>13</v>
      </c>
      <c r="R15" s="305">
        <v>9</v>
      </c>
      <c r="S15" s="305">
        <v>5</v>
      </c>
      <c r="T15" s="315">
        <v>5</v>
      </c>
      <c r="U15" s="315">
        <v>4</v>
      </c>
      <c r="V15" s="315">
        <v>4</v>
      </c>
      <c r="W15" s="315">
        <v>3</v>
      </c>
      <c r="X15" s="315">
        <v>2</v>
      </c>
      <c r="Y15" s="306"/>
      <c r="Z15" s="306"/>
      <c r="AA15" s="307"/>
    </row>
    <row r="16" spans="1:27" ht="18" thickBot="1" x14ac:dyDescent="0.35">
      <c r="M16" s="332" t="s">
        <v>203</v>
      </c>
      <c r="O16" s="282" t="s">
        <v>182</v>
      </c>
      <c r="Q16" s="333">
        <v>14</v>
      </c>
      <c r="R16" s="334">
        <v>9</v>
      </c>
      <c r="S16" s="334">
        <v>5</v>
      </c>
      <c r="T16" s="335">
        <v>5</v>
      </c>
      <c r="U16" s="335">
        <v>4</v>
      </c>
      <c r="V16" s="335">
        <v>4</v>
      </c>
      <c r="W16" s="335">
        <v>3</v>
      </c>
      <c r="X16" s="335">
        <v>2</v>
      </c>
      <c r="Y16" s="335">
        <v>1</v>
      </c>
      <c r="Z16" s="306"/>
      <c r="AA16" s="307"/>
    </row>
    <row r="17" spans="13:27" ht="18.600000000000001" thickTop="1" thickBot="1" x14ac:dyDescent="0.35">
      <c r="O17" s="282" t="s">
        <v>181</v>
      </c>
      <c r="Q17" s="304">
        <v>15</v>
      </c>
      <c r="R17" s="305">
        <v>9</v>
      </c>
      <c r="S17" s="305">
        <v>5</v>
      </c>
      <c r="T17" s="315">
        <v>5</v>
      </c>
      <c r="U17" s="315">
        <v>4</v>
      </c>
      <c r="V17" s="315">
        <v>4</v>
      </c>
      <c r="W17" s="315">
        <v>4</v>
      </c>
      <c r="X17" s="315">
        <v>3</v>
      </c>
      <c r="Y17" s="315">
        <v>2</v>
      </c>
      <c r="Z17" s="306"/>
      <c r="AA17" s="307"/>
    </row>
    <row r="18" spans="13:27" ht="24.6" thickTop="1" thickBot="1" x14ac:dyDescent="0.35">
      <c r="M18" s="336" t="s">
        <v>78</v>
      </c>
      <c r="O18" s="282" t="s">
        <v>184</v>
      </c>
      <c r="Q18" s="304">
        <v>16</v>
      </c>
      <c r="R18" s="305">
        <v>9</v>
      </c>
      <c r="S18" s="305">
        <v>5</v>
      </c>
      <c r="T18" s="315">
        <v>5</v>
      </c>
      <c r="U18" s="315">
        <v>4</v>
      </c>
      <c r="V18" s="315">
        <v>4</v>
      </c>
      <c r="W18" s="315">
        <v>4</v>
      </c>
      <c r="X18" s="315">
        <v>3</v>
      </c>
      <c r="Y18" s="315">
        <v>2</v>
      </c>
      <c r="Z18" s="315">
        <v>1</v>
      </c>
      <c r="AA18" s="307"/>
    </row>
    <row r="19" spans="13:27" ht="18" thickBot="1" x14ac:dyDescent="0.35">
      <c r="M19" s="332" t="s">
        <v>318</v>
      </c>
      <c r="O19" s="330" t="s">
        <v>183</v>
      </c>
      <c r="Q19" s="304">
        <v>17</v>
      </c>
      <c r="R19" s="305">
        <v>9</v>
      </c>
      <c r="S19" s="305">
        <v>5</v>
      </c>
      <c r="T19" s="315">
        <v>5</v>
      </c>
      <c r="U19" s="315">
        <v>4</v>
      </c>
      <c r="V19" s="315">
        <v>4</v>
      </c>
      <c r="W19" s="315">
        <v>4</v>
      </c>
      <c r="X19" s="315">
        <v>3</v>
      </c>
      <c r="Y19" s="315">
        <v>3</v>
      </c>
      <c r="Z19" s="315">
        <v>2</v>
      </c>
      <c r="AA19" s="307"/>
    </row>
    <row r="20" spans="13:27" ht="16.2" thickTop="1" x14ac:dyDescent="0.3">
      <c r="Q20" s="304">
        <v>18</v>
      </c>
      <c r="R20" s="305">
        <v>9</v>
      </c>
      <c r="S20" s="305">
        <v>5</v>
      </c>
      <c r="T20" s="315">
        <v>5</v>
      </c>
      <c r="U20" s="315">
        <v>4</v>
      </c>
      <c r="V20" s="315">
        <v>4</v>
      </c>
      <c r="W20" s="315">
        <v>4</v>
      </c>
      <c r="X20" s="315">
        <v>3</v>
      </c>
      <c r="Y20" s="315">
        <v>3</v>
      </c>
      <c r="Z20" s="315">
        <v>2</v>
      </c>
      <c r="AA20" s="337">
        <v>1</v>
      </c>
    </row>
    <row r="21" spans="13:27" x14ac:dyDescent="0.3">
      <c r="Q21" s="304">
        <v>19</v>
      </c>
      <c r="R21" s="305">
        <v>9</v>
      </c>
      <c r="S21" s="305">
        <v>5</v>
      </c>
      <c r="T21" s="315">
        <v>5</v>
      </c>
      <c r="U21" s="315">
        <v>4</v>
      </c>
      <c r="V21" s="315">
        <v>4</v>
      </c>
      <c r="W21" s="315">
        <v>4</v>
      </c>
      <c r="X21" s="315">
        <v>3</v>
      </c>
      <c r="Y21" s="315">
        <v>3</v>
      </c>
      <c r="Z21" s="315">
        <v>3</v>
      </c>
      <c r="AA21" s="337">
        <v>2</v>
      </c>
    </row>
    <row r="22" spans="13:27" ht="16.2" thickBot="1" x14ac:dyDescent="0.35">
      <c r="Q22" s="338">
        <v>20</v>
      </c>
      <c r="R22" s="339">
        <v>9</v>
      </c>
      <c r="S22" s="339">
        <v>5</v>
      </c>
      <c r="T22" s="340">
        <v>5</v>
      </c>
      <c r="U22" s="340">
        <v>4</v>
      </c>
      <c r="V22" s="340">
        <v>4</v>
      </c>
      <c r="W22" s="340">
        <v>4</v>
      </c>
      <c r="X22" s="340">
        <v>3</v>
      </c>
      <c r="Y22" s="340">
        <v>3</v>
      </c>
      <c r="Z22" s="340">
        <v>3</v>
      </c>
      <c r="AA22" s="341">
        <v>3</v>
      </c>
    </row>
    <row r="23" spans="13:27" ht="16.8" thickTop="1" thickBot="1" x14ac:dyDescent="0.35"/>
    <row r="24" spans="13:27" ht="16.8" thickTop="1" thickBot="1" x14ac:dyDescent="0.35">
      <c r="Q24" s="342" t="s">
        <v>341</v>
      </c>
      <c r="R24" s="343">
        <v>0</v>
      </c>
      <c r="S24" s="344" t="s">
        <v>133</v>
      </c>
      <c r="T24" s="345" t="s">
        <v>134</v>
      </c>
      <c r="U24" s="345" t="s">
        <v>135</v>
      </c>
      <c r="V24" s="345" t="s">
        <v>136</v>
      </c>
      <c r="W24" s="345" t="s">
        <v>137</v>
      </c>
      <c r="X24" s="345" t="s">
        <v>138</v>
      </c>
      <c r="Y24" s="345" t="s">
        <v>139</v>
      </c>
      <c r="Z24" s="345" t="s">
        <v>140</v>
      </c>
      <c r="AA24" s="287" t="s">
        <v>141</v>
      </c>
    </row>
    <row r="25" spans="13:27" ht="16.2" thickBot="1" x14ac:dyDescent="0.35">
      <c r="Q25" s="346" t="s">
        <v>342</v>
      </c>
      <c r="R25" s="347">
        <f>-1+VLOOKUP('Personal File'!$E$3,Feats!$Q$3:$AA$22,2,FALSE)</f>
        <v>8</v>
      </c>
      <c r="S25" s="347">
        <f>-1+VLOOKUP('Personal File'!$E$3,Feats!$Q$3:$AA$22,3,FALSE)</f>
        <v>4</v>
      </c>
      <c r="T25" s="348">
        <f>-1+VLOOKUP('Personal File'!$E$3,Feats!$Q$3:$AA$22,4,FALSE)</f>
        <v>4</v>
      </c>
      <c r="U25" s="348">
        <f>-1+VLOOKUP('Personal File'!$E$3,Feats!$Q$3:$AA$22,5,FALSE)</f>
        <v>3</v>
      </c>
      <c r="V25" s="348">
        <f>-1+VLOOKUP('Personal File'!$E$3,Feats!$Q$3:$AA$22,6,FALSE)</f>
        <v>3</v>
      </c>
      <c r="W25" s="348">
        <f>-1+VLOOKUP('Personal File'!$E$3,Feats!$Q$3:$AA$22,7,FALSE)</f>
        <v>2</v>
      </c>
      <c r="X25" s="348">
        <f>-1+VLOOKUP('Personal File'!$E$3,Feats!$Q$3:$AA$22,8,FALSE)</f>
        <v>1</v>
      </c>
      <c r="Y25" s="349"/>
      <c r="Z25" s="349"/>
      <c r="AA25" s="350"/>
    </row>
    <row r="26" spans="13:27" ht="16.2" thickTop="1" x14ac:dyDescent="0.3"/>
  </sheetData>
  <sortState xmlns:xlrd2="http://schemas.microsoft.com/office/spreadsheetml/2017/richdata2" ref="M2:M5">
    <sortCondition ref="M2:M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40"/>
  <sheetViews>
    <sheetView showGridLines="0" workbookViewId="0"/>
  </sheetViews>
  <sheetFormatPr defaultColWidth="13" defaultRowHeight="15.6" x14ac:dyDescent="0.3"/>
  <cols>
    <col min="1" max="1" width="21.296875" style="206" bestFit="1" customWidth="1"/>
    <col min="2" max="2" width="6.59765625" style="206" bestFit="1" customWidth="1"/>
    <col min="3" max="3" width="14.8984375" style="206" bestFit="1" customWidth="1"/>
    <col min="4" max="4" width="6.296875" style="206" bestFit="1" customWidth="1"/>
    <col min="5" max="5" width="8.5" style="206" bestFit="1" customWidth="1"/>
    <col min="6" max="6" width="8.3984375" style="206" bestFit="1" customWidth="1"/>
    <col min="7" max="7" width="4.3984375" style="206" bestFit="1" customWidth="1"/>
    <col min="8" max="8" width="4.69921875" style="206" bestFit="1" customWidth="1"/>
    <col min="9" max="9" width="5.69921875" style="206" bestFit="1" customWidth="1"/>
    <col min="10" max="10" width="5.59765625" style="206" bestFit="1" customWidth="1"/>
    <col min="11" max="11" width="6.296875" style="206" bestFit="1" customWidth="1"/>
    <col min="12" max="12" width="6.296875" style="206" customWidth="1"/>
    <col min="13" max="13" width="20.19921875" style="206" bestFit="1" customWidth="1"/>
    <col min="14" max="14" width="2.796875" style="8" customWidth="1"/>
    <col min="15" max="15" width="18.296875" style="8" bestFit="1" customWidth="1"/>
    <col min="16" max="16384" width="13" style="8"/>
  </cols>
  <sheetData>
    <row r="1" spans="1:13" ht="24" thickBot="1" x14ac:dyDescent="0.35">
      <c r="A1" s="351" t="s">
        <v>20</v>
      </c>
      <c r="B1" s="351"/>
      <c r="C1" s="351"/>
      <c r="D1" s="351"/>
      <c r="E1" s="351"/>
      <c r="F1" s="351"/>
      <c r="G1" s="351"/>
      <c r="H1" s="351"/>
      <c r="I1" s="351"/>
      <c r="J1" s="351"/>
      <c r="K1" s="351"/>
      <c r="L1" s="351"/>
      <c r="M1" s="351"/>
    </row>
    <row r="2" spans="1:13" ht="16.8" thickTop="1" thickBot="1" x14ac:dyDescent="0.35">
      <c r="A2" s="352" t="s">
        <v>4</v>
      </c>
      <c r="B2" s="353" t="s">
        <v>5</v>
      </c>
      <c r="C2" s="354" t="s">
        <v>232</v>
      </c>
      <c r="D2" s="355" t="s">
        <v>24</v>
      </c>
      <c r="E2" s="356" t="s">
        <v>66</v>
      </c>
      <c r="F2" s="355" t="s">
        <v>21</v>
      </c>
      <c r="G2" s="355" t="s">
        <v>25</v>
      </c>
      <c r="H2" s="357" t="s">
        <v>110</v>
      </c>
      <c r="I2" s="358" t="s">
        <v>110</v>
      </c>
      <c r="J2" s="646" t="s">
        <v>187</v>
      </c>
      <c r="K2" s="357" t="s">
        <v>86</v>
      </c>
      <c r="L2" s="358" t="s">
        <v>86</v>
      </c>
      <c r="M2" s="359" t="s">
        <v>3</v>
      </c>
    </row>
    <row r="3" spans="1:13" x14ac:dyDescent="0.3">
      <c r="A3" s="360" t="s">
        <v>349</v>
      </c>
      <c r="B3" s="361" t="s">
        <v>270</v>
      </c>
      <c r="C3" s="362" t="str">
        <f>CONCATENATE("+ 2d6 evil + 3 ",Shade!$C$6)</f>
        <v>+ 2d6 evil + 3 +6</v>
      </c>
      <c r="D3" s="363">
        <v>2</v>
      </c>
      <c r="E3" s="363" t="s">
        <v>89</v>
      </c>
      <c r="F3" s="364" t="s">
        <v>113</v>
      </c>
      <c r="G3" s="365">
        <v>10</v>
      </c>
      <c r="H3" s="366" t="str">
        <f>CONCATENATE("+",RIGHT('Personal File'!$B$8)+('Personal File'!$C$9)+D3)</f>
        <v>+8</v>
      </c>
      <c r="I3" s="367" t="str">
        <f t="shared" ref="I3:I10" si="0">CONCATENATE("+",H3+2)</f>
        <v>+10</v>
      </c>
      <c r="J3" s="647">
        <f t="shared" ref="J3:J10" ca="1" si="1">RANDBETWEEN(1,20)</f>
        <v>16</v>
      </c>
      <c r="K3" s="368">
        <f t="shared" ref="K3:K10" ca="1" si="2">H3+J3</f>
        <v>24</v>
      </c>
      <c r="L3" s="369">
        <f t="shared" ref="L3:L10" ca="1" si="3">J3+I3</f>
        <v>26</v>
      </c>
      <c r="M3" s="370" t="s">
        <v>234</v>
      </c>
    </row>
    <row r="4" spans="1:13" x14ac:dyDescent="0.3">
      <c r="A4" s="371" t="s">
        <v>252</v>
      </c>
      <c r="B4" s="372" t="s">
        <v>270</v>
      </c>
      <c r="C4" s="373" t="str">
        <f>CONCATENATE("+ 2d6 evil + 3 ",Shade!$C$6)</f>
        <v>+ 2d6 evil + 3 +6</v>
      </c>
      <c r="D4" s="374">
        <v>2</v>
      </c>
      <c r="E4" s="375" t="s">
        <v>89</v>
      </c>
      <c r="F4" s="374" t="s">
        <v>113</v>
      </c>
      <c r="G4" s="376"/>
      <c r="H4" s="377" t="str">
        <f>CONCATENATE("+",H3-5)</f>
        <v>+3</v>
      </c>
      <c r="I4" s="367" t="str">
        <f t="shared" si="0"/>
        <v>+5</v>
      </c>
      <c r="J4" s="648">
        <f t="shared" ca="1" si="1"/>
        <v>12</v>
      </c>
      <c r="K4" s="378">
        <f t="shared" ca="1" si="2"/>
        <v>15</v>
      </c>
      <c r="L4" s="369">
        <f t="shared" ca="1" si="3"/>
        <v>17</v>
      </c>
      <c r="M4" s="379" t="s">
        <v>234</v>
      </c>
    </row>
    <row r="5" spans="1:13" x14ac:dyDescent="0.3">
      <c r="A5" s="380" t="s">
        <v>427</v>
      </c>
      <c r="B5" s="381" t="s">
        <v>270</v>
      </c>
      <c r="C5" s="382" t="str">
        <f>CONCATENATE("+ 2d6 evil + 3 ",Shade!$C$6)</f>
        <v>+ 2d6 evil + 3 +6</v>
      </c>
      <c r="D5" s="383">
        <v>2</v>
      </c>
      <c r="E5" s="384" t="s">
        <v>89</v>
      </c>
      <c r="F5" s="383" t="s">
        <v>113</v>
      </c>
      <c r="G5" s="385"/>
      <c r="H5" s="386" t="str">
        <f>H3</f>
        <v>+8</v>
      </c>
      <c r="I5" s="387" t="str">
        <f t="shared" si="0"/>
        <v>+10</v>
      </c>
      <c r="J5" s="649">
        <f t="shared" ca="1" si="1"/>
        <v>17</v>
      </c>
      <c r="K5" s="388">
        <f t="shared" ca="1" si="2"/>
        <v>25</v>
      </c>
      <c r="L5" s="389">
        <f t="shared" ca="1" si="3"/>
        <v>27</v>
      </c>
      <c r="M5" s="390" t="s">
        <v>234</v>
      </c>
    </row>
    <row r="6" spans="1:13" x14ac:dyDescent="0.3">
      <c r="A6" s="391" t="s">
        <v>153</v>
      </c>
      <c r="B6" s="392" t="s">
        <v>247</v>
      </c>
      <c r="C6" s="393" t="str">
        <f>'Personal File'!$C$9</f>
        <v>+6</v>
      </c>
      <c r="D6" s="394" t="s">
        <v>60</v>
      </c>
      <c r="E6" s="395" t="s">
        <v>89</v>
      </c>
      <c r="F6" s="394" t="s">
        <v>105</v>
      </c>
      <c r="G6" s="396">
        <v>2</v>
      </c>
      <c r="H6" s="397" t="str">
        <f>CONCATENATE("+",RIGHT('Personal File'!$B$8)+('Personal File'!$C$9)+D6)</f>
        <v>+6</v>
      </c>
      <c r="I6" s="398" t="str">
        <f t="shared" si="0"/>
        <v>+8</v>
      </c>
      <c r="J6" s="650">
        <f t="shared" ca="1" si="1"/>
        <v>8</v>
      </c>
      <c r="K6" s="399">
        <f t="shared" ca="1" si="2"/>
        <v>14</v>
      </c>
      <c r="L6" s="400">
        <f t="shared" ca="1" si="3"/>
        <v>16</v>
      </c>
      <c r="M6" s="401" t="s">
        <v>234</v>
      </c>
    </row>
    <row r="7" spans="1:13" x14ac:dyDescent="0.3">
      <c r="A7" s="371" t="s">
        <v>253</v>
      </c>
      <c r="B7" s="372" t="s">
        <v>247</v>
      </c>
      <c r="C7" s="373" t="str">
        <f>'Personal File'!$C$9</f>
        <v>+6</v>
      </c>
      <c r="D7" s="374" t="s">
        <v>60</v>
      </c>
      <c r="E7" s="375" t="s">
        <v>89</v>
      </c>
      <c r="F7" s="374" t="s">
        <v>105</v>
      </c>
      <c r="G7" s="376"/>
      <c r="H7" s="377" t="str">
        <f>CONCATENATE("+",H6-5)</f>
        <v>+1</v>
      </c>
      <c r="I7" s="367" t="str">
        <f t="shared" si="0"/>
        <v>+3</v>
      </c>
      <c r="J7" s="648">
        <f t="shared" ca="1" si="1"/>
        <v>10</v>
      </c>
      <c r="K7" s="378">
        <f t="shared" ca="1" si="2"/>
        <v>11</v>
      </c>
      <c r="L7" s="369">
        <f t="shared" ca="1" si="3"/>
        <v>13</v>
      </c>
      <c r="M7" s="379" t="s">
        <v>234</v>
      </c>
    </row>
    <row r="8" spans="1:13" x14ac:dyDescent="0.3">
      <c r="A8" s="380" t="s">
        <v>428</v>
      </c>
      <c r="B8" s="381" t="s">
        <v>247</v>
      </c>
      <c r="C8" s="382" t="str">
        <f>'Personal File'!$C$9</f>
        <v>+6</v>
      </c>
      <c r="D8" s="383">
        <v>2</v>
      </c>
      <c r="E8" s="384" t="s">
        <v>89</v>
      </c>
      <c r="F8" s="383" t="s">
        <v>105</v>
      </c>
      <c r="G8" s="385"/>
      <c r="H8" s="386" t="str">
        <f>H6</f>
        <v>+6</v>
      </c>
      <c r="I8" s="387" t="str">
        <f t="shared" ref="I8" si="4">CONCATENATE("+",H8+2)</f>
        <v>+8</v>
      </c>
      <c r="J8" s="649">
        <f t="shared" ca="1" si="1"/>
        <v>16</v>
      </c>
      <c r="K8" s="388">
        <f t="shared" ref="K8" ca="1" si="5">H8+J8</f>
        <v>22</v>
      </c>
      <c r="L8" s="389">
        <f t="shared" ref="L8" ca="1" si="6">J8+I8</f>
        <v>24</v>
      </c>
      <c r="M8" s="390" t="s">
        <v>234</v>
      </c>
    </row>
    <row r="9" spans="1:13" x14ac:dyDescent="0.3">
      <c r="A9" s="402" t="s">
        <v>331</v>
      </c>
      <c r="B9" s="403" t="s">
        <v>172</v>
      </c>
      <c r="C9" s="404"/>
      <c r="D9" s="394" t="s">
        <v>60</v>
      </c>
      <c r="E9" s="405" t="s">
        <v>255</v>
      </c>
      <c r="F9" s="394" t="s">
        <v>113</v>
      </c>
      <c r="G9" s="406" t="s">
        <v>255</v>
      </c>
      <c r="H9" s="407" t="str">
        <f>CONCATENATE("+",RIGHT('Personal File'!$B$8)+('Personal File'!$C$9)+D9)</f>
        <v>+6</v>
      </c>
      <c r="I9" s="408" t="str">
        <f t="shared" si="0"/>
        <v>+8</v>
      </c>
      <c r="J9" s="651">
        <f t="shared" ca="1" si="1"/>
        <v>9</v>
      </c>
      <c r="K9" s="399">
        <f t="shared" ref="K9" ca="1" si="7">H9+J9</f>
        <v>15</v>
      </c>
      <c r="L9" s="409">
        <f t="shared" ref="L9" ca="1" si="8">J9+I9</f>
        <v>17</v>
      </c>
      <c r="M9" s="401" t="s">
        <v>234</v>
      </c>
    </row>
    <row r="10" spans="1:13" ht="16.2" thickBot="1" x14ac:dyDescent="0.35">
      <c r="A10" s="410" t="s">
        <v>300</v>
      </c>
      <c r="B10" s="411"/>
      <c r="C10" s="412"/>
      <c r="D10" s="413"/>
      <c r="E10" s="413"/>
      <c r="F10" s="413"/>
      <c r="G10" s="414"/>
      <c r="H10" s="415" t="str">
        <f>CONCATENATE("+",RIGHT('Personal File'!$B$8)+('Personal File'!$C$9)+D10)</f>
        <v>+6</v>
      </c>
      <c r="I10" s="416" t="str">
        <f t="shared" si="0"/>
        <v>+8</v>
      </c>
      <c r="J10" s="652">
        <f t="shared" ca="1" si="1"/>
        <v>17</v>
      </c>
      <c r="K10" s="417">
        <f t="shared" ca="1" si="2"/>
        <v>23</v>
      </c>
      <c r="L10" s="418">
        <f t="shared" ca="1" si="3"/>
        <v>25</v>
      </c>
      <c r="M10" s="419"/>
    </row>
    <row r="11" spans="1:13" ht="6" customHeight="1" thickTop="1" thickBot="1" x14ac:dyDescent="0.35"/>
    <row r="12" spans="1:13" ht="16.8" thickTop="1" thickBot="1" x14ac:dyDescent="0.35">
      <c r="A12" s="352" t="s">
        <v>7</v>
      </c>
      <c r="B12" s="353" t="s">
        <v>5</v>
      </c>
      <c r="C12" s="420" t="s">
        <v>232</v>
      </c>
      <c r="D12" s="355" t="s">
        <v>24</v>
      </c>
      <c r="E12" s="356" t="s">
        <v>66</v>
      </c>
      <c r="F12" s="355" t="s">
        <v>8</v>
      </c>
      <c r="G12" s="355" t="s">
        <v>25</v>
      </c>
      <c r="H12" s="357" t="s">
        <v>110</v>
      </c>
      <c r="I12" s="358" t="s">
        <v>110</v>
      </c>
      <c r="J12" s="646" t="s">
        <v>187</v>
      </c>
      <c r="K12" s="357" t="s">
        <v>86</v>
      </c>
      <c r="L12" s="358" t="s">
        <v>86</v>
      </c>
      <c r="M12" s="359" t="s">
        <v>3</v>
      </c>
    </row>
    <row r="13" spans="1:13" x14ac:dyDescent="0.3">
      <c r="A13" s="421" t="s">
        <v>171</v>
      </c>
      <c r="B13" s="422" t="s">
        <v>172</v>
      </c>
      <c r="C13" s="423" t="s">
        <v>337</v>
      </c>
      <c r="D13" s="424" t="s">
        <v>236</v>
      </c>
      <c r="E13" s="425" t="s">
        <v>204</v>
      </c>
      <c r="F13" s="424" t="s">
        <v>172</v>
      </c>
      <c r="G13" s="426">
        <v>0</v>
      </c>
      <c r="H13" s="427" t="str">
        <f>CONCATENATE("+",RIGHT('Personal File'!$B$8)+('Personal File'!$C$10)+D13+1)</f>
        <v>+6</v>
      </c>
      <c r="I13" s="387" t="str">
        <f>CONCATENATE("+",H13+2)</f>
        <v>+8</v>
      </c>
      <c r="J13" s="651">
        <f t="shared" ref="J13:J16" ca="1" si="9">RANDBETWEEN(1,20)</f>
        <v>5</v>
      </c>
      <c r="K13" s="428">
        <f ca="1">H13+J13</f>
        <v>11</v>
      </c>
      <c r="L13" s="389">
        <f ca="1">J13+I13</f>
        <v>13</v>
      </c>
      <c r="M13" s="429" t="s">
        <v>234</v>
      </c>
    </row>
    <row r="14" spans="1:13" x14ac:dyDescent="0.3">
      <c r="A14" s="430" t="s">
        <v>347</v>
      </c>
      <c r="B14" s="431" t="s">
        <v>172</v>
      </c>
      <c r="C14" s="432" t="s">
        <v>255</v>
      </c>
      <c r="D14" s="433" t="s">
        <v>255</v>
      </c>
      <c r="E14" s="434" t="s">
        <v>255</v>
      </c>
      <c r="F14" s="433" t="s">
        <v>255</v>
      </c>
      <c r="G14" s="435" t="s">
        <v>255</v>
      </c>
      <c r="H14" s="436" t="str">
        <f>CONCATENATE("+",'Personal File'!E3)</f>
        <v>+14</v>
      </c>
      <c r="I14" s="408" t="str">
        <f>CONCATENATE("+",H14+2)</f>
        <v>+16</v>
      </c>
      <c r="J14" s="651">
        <f t="shared" ca="1" si="9"/>
        <v>5</v>
      </c>
      <c r="K14" s="437">
        <f ca="1">H14+J14</f>
        <v>19</v>
      </c>
      <c r="L14" s="389">
        <f ca="1">J14+I14</f>
        <v>21</v>
      </c>
      <c r="M14" s="438"/>
    </row>
    <row r="15" spans="1:13" x14ac:dyDescent="0.3">
      <c r="A15" s="402" t="s">
        <v>226</v>
      </c>
      <c r="B15" s="439" t="s">
        <v>229</v>
      </c>
      <c r="C15" s="440" t="s">
        <v>60</v>
      </c>
      <c r="D15" s="441" t="s">
        <v>60</v>
      </c>
      <c r="E15" s="442" t="s">
        <v>114</v>
      </c>
      <c r="F15" s="441" t="s">
        <v>228</v>
      </c>
      <c r="G15" s="407">
        <v>0</v>
      </c>
      <c r="H15" s="443" t="str">
        <f>CONCATENATE("+",RIGHT('Personal File'!$B$8)+('Personal File'!$C$10)+D15)</f>
        <v>+4</v>
      </c>
      <c r="I15" s="408" t="str">
        <f>CONCATENATE("+",H15+2)</f>
        <v>+6</v>
      </c>
      <c r="J15" s="651">
        <f t="shared" ca="1" si="9"/>
        <v>5</v>
      </c>
      <c r="K15" s="444">
        <f ca="1">H15+J15</f>
        <v>9</v>
      </c>
      <c r="L15" s="409">
        <f ca="1">J15+I15</f>
        <v>11</v>
      </c>
      <c r="M15" s="445" t="s">
        <v>254</v>
      </c>
    </row>
    <row r="16" spans="1:13" x14ac:dyDescent="0.3">
      <c r="A16" s="402" t="s">
        <v>227</v>
      </c>
      <c r="B16" s="439" t="s">
        <v>229</v>
      </c>
      <c r="C16" s="440" t="s">
        <v>60</v>
      </c>
      <c r="D16" s="441" t="s">
        <v>60</v>
      </c>
      <c r="E16" s="442" t="s">
        <v>114</v>
      </c>
      <c r="F16" s="441" t="s">
        <v>228</v>
      </c>
      <c r="G16" s="407">
        <v>0</v>
      </c>
      <c r="H16" s="443" t="str">
        <f>CONCATENATE("+",RIGHT('Personal File'!$B$8)+('Personal File'!$C$10)+D16)</f>
        <v>+4</v>
      </c>
      <c r="I16" s="408" t="str">
        <f>CONCATENATE("+",H16+2)</f>
        <v>+6</v>
      </c>
      <c r="J16" s="651">
        <f t="shared" ca="1" si="9"/>
        <v>4</v>
      </c>
      <c r="K16" s="444">
        <f ca="1">H16+J16</f>
        <v>8</v>
      </c>
      <c r="L16" s="409">
        <f ca="1">J16+I16</f>
        <v>10</v>
      </c>
      <c r="M16" s="445" t="s">
        <v>245</v>
      </c>
    </row>
    <row r="17" spans="1:13" ht="16.2" thickBot="1" x14ac:dyDescent="0.35">
      <c r="A17" s="446" t="s">
        <v>235</v>
      </c>
      <c r="B17" s="447" t="s">
        <v>231</v>
      </c>
      <c r="C17" s="448" t="s">
        <v>60</v>
      </c>
      <c r="D17" s="449" t="s">
        <v>236</v>
      </c>
      <c r="E17" s="450" t="s">
        <v>89</v>
      </c>
      <c r="F17" s="449" t="s">
        <v>208</v>
      </c>
      <c r="G17" s="451">
        <v>4</v>
      </c>
      <c r="H17" s="452" t="str">
        <f>CONCATENATE("+",RIGHT('Personal File'!$B$8)+('Personal File'!$C$10)+D17)</f>
        <v>+5</v>
      </c>
      <c r="I17" s="416" t="str">
        <f>CONCATENATE("+",H17+2)</f>
        <v>+7</v>
      </c>
      <c r="J17" s="652">
        <f t="shared" ref="J17" ca="1" si="10">RANDBETWEEN(1,20)</f>
        <v>13</v>
      </c>
      <c r="K17" s="417">
        <f ca="1">H17+J17</f>
        <v>18</v>
      </c>
      <c r="L17" s="418">
        <f ca="1">J17+I17</f>
        <v>20</v>
      </c>
      <c r="M17" s="419" t="s">
        <v>234</v>
      </c>
    </row>
    <row r="18" spans="1:13" ht="6" customHeight="1" thickTop="1" thickBot="1" x14ac:dyDescent="0.35">
      <c r="D18" s="453"/>
      <c r="E18" s="453"/>
      <c r="G18" s="454"/>
      <c r="H18" s="454"/>
      <c r="I18" s="454"/>
      <c r="J18" s="454"/>
      <c r="K18" s="454"/>
      <c r="L18" s="454"/>
    </row>
    <row r="19" spans="1:13" ht="16.8" thickTop="1" thickBot="1" x14ac:dyDescent="0.35">
      <c r="A19" s="352" t="s">
        <v>71</v>
      </c>
      <c r="B19" s="355" t="s">
        <v>233</v>
      </c>
      <c r="C19" s="355" t="s">
        <v>32</v>
      </c>
      <c r="D19" s="355" t="s">
        <v>86</v>
      </c>
      <c r="E19" s="355" t="s">
        <v>87</v>
      </c>
      <c r="F19" s="355" t="s">
        <v>88</v>
      </c>
      <c r="G19" s="355" t="s">
        <v>25</v>
      </c>
      <c r="H19" s="455" t="s">
        <v>3</v>
      </c>
      <c r="I19" s="456"/>
      <c r="J19" s="456"/>
      <c r="K19" s="456"/>
      <c r="L19" s="456"/>
      <c r="M19" s="457"/>
    </row>
    <row r="20" spans="1:13" x14ac:dyDescent="0.3">
      <c r="A20" s="458" t="s">
        <v>338</v>
      </c>
      <c r="B20" s="459">
        <f>4+2</f>
        <v>6</v>
      </c>
      <c r="C20" s="459">
        <v>6</v>
      </c>
      <c r="D20" s="459">
        <v>-1</v>
      </c>
      <c r="E20" s="460">
        <v>0.1</v>
      </c>
      <c r="F20" s="459" t="s">
        <v>206</v>
      </c>
      <c r="G20" s="461">
        <v>12.5</v>
      </c>
      <c r="H20" s="462"/>
      <c r="I20" s="463"/>
      <c r="J20" s="463"/>
      <c r="K20" s="463"/>
      <c r="L20" s="463"/>
      <c r="M20" s="464"/>
    </row>
    <row r="21" spans="1:13" ht="16.2" thickBot="1" x14ac:dyDescent="0.35">
      <c r="A21" s="465" t="s">
        <v>213</v>
      </c>
      <c r="B21" s="466">
        <v>4</v>
      </c>
      <c r="C21" s="466" t="s">
        <v>255</v>
      </c>
      <c r="D21" s="466" t="s">
        <v>255</v>
      </c>
      <c r="E21" s="466" t="s">
        <v>255</v>
      </c>
      <c r="F21" s="466" t="s">
        <v>255</v>
      </c>
      <c r="G21" s="467" t="s">
        <v>255</v>
      </c>
      <c r="H21" s="468"/>
      <c r="I21" s="469"/>
      <c r="J21" s="469"/>
      <c r="K21" s="469"/>
      <c r="L21" s="469"/>
      <c r="M21" s="470"/>
    </row>
    <row r="22" spans="1:13" ht="6.75" customHeight="1" thickTop="1" thickBot="1" x14ac:dyDescent="0.35"/>
    <row r="23" spans="1:13" ht="16.8" thickTop="1" thickBot="1" x14ac:dyDescent="0.35">
      <c r="A23" s="471"/>
      <c r="B23" s="454"/>
      <c r="D23" s="472" t="s">
        <v>72</v>
      </c>
      <c r="E23" s="473"/>
      <c r="F23" s="455" t="s">
        <v>6</v>
      </c>
      <c r="G23" s="355" t="s">
        <v>25</v>
      </c>
      <c r="H23" s="474" t="s">
        <v>110</v>
      </c>
      <c r="I23" s="456" t="s">
        <v>3</v>
      </c>
      <c r="J23" s="456"/>
      <c r="K23" s="456"/>
      <c r="L23" s="456"/>
      <c r="M23" s="457"/>
    </row>
    <row r="24" spans="1:13" x14ac:dyDescent="0.3">
      <c r="A24" s="471"/>
      <c r="B24" s="454"/>
      <c r="D24" s="475" t="s">
        <v>189</v>
      </c>
      <c r="E24" s="476"/>
      <c r="F24" s="477">
        <v>5</v>
      </c>
      <c r="G24" s="459">
        <f>F24/10</f>
        <v>0.5</v>
      </c>
      <c r="H24" s="478" t="s">
        <v>76</v>
      </c>
      <c r="I24" s="476" t="s">
        <v>190</v>
      </c>
      <c r="J24" s="476"/>
      <c r="K24" s="476"/>
      <c r="L24" s="476"/>
      <c r="M24" s="479"/>
    </row>
    <row r="25" spans="1:13" ht="16.2" thickBot="1" x14ac:dyDescent="0.35">
      <c r="A25" s="8"/>
      <c r="B25" s="454"/>
      <c r="D25" s="480" t="s">
        <v>90</v>
      </c>
      <c r="E25" s="481"/>
      <c r="F25" s="482">
        <v>17</v>
      </c>
      <c r="G25" s="451">
        <f>F25/10</f>
        <v>1.7</v>
      </c>
      <c r="H25" s="449" t="s">
        <v>76</v>
      </c>
      <c r="I25" s="483"/>
      <c r="J25" s="483"/>
      <c r="K25" s="483"/>
      <c r="L25" s="483"/>
      <c r="M25" s="484"/>
    </row>
    <row r="26" spans="1:13" ht="16.8" thickTop="1" thickBot="1" x14ac:dyDescent="0.35"/>
    <row r="27" spans="1:13" ht="16.8" thickTop="1" thickBot="1" x14ac:dyDescent="0.35">
      <c r="D27" s="472" t="s">
        <v>267</v>
      </c>
      <c r="E27" s="456"/>
      <c r="F27" s="456"/>
      <c r="G27" s="456"/>
      <c r="H27" s="485" t="s">
        <v>6</v>
      </c>
      <c r="I27" s="485" t="s">
        <v>126</v>
      </c>
      <c r="J27" s="485" t="s">
        <v>268</v>
      </c>
      <c r="K27" s="456" t="s">
        <v>83</v>
      </c>
      <c r="L27" s="456"/>
      <c r="M27" s="457"/>
    </row>
    <row r="28" spans="1:13" x14ac:dyDescent="0.3">
      <c r="D28" s="486" t="s">
        <v>429</v>
      </c>
      <c r="E28" s="476"/>
      <c r="F28" s="476"/>
      <c r="G28" s="487"/>
      <c r="H28" s="488" t="s">
        <v>111</v>
      </c>
      <c r="I28" s="489">
        <v>2</v>
      </c>
      <c r="J28" s="489">
        <v>4</v>
      </c>
      <c r="K28" s="476"/>
      <c r="L28" s="476"/>
      <c r="M28" s="479"/>
    </row>
    <row r="29" spans="1:13" x14ac:dyDescent="0.3">
      <c r="D29" s="490" t="s">
        <v>430</v>
      </c>
      <c r="E29" s="491"/>
      <c r="F29" s="491"/>
      <c r="G29" s="492"/>
      <c r="H29" s="493">
        <v>1</v>
      </c>
      <c r="I29" s="493">
        <v>1</v>
      </c>
      <c r="J29" s="494">
        <v>7</v>
      </c>
      <c r="K29" s="495"/>
      <c r="L29" s="495"/>
      <c r="M29" s="496"/>
    </row>
    <row r="30" spans="1:13" x14ac:dyDescent="0.3">
      <c r="D30" s="490" t="s">
        <v>431</v>
      </c>
      <c r="E30" s="491"/>
      <c r="F30" s="491"/>
      <c r="G30" s="492"/>
      <c r="H30" s="493">
        <v>1</v>
      </c>
      <c r="I30" s="493">
        <v>1</v>
      </c>
      <c r="J30" s="494">
        <v>7</v>
      </c>
      <c r="K30" s="495"/>
      <c r="L30" s="495"/>
      <c r="M30" s="496"/>
    </row>
    <row r="31" spans="1:13" x14ac:dyDescent="0.3">
      <c r="D31" s="490" t="s">
        <v>432</v>
      </c>
      <c r="E31" s="491"/>
      <c r="F31" s="491"/>
      <c r="G31" s="492"/>
      <c r="H31" s="493">
        <v>1</v>
      </c>
      <c r="I31" s="493">
        <v>1</v>
      </c>
      <c r="J31" s="494">
        <v>7</v>
      </c>
      <c r="K31" s="495"/>
      <c r="L31" s="495"/>
      <c r="M31" s="496"/>
    </row>
    <row r="32" spans="1:13" x14ac:dyDescent="0.3">
      <c r="D32" s="490" t="s">
        <v>433</v>
      </c>
      <c r="E32" s="491"/>
      <c r="F32" s="491"/>
      <c r="G32" s="492"/>
      <c r="H32" s="493">
        <v>1</v>
      </c>
      <c r="I32" s="493">
        <v>1</v>
      </c>
      <c r="J32" s="494">
        <v>7</v>
      </c>
      <c r="K32" s="495"/>
      <c r="L32" s="495"/>
      <c r="M32" s="496"/>
    </row>
    <row r="33" spans="4:13" x14ac:dyDescent="0.3">
      <c r="D33" s="490" t="s">
        <v>434</v>
      </c>
      <c r="E33" s="491"/>
      <c r="F33" s="491"/>
      <c r="G33" s="492"/>
      <c r="H33" s="493">
        <v>0</v>
      </c>
      <c r="I33" s="493">
        <v>1</v>
      </c>
      <c r="J33" s="494">
        <v>7</v>
      </c>
      <c r="K33" s="495"/>
      <c r="L33" s="495"/>
      <c r="M33" s="496"/>
    </row>
    <row r="34" spans="4:13" x14ac:dyDescent="0.3">
      <c r="D34" s="490" t="s">
        <v>435</v>
      </c>
      <c r="E34" s="491"/>
      <c r="F34" s="491"/>
      <c r="G34" s="492"/>
      <c r="H34" s="493">
        <v>1</v>
      </c>
      <c r="I34" s="493">
        <v>1</v>
      </c>
      <c r="J34" s="494">
        <v>7</v>
      </c>
      <c r="K34" s="495"/>
      <c r="L34" s="495"/>
      <c r="M34" s="496"/>
    </row>
    <row r="35" spans="4:13" x14ac:dyDescent="0.3">
      <c r="D35" s="490" t="s">
        <v>436</v>
      </c>
      <c r="E35" s="491"/>
      <c r="F35" s="491"/>
      <c r="G35" s="492"/>
      <c r="H35" s="493">
        <v>1</v>
      </c>
      <c r="I35" s="493">
        <v>5</v>
      </c>
      <c r="J35" s="494">
        <v>12</v>
      </c>
      <c r="K35" s="495"/>
      <c r="L35" s="495"/>
      <c r="M35" s="496"/>
    </row>
    <row r="36" spans="4:13" x14ac:dyDescent="0.3">
      <c r="D36" s="490" t="s">
        <v>437</v>
      </c>
      <c r="E36" s="491"/>
      <c r="F36" s="491"/>
      <c r="G36" s="492"/>
      <c r="H36" s="493">
        <v>1</v>
      </c>
      <c r="I36" s="493">
        <v>1</v>
      </c>
      <c r="J36" s="494">
        <v>7</v>
      </c>
      <c r="K36" s="495"/>
      <c r="L36" s="495"/>
      <c r="M36" s="496"/>
    </row>
    <row r="37" spans="4:13" x14ac:dyDescent="0.3">
      <c r="D37" s="490" t="s">
        <v>438</v>
      </c>
      <c r="E37" s="491"/>
      <c r="F37" s="491"/>
      <c r="G37" s="492"/>
      <c r="H37" s="493">
        <v>0</v>
      </c>
      <c r="I37" s="493">
        <v>1</v>
      </c>
      <c r="J37" s="494">
        <v>1</v>
      </c>
      <c r="K37" s="495"/>
      <c r="L37" s="495"/>
      <c r="M37" s="496"/>
    </row>
    <row r="38" spans="4:13" x14ac:dyDescent="0.3">
      <c r="D38" s="497" t="s">
        <v>439</v>
      </c>
      <c r="E38" s="498"/>
      <c r="F38" s="498"/>
      <c r="G38" s="499"/>
      <c r="H38" s="500">
        <v>1</v>
      </c>
      <c r="I38" s="315">
        <v>0</v>
      </c>
      <c r="J38" s="315">
        <v>3</v>
      </c>
      <c r="K38" s="501"/>
      <c r="L38" s="502"/>
      <c r="M38" s="503"/>
    </row>
    <row r="39" spans="4:13" ht="16.2" thickBot="1" x14ac:dyDescent="0.35">
      <c r="D39" s="504" t="s">
        <v>440</v>
      </c>
      <c r="E39" s="505"/>
      <c r="F39" s="505"/>
      <c r="G39" s="506"/>
      <c r="H39" s="507">
        <v>1</v>
      </c>
      <c r="I39" s="340">
        <v>1</v>
      </c>
      <c r="J39" s="340">
        <v>1</v>
      </c>
      <c r="K39" s="483" t="s">
        <v>269</v>
      </c>
      <c r="L39" s="508"/>
      <c r="M39" s="484"/>
    </row>
    <row r="40" spans="4:13" ht="16.2" thickTop="1" x14ac:dyDescent="0.3"/>
  </sheetData>
  <sortState xmlns:xlrd2="http://schemas.microsoft.com/office/spreadsheetml/2017/richdata2" ref="D23:K35">
    <sortCondition ref="D23:D35"/>
  </sortState>
  <phoneticPr fontId="0" type="noConversion"/>
  <conditionalFormatting sqref="H28:H39">
    <cfRule type="cellIs" dxfId="10" priority="5" operator="equal">
      <formula>0</formula>
    </cfRule>
  </conditionalFormatting>
  <conditionalFormatting sqref="J3:J10">
    <cfRule type="cellIs" dxfId="9" priority="1" operator="equal">
      <formula>1</formula>
    </cfRule>
    <cfRule type="cellIs" dxfId="8" priority="2" operator="greaterThan">
      <formula>18</formula>
    </cfRule>
  </conditionalFormatting>
  <conditionalFormatting sqref="J13:J16">
    <cfRule type="cellIs" dxfId="7" priority="9" operator="greaterThan">
      <formula>19</formula>
    </cfRule>
  </conditionalFormatting>
  <conditionalFormatting sqref="J13:J17">
    <cfRule type="cellIs" dxfId="6" priority="8" operator="equal">
      <formula>1</formula>
    </cfRule>
  </conditionalFormatting>
  <conditionalFormatting sqref="J17">
    <cfRule type="cellIs" dxfId="5" priority="11" operator="greaterThan">
      <formula>18</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35"/>
  <sheetViews>
    <sheetView showGridLines="0" workbookViewId="0"/>
  </sheetViews>
  <sheetFormatPr defaultColWidth="13" defaultRowHeight="15.6" x14ac:dyDescent="0.3"/>
  <cols>
    <col min="1" max="1" width="27.19921875" style="206" bestFit="1" customWidth="1"/>
    <col min="2" max="2" width="4.8984375" style="206" bestFit="1" customWidth="1"/>
    <col min="3" max="3" width="5.59765625" style="454" bestFit="1" customWidth="1"/>
    <col min="4" max="5" width="26.59765625" style="8" customWidth="1"/>
    <col min="6" max="6" width="1.69921875" style="8" customWidth="1"/>
    <col min="7" max="7" width="17.69921875" style="8" bestFit="1" customWidth="1"/>
    <col min="8" max="16384" width="13" style="8"/>
  </cols>
  <sheetData>
    <row r="1" spans="1:5" ht="24" thickBot="1" x14ac:dyDescent="0.35">
      <c r="A1" s="351" t="s">
        <v>79</v>
      </c>
      <c r="B1" s="351"/>
      <c r="C1" s="509"/>
      <c r="D1" s="351"/>
      <c r="E1" s="351"/>
    </row>
    <row r="2" spans="1:5" s="206" customFormat="1" ht="16.2" thickBot="1" x14ac:dyDescent="0.35">
      <c r="A2" s="510" t="s">
        <v>80</v>
      </c>
      <c r="B2" s="511" t="s">
        <v>6</v>
      </c>
      <c r="C2" s="512" t="s">
        <v>81</v>
      </c>
      <c r="D2" s="513" t="s">
        <v>82</v>
      </c>
      <c r="E2" s="514" t="s">
        <v>83</v>
      </c>
    </row>
    <row r="3" spans="1:5" x14ac:dyDescent="0.3">
      <c r="A3" s="515" t="s">
        <v>161</v>
      </c>
      <c r="B3" s="516">
        <v>1</v>
      </c>
      <c r="C3" s="517">
        <v>3</v>
      </c>
      <c r="D3" s="518" t="s">
        <v>244</v>
      </c>
      <c r="E3" s="519"/>
    </row>
    <row r="4" spans="1:5" x14ac:dyDescent="0.3">
      <c r="A4" s="520" t="s">
        <v>398</v>
      </c>
      <c r="B4" s="521">
        <v>1</v>
      </c>
      <c r="C4" s="517">
        <v>2</v>
      </c>
      <c r="D4" s="518"/>
      <c r="E4" s="519"/>
    </row>
    <row r="5" spans="1:5" x14ac:dyDescent="0.3">
      <c r="A5" s="520" t="s">
        <v>346</v>
      </c>
      <c r="B5" s="521">
        <v>1</v>
      </c>
      <c r="C5" s="517">
        <v>2</v>
      </c>
      <c r="D5" s="518"/>
      <c r="E5" s="519"/>
    </row>
    <row r="6" spans="1:5" x14ac:dyDescent="0.3">
      <c r="A6" s="520" t="s">
        <v>327</v>
      </c>
      <c r="B6" s="521">
        <v>1</v>
      </c>
      <c r="C6" s="517">
        <v>1</v>
      </c>
      <c r="D6" s="518"/>
      <c r="E6" s="519"/>
    </row>
    <row r="7" spans="1:5" x14ac:dyDescent="0.3">
      <c r="A7" s="522" t="s">
        <v>320</v>
      </c>
      <c r="B7" s="523">
        <v>1</v>
      </c>
      <c r="C7" s="524">
        <v>1</v>
      </c>
      <c r="D7" s="518"/>
      <c r="E7" s="519"/>
    </row>
    <row r="8" spans="1:5" x14ac:dyDescent="0.3">
      <c r="A8" s="520" t="s">
        <v>330</v>
      </c>
      <c r="B8" s="525">
        <v>1</v>
      </c>
      <c r="C8" s="524">
        <v>0</v>
      </c>
      <c r="D8" s="518" t="s">
        <v>334</v>
      </c>
      <c r="E8" s="519"/>
    </row>
    <row r="9" spans="1:5" x14ac:dyDescent="0.3">
      <c r="A9" s="520" t="s">
        <v>321</v>
      </c>
      <c r="B9" s="521">
        <v>1</v>
      </c>
      <c r="C9" s="524">
        <v>0</v>
      </c>
      <c r="D9" s="518"/>
      <c r="E9" s="519"/>
    </row>
    <row r="10" spans="1:5" x14ac:dyDescent="0.3">
      <c r="A10" s="520" t="s">
        <v>266</v>
      </c>
      <c r="B10" s="521">
        <v>1</v>
      </c>
      <c r="C10" s="524">
        <v>0</v>
      </c>
      <c r="D10" s="526"/>
      <c r="E10" s="527"/>
    </row>
    <row r="11" spans="1:5" ht="16.2" thickBot="1" x14ac:dyDescent="0.35">
      <c r="A11" s="528" t="s">
        <v>175</v>
      </c>
      <c r="B11" s="529">
        <v>1</v>
      </c>
      <c r="C11" s="530">
        <v>0</v>
      </c>
      <c r="D11" s="531" t="s">
        <v>176</v>
      </c>
      <c r="E11" s="532"/>
    </row>
    <row r="12" spans="1:5" ht="24.6" thickTop="1" thickBot="1" x14ac:dyDescent="0.35">
      <c r="A12" s="351" t="s">
        <v>84</v>
      </c>
      <c r="B12" s="351"/>
      <c r="C12" s="509"/>
      <c r="D12" s="351"/>
      <c r="E12" s="351"/>
    </row>
    <row r="13" spans="1:5" ht="16.2" thickBot="1" x14ac:dyDescent="0.35">
      <c r="A13" s="510" t="s">
        <v>80</v>
      </c>
      <c r="B13" s="510" t="s">
        <v>6</v>
      </c>
      <c r="C13" s="533" t="s">
        <v>81</v>
      </c>
      <c r="D13" s="513" t="s">
        <v>82</v>
      </c>
      <c r="E13" s="514" t="s">
        <v>83</v>
      </c>
    </row>
    <row r="14" spans="1:5" x14ac:dyDescent="0.3">
      <c r="A14" s="534" t="s">
        <v>131</v>
      </c>
      <c r="B14" s="535">
        <v>1</v>
      </c>
      <c r="C14" s="536">
        <f>B14</f>
        <v>1</v>
      </c>
      <c r="D14" s="537"/>
      <c r="E14" s="538"/>
    </row>
    <row r="15" spans="1:5" x14ac:dyDescent="0.3">
      <c r="A15" s="520" t="s">
        <v>96</v>
      </c>
      <c r="B15" s="525">
        <v>1</v>
      </c>
      <c r="C15" s="524">
        <v>1</v>
      </c>
      <c r="D15" s="526"/>
      <c r="E15" s="527"/>
    </row>
    <row r="16" spans="1:5" ht="16.2" thickBot="1" x14ac:dyDescent="0.35">
      <c r="A16" s="539"/>
      <c r="B16" s="540"/>
      <c r="C16" s="530"/>
      <c r="D16" s="541"/>
      <c r="E16" s="532"/>
    </row>
    <row r="17" spans="1:5" ht="24.6" thickTop="1" thickBot="1" x14ac:dyDescent="0.35">
      <c r="A17" s="351" t="s">
        <v>173</v>
      </c>
      <c r="B17" s="351"/>
      <c r="C17" s="509"/>
      <c r="D17" s="351"/>
      <c r="E17" s="351"/>
    </row>
    <row r="18" spans="1:5" ht="16.2" thickBot="1" x14ac:dyDescent="0.35">
      <c r="A18" s="510" t="s">
        <v>80</v>
      </c>
      <c r="B18" s="510" t="s">
        <v>6</v>
      </c>
      <c r="C18" s="533" t="s">
        <v>81</v>
      </c>
      <c r="D18" s="513" t="s">
        <v>82</v>
      </c>
      <c r="E18" s="514" t="s">
        <v>83</v>
      </c>
    </row>
    <row r="19" spans="1:5" x14ac:dyDescent="0.3">
      <c r="A19" s="522" t="s">
        <v>128</v>
      </c>
      <c r="B19" s="535">
        <v>1</v>
      </c>
      <c r="C19" s="542">
        <v>2</v>
      </c>
      <c r="D19" s="543"/>
      <c r="E19" s="538"/>
    </row>
    <row r="20" spans="1:5" x14ac:dyDescent="0.3">
      <c r="A20" s="522" t="s">
        <v>129</v>
      </c>
      <c r="B20" s="544">
        <v>1</v>
      </c>
      <c r="C20" s="542">
        <v>0</v>
      </c>
      <c r="D20" s="545"/>
      <c r="E20" s="546"/>
    </row>
    <row r="21" spans="1:5" x14ac:dyDescent="0.3">
      <c r="A21" s="522" t="s">
        <v>130</v>
      </c>
      <c r="B21" s="544">
        <v>1</v>
      </c>
      <c r="C21" s="542">
        <v>0</v>
      </c>
      <c r="D21" s="545"/>
      <c r="E21" s="546"/>
    </row>
    <row r="22" spans="1:5" ht="16.2" thickBot="1" x14ac:dyDescent="0.35">
      <c r="A22" s="528" t="s">
        <v>174</v>
      </c>
      <c r="B22" s="540">
        <v>3690</v>
      </c>
      <c r="C22" s="530">
        <f>B22/100</f>
        <v>36.9</v>
      </c>
      <c r="D22" s="547"/>
      <c r="E22" s="532"/>
    </row>
    <row r="23" spans="1:5" ht="24.6" thickTop="1" thickBot="1" x14ac:dyDescent="0.35">
      <c r="A23" s="58" t="s">
        <v>85</v>
      </c>
      <c r="B23" s="58"/>
      <c r="C23" s="454">
        <f>SUM(C19:C22)</f>
        <v>38.9</v>
      </c>
      <c r="D23" s="548" t="s">
        <v>246</v>
      </c>
      <c r="E23" s="549"/>
    </row>
    <row r="24" spans="1:5" ht="16.2" thickBot="1" x14ac:dyDescent="0.35">
      <c r="A24" s="510" t="s">
        <v>80</v>
      </c>
      <c r="B24" s="510" t="s">
        <v>6</v>
      </c>
      <c r="C24" s="533" t="s">
        <v>81</v>
      </c>
      <c r="D24" s="513" t="s">
        <v>82</v>
      </c>
      <c r="E24" s="514" t="s">
        <v>83</v>
      </c>
    </row>
    <row r="25" spans="1:5" x14ac:dyDescent="0.3">
      <c r="A25" s="550"/>
      <c r="B25" s="544"/>
      <c r="C25" s="542"/>
      <c r="D25" s="545"/>
      <c r="E25" s="546"/>
    </row>
    <row r="26" spans="1:5" x14ac:dyDescent="0.3">
      <c r="A26" s="522"/>
      <c r="B26" s="525"/>
      <c r="C26" s="524"/>
      <c r="D26" s="545"/>
      <c r="E26" s="546"/>
    </row>
    <row r="27" spans="1:5" x14ac:dyDescent="0.3">
      <c r="A27" s="550"/>
      <c r="B27" s="544"/>
      <c r="C27" s="542"/>
      <c r="D27" s="545"/>
      <c r="E27" s="546"/>
    </row>
    <row r="28" spans="1:5" x14ac:dyDescent="0.3">
      <c r="A28" s="550"/>
      <c r="B28" s="544"/>
      <c r="C28" s="542"/>
      <c r="D28" s="545"/>
      <c r="E28" s="546"/>
    </row>
    <row r="29" spans="1:5" x14ac:dyDescent="0.3">
      <c r="A29" s="550"/>
      <c r="B29" s="544"/>
      <c r="C29" s="542"/>
      <c r="D29" s="545"/>
      <c r="E29" s="546"/>
    </row>
    <row r="30" spans="1:5" x14ac:dyDescent="0.3">
      <c r="A30" s="550"/>
      <c r="B30" s="544"/>
      <c r="C30" s="542"/>
      <c r="D30" s="545"/>
      <c r="E30" s="546"/>
    </row>
    <row r="31" spans="1:5" ht="16.2" thickBot="1" x14ac:dyDescent="0.35">
      <c r="A31" s="528"/>
      <c r="B31" s="540"/>
      <c r="C31" s="530"/>
      <c r="D31" s="547"/>
      <c r="E31" s="532"/>
    </row>
    <row r="32" spans="1:5" ht="16.2" thickTop="1" x14ac:dyDescent="0.3"/>
    <row r="33" spans="1:7" x14ac:dyDescent="0.3">
      <c r="A33" s="8"/>
      <c r="B33" s="8"/>
      <c r="E33" s="58" t="s">
        <v>396</v>
      </c>
    </row>
    <row r="34" spans="1:7" s="206" customFormat="1" x14ac:dyDescent="0.3">
      <c r="C34" s="454"/>
      <c r="E34" s="58" t="s">
        <v>397</v>
      </c>
      <c r="G34" s="551">
        <v>260000</v>
      </c>
    </row>
    <row r="35" spans="1:7" x14ac:dyDescent="0.3">
      <c r="G35" s="551">
        <v>77000</v>
      </c>
    </row>
  </sheetData>
  <sortState xmlns:xlrd2="http://schemas.microsoft.com/office/spreadsheetml/2017/richdata2" ref="G2:G44">
    <sortCondition ref="G2:G44"/>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23"/>
  <sheetViews>
    <sheetView showGridLines="0" workbookViewId="0"/>
  </sheetViews>
  <sheetFormatPr defaultColWidth="13" defaultRowHeight="15.6" x14ac:dyDescent="0.3"/>
  <cols>
    <col min="1" max="1" width="13.5" style="603" bestFit="1" customWidth="1"/>
    <col min="2" max="2" width="10" style="604" customWidth="1"/>
    <col min="3" max="3" width="4.59765625" style="604" customWidth="1"/>
    <col min="4" max="4" width="13.69921875" style="603" bestFit="1" customWidth="1"/>
    <col min="5" max="5" width="9.09765625" style="604" bestFit="1" customWidth="1"/>
    <col min="6" max="6" width="14.8984375" style="603" customWidth="1"/>
    <col min="7" max="7" width="17.8984375" style="604" customWidth="1"/>
    <col min="8" max="16384" width="13" style="559"/>
  </cols>
  <sheetData>
    <row r="1" spans="1:7" ht="30" thickTop="1" thickBot="1" x14ac:dyDescent="0.6">
      <c r="A1" s="552" t="s">
        <v>165</v>
      </c>
      <c r="B1" s="553" t="s">
        <v>328</v>
      </c>
      <c r="C1" s="554"/>
      <c r="D1" s="555"/>
      <c r="E1" s="556"/>
      <c r="F1" s="557"/>
      <c r="G1" s="558" t="s">
        <v>160</v>
      </c>
    </row>
    <row r="2" spans="1:7" ht="18" thickTop="1" x14ac:dyDescent="0.35">
      <c r="A2" s="560" t="s">
        <v>0</v>
      </c>
      <c r="B2" s="561" t="s">
        <v>163</v>
      </c>
      <c r="C2" s="561"/>
      <c r="D2" s="562" t="s">
        <v>162</v>
      </c>
      <c r="E2" s="563" t="s">
        <v>166</v>
      </c>
      <c r="F2" s="562" t="s">
        <v>167</v>
      </c>
      <c r="G2" s="564" t="s">
        <v>209</v>
      </c>
    </row>
    <row r="3" spans="1:7" ht="18" thickBot="1" x14ac:dyDescent="0.4">
      <c r="A3" s="565" t="s">
        <v>64</v>
      </c>
      <c r="B3" s="566" t="s">
        <v>186</v>
      </c>
      <c r="C3" s="566"/>
      <c r="D3" s="567" t="s">
        <v>159</v>
      </c>
      <c r="E3" s="568" t="s">
        <v>164</v>
      </c>
      <c r="F3" s="567" t="s">
        <v>168</v>
      </c>
      <c r="G3" s="569" t="s">
        <v>210</v>
      </c>
    </row>
    <row r="4" spans="1:7" ht="18" thickTop="1" x14ac:dyDescent="0.35">
      <c r="A4" s="570" t="s">
        <v>1</v>
      </c>
      <c r="B4" s="571">
        <f>1</f>
        <v>1</v>
      </c>
      <c r="C4" s="572">
        <f t="shared" ref="C4:C9" si="0">IF(B4&gt;9.9,CONCATENATE("+",ROUNDDOWN((B4-10)/2,0)),ROUNDUP((B4-10)/2,0))</f>
        <v>-5</v>
      </c>
      <c r="D4" s="573" t="s">
        <v>12</v>
      </c>
      <c r="E4" s="574" t="str">
        <f>CONCATENATE(ROUNDDOWN('Personal File'!E11/2,0)," or ",ROUNDDOWN(Shade!E8/2,0))</f>
        <v>49 or 77</v>
      </c>
      <c r="F4" s="575"/>
      <c r="G4" s="576"/>
    </row>
    <row r="5" spans="1:7" ht="17.399999999999999" x14ac:dyDescent="0.35">
      <c r="A5" s="577" t="s">
        <v>2</v>
      </c>
      <c r="B5" s="578">
        <f>15</f>
        <v>15</v>
      </c>
      <c r="C5" s="579" t="str">
        <f t="shared" si="0"/>
        <v>+2</v>
      </c>
      <c r="D5" s="573" t="s">
        <v>61</v>
      </c>
      <c r="E5" s="574">
        <v>50</v>
      </c>
      <c r="F5" s="580"/>
      <c r="G5" s="581"/>
    </row>
    <row r="6" spans="1:7" ht="17.399999999999999" x14ac:dyDescent="0.35">
      <c r="A6" s="582" t="s">
        <v>10</v>
      </c>
      <c r="B6" s="578">
        <v>10</v>
      </c>
      <c r="C6" s="583" t="str">
        <f t="shared" si="0"/>
        <v>+0</v>
      </c>
      <c r="D6" s="584" t="s">
        <v>299</v>
      </c>
      <c r="E6" s="585" t="s">
        <v>223</v>
      </c>
      <c r="F6" s="586"/>
      <c r="G6" s="581"/>
    </row>
    <row r="7" spans="1:7" ht="17.399999999999999" x14ac:dyDescent="0.35">
      <c r="A7" s="587" t="s">
        <v>11</v>
      </c>
      <c r="B7" s="578">
        <v>10</v>
      </c>
      <c r="C7" s="579" t="str">
        <f t="shared" si="0"/>
        <v>+0</v>
      </c>
      <c r="D7" s="573" t="s">
        <v>158</v>
      </c>
      <c r="E7" s="588">
        <f>Skills!H3</f>
        <v>11</v>
      </c>
      <c r="F7" s="580"/>
      <c r="G7" s="581"/>
    </row>
    <row r="8" spans="1:7" ht="17.399999999999999" x14ac:dyDescent="0.35">
      <c r="A8" s="589" t="s">
        <v>13</v>
      </c>
      <c r="B8" s="578">
        <v>14</v>
      </c>
      <c r="C8" s="579" t="str">
        <f t="shared" si="0"/>
        <v>+2</v>
      </c>
      <c r="D8" s="590" t="s">
        <v>157</v>
      </c>
      <c r="E8" s="588">
        <f>Skills!H4</f>
        <v>14</v>
      </c>
      <c r="F8" s="580"/>
      <c r="G8" s="581"/>
    </row>
    <row r="9" spans="1:7" ht="18" thickBot="1" x14ac:dyDescent="0.4">
      <c r="A9" s="591" t="s">
        <v>9</v>
      </c>
      <c r="B9" s="592">
        <v>4</v>
      </c>
      <c r="C9" s="593">
        <f t="shared" si="0"/>
        <v>-3</v>
      </c>
      <c r="D9" s="594" t="s">
        <v>156</v>
      </c>
      <c r="E9" s="595">
        <f>Skills!H5</f>
        <v>15</v>
      </c>
      <c r="F9" s="580"/>
      <c r="G9" s="581"/>
    </row>
    <row r="10" spans="1:7" ht="18" thickTop="1" x14ac:dyDescent="0.35">
      <c r="A10" s="560"/>
      <c r="B10" s="596"/>
      <c r="C10" s="596"/>
      <c r="D10" s="596"/>
      <c r="E10" s="596"/>
      <c r="F10" s="597"/>
      <c r="G10" s="581"/>
    </row>
    <row r="11" spans="1:7" ht="17.399999999999999" x14ac:dyDescent="0.35">
      <c r="A11" s="598"/>
      <c r="B11" s="596"/>
      <c r="C11" s="596"/>
      <c r="D11" s="596"/>
      <c r="E11" s="596"/>
      <c r="F11" s="596"/>
      <c r="G11" s="599"/>
    </row>
    <row r="12" spans="1:7" ht="17.399999999999999" x14ac:dyDescent="0.35">
      <c r="A12" s="598"/>
      <c r="B12" s="596"/>
      <c r="C12" s="596"/>
      <c r="D12" s="596"/>
      <c r="E12" s="596"/>
      <c r="F12" s="596"/>
      <c r="G12" s="599"/>
    </row>
    <row r="13" spans="1:7" ht="17.399999999999999" x14ac:dyDescent="0.35">
      <c r="A13" s="598"/>
      <c r="B13" s="596"/>
      <c r="C13" s="596"/>
      <c r="D13" s="596"/>
      <c r="E13" s="596"/>
      <c r="F13" s="596"/>
      <c r="G13" s="599"/>
    </row>
    <row r="14" spans="1:7" ht="17.399999999999999" x14ac:dyDescent="0.35">
      <c r="A14" s="598"/>
      <c r="B14" s="596"/>
      <c r="C14" s="596"/>
      <c r="D14" s="596"/>
      <c r="E14" s="596"/>
      <c r="F14" s="596"/>
      <c r="G14" s="599"/>
    </row>
    <row r="15" spans="1:7" ht="17.399999999999999" x14ac:dyDescent="0.35">
      <c r="A15" s="598"/>
      <c r="B15" s="596"/>
      <c r="C15" s="596"/>
      <c r="D15" s="596"/>
      <c r="E15" s="596"/>
      <c r="F15" s="596"/>
      <c r="G15" s="599"/>
    </row>
    <row r="16" spans="1:7" ht="17.399999999999999" x14ac:dyDescent="0.35">
      <c r="A16" s="598"/>
      <c r="B16" s="596"/>
      <c r="C16" s="596"/>
      <c r="D16" s="596"/>
      <c r="E16" s="596"/>
      <c r="F16" s="596"/>
      <c r="G16" s="599"/>
    </row>
    <row r="17" spans="1:7" ht="17.399999999999999" x14ac:dyDescent="0.35">
      <c r="A17" s="598"/>
      <c r="B17" s="596"/>
      <c r="C17" s="596"/>
      <c r="D17" s="596"/>
      <c r="E17" s="596"/>
      <c r="F17" s="596"/>
      <c r="G17" s="599"/>
    </row>
    <row r="18" spans="1:7" ht="17.399999999999999" x14ac:dyDescent="0.35">
      <c r="A18" s="598"/>
      <c r="B18" s="596"/>
      <c r="C18" s="596"/>
      <c r="D18" s="596"/>
      <c r="E18" s="596"/>
      <c r="F18" s="596"/>
      <c r="G18" s="599"/>
    </row>
    <row r="19" spans="1:7" ht="17.399999999999999" x14ac:dyDescent="0.35">
      <c r="A19" s="598"/>
      <c r="B19" s="596"/>
      <c r="C19" s="596"/>
      <c r="D19" s="596"/>
      <c r="E19" s="596"/>
      <c r="F19" s="596"/>
      <c r="G19" s="599"/>
    </row>
    <row r="20" spans="1:7" ht="17.399999999999999" x14ac:dyDescent="0.35">
      <c r="A20" s="598"/>
      <c r="B20" s="596"/>
      <c r="C20" s="596"/>
      <c r="D20" s="596"/>
      <c r="E20" s="596"/>
      <c r="F20" s="596"/>
      <c r="G20" s="599"/>
    </row>
    <row r="21" spans="1:7" ht="17.399999999999999" x14ac:dyDescent="0.35">
      <c r="A21" s="598"/>
      <c r="B21" s="596"/>
      <c r="C21" s="596"/>
      <c r="D21" s="596"/>
      <c r="E21" s="596"/>
      <c r="F21" s="596"/>
      <c r="G21" s="599"/>
    </row>
    <row r="22" spans="1:7" ht="18" thickBot="1" x14ac:dyDescent="0.4">
      <c r="A22" s="600"/>
      <c r="B22" s="601"/>
      <c r="C22" s="601"/>
      <c r="D22" s="601"/>
      <c r="E22" s="601"/>
      <c r="F22" s="601"/>
      <c r="G22" s="602"/>
    </row>
    <row r="23" spans="1:7" ht="16.2" thickTop="1" x14ac:dyDescent="0.3"/>
  </sheetData>
  <printOptions gridLinesSet="0"/>
  <pageMargins left="0.62" right="0.33" top="0.5" bottom="0.63" header="0.5" footer="0.5"/>
  <pageSetup orientation="portrait" horizontalDpi="120" verticalDpi="144"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10"/>
  <sheetViews>
    <sheetView showGridLines="0" zoomScaleNormal="100" workbookViewId="0">
      <pane xSplit="4" ySplit="1" topLeftCell="E2" activePane="bottomRight" state="frozen"/>
      <selection pane="topRight"/>
      <selection pane="bottomLeft"/>
      <selection pane="bottomRight" activeCell="E2" sqref="E2"/>
    </sheetView>
  </sheetViews>
  <sheetFormatPr defaultColWidth="8.5" defaultRowHeight="15.6" x14ac:dyDescent="0.3"/>
  <cols>
    <col min="1" max="1" width="18.296875" style="644" bestFit="1" customWidth="1"/>
    <col min="2" max="2" width="12.69921875" style="618" bestFit="1" customWidth="1"/>
    <col min="3" max="3" width="12" style="618" bestFit="1" customWidth="1"/>
    <col min="4" max="4" width="4.8984375" style="618" bestFit="1" customWidth="1"/>
    <col min="5" max="5" width="4" style="618" bestFit="1" customWidth="1"/>
    <col min="6" max="6" width="5.296875" style="618" bestFit="1" customWidth="1"/>
    <col min="7" max="7" width="3.69921875" style="618" bestFit="1" customWidth="1"/>
    <col min="8" max="8" width="4.59765625" style="618" bestFit="1" customWidth="1"/>
    <col min="9" max="9" width="4.796875" style="618" bestFit="1" customWidth="1"/>
    <col min="10" max="10" width="3.69921875" style="618" bestFit="1" customWidth="1"/>
    <col min="11" max="11" width="4.59765625" style="618" bestFit="1" customWidth="1"/>
    <col min="12" max="12" width="4.796875" style="618" bestFit="1" customWidth="1"/>
    <col min="13" max="13" width="4.3984375" style="618" bestFit="1" customWidth="1"/>
    <col min="14" max="14" width="4.296875" style="618" bestFit="1" customWidth="1"/>
    <col min="15" max="15" width="5" style="618" bestFit="1" customWidth="1"/>
    <col min="16" max="16" width="4.09765625" style="618" bestFit="1" customWidth="1"/>
    <col min="17" max="18" width="4.296875" style="618" bestFit="1" customWidth="1"/>
    <col min="19" max="19" width="6.09765625" style="618" bestFit="1" customWidth="1"/>
    <col min="20" max="20" width="5.5" style="618" bestFit="1" customWidth="1"/>
    <col min="21" max="21" width="6.09765625" style="618" bestFit="1" customWidth="1"/>
    <col min="22" max="22" width="8.796875" style="645" bestFit="1" customWidth="1"/>
    <col min="23" max="23" width="44.8984375" style="618" customWidth="1"/>
    <col min="24" max="25" width="51.69921875" style="618" customWidth="1"/>
    <col min="26" max="26" width="14.69921875" style="618" customWidth="1"/>
    <col min="27" max="27" width="18" style="618" customWidth="1"/>
    <col min="28" max="28" width="9.296875" style="618" bestFit="1" customWidth="1"/>
    <col min="29" max="29" width="41.796875" style="618" customWidth="1"/>
    <col min="30" max="16384" width="8.5" style="618"/>
  </cols>
  <sheetData>
    <row r="1" spans="1:29" ht="16.2" thickBot="1" x14ac:dyDescent="0.35">
      <c r="A1" s="605" t="s">
        <v>272</v>
      </c>
      <c r="B1" s="606" t="s">
        <v>273</v>
      </c>
      <c r="C1" s="606" t="s">
        <v>274</v>
      </c>
      <c r="D1" s="606" t="s">
        <v>275</v>
      </c>
      <c r="E1" s="606" t="s">
        <v>276</v>
      </c>
      <c r="F1" s="606" t="s">
        <v>277</v>
      </c>
      <c r="G1" s="607" t="s">
        <v>33</v>
      </c>
      <c r="H1" s="608" t="s">
        <v>32</v>
      </c>
      <c r="I1" s="609" t="s">
        <v>29</v>
      </c>
      <c r="J1" s="610" t="s">
        <v>30</v>
      </c>
      <c r="K1" s="611" t="s">
        <v>31</v>
      </c>
      <c r="L1" s="612" t="s">
        <v>28</v>
      </c>
      <c r="M1" s="613" t="s">
        <v>278</v>
      </c>
      <c r="N1" s="608" t="s">
        <v>279</v>
      </c>
      <c r="O1" s="609" t="s">
        <v>280</v>
      </c>
      <c r="P1" s="608" t="s">
        <v>281</v>
      </c>
      <c r="Q1" s="611" t="s">
        <v>282</v>
      </c>
      <c r="R1" s="607" t="s">
        <v>110</v>
      </c>
      <c r="S1" s="614" t="s">
        <v>284</v>
      </c>
      <c r="T1" s="614" t="s">
        <v>285</v>
      </c>
      <c r="U1" s="614" t="s">
        <v>283</v>
      </c>
      <c r="V1" s="609" t="s">
        <v>286</v>
      </c>
      <c r="W1" s="615" t="s">
        <v>294</v>
      </c>
      <c r="X1" s="606" t="s">
        <v>441</v>
      </c>
      <c r="Y1" s="616" t="s">
        <v>287</v>
      </c>
      <c r="Z1" s="606" t="s">
        <v>288</v>
      </c>
      <c r="AA1" s="606" t="s">
        <v>289</v>
      </c>
      <c r="AB1" s="606" t="s">
        <v>319</v>
      </c>
      <c r="AC1" s="617" t="s">
        <v>290</v>
      </c>
    </row>
    <row r="2" spans="1:29" ht="69" x14ac:dyDescent="0.3">
      <c r="A2" s="619" t="s">
        <v>442</v>
      </c>
      <c r="B2" s="620" t="s">
        <v>360</v>
      </c>
      <c r="C2" s="300" t="s">
        <v>358</v>
      </c>
      <c r="D2" s="621">
        <v>15</v>
      </c>
      <c r="E2" s="300" t="s">
        <v>292</v>
      </c>
      <c r="F2" s="315" t="s">
        <v>293</v>
      </c>
      <c r="G2" s="622">
        <f>20+4</f>
        <v>24</v>
      </c>
      <c r="H2" s="641">
        <f>4+4</f>
        <v>8</v>
      </c>
      <c r="I2" s="641">
        <f>19+4</f>
        <v>23</v>
      </c>
      <c r="J2" s="300">
        <v>10</v>
      </c>
      <c r="K2" s="300">
        <v>12</v>
      </c>
      <c r="L2" s="623">
        <f>16+2</f>
        <v>18</v>
      </c>
      <c r="M2" s="624">
        <f t="shared" ref="M2" si="0">AVERAGE(G2:L2)</f>
        <v>15.833333333333334</v>
      </c>
      <c r="N2" s="625">
        <f t="shared" ref="N2" si="1">IF(H2&gt;9.9,CONCATENATE("+",ROUNDDOWN((H2-10)/2,0)),ROUNDUP((H2-10)/2,0))</f>
        <v>-1</v>
      </c>
      <c r="O2" s="626">
        <f>4+3+2+2</f>
        <v>11</v>
      </c>
      <c r="P2" s="627">
        <f>4+0+2+2</f>
        <v>8</v>
      </c>
      <c r="Q2" s="623">
        <f>8+0+2+2</f>
        <v>12</v>
      </c>
      <c r="R2" s="628">
        <f>D2-2</f>
        <v>13</v>
      </c>
      <c r="S2" s="629">
        <f>10+N2</f>
        <v>9</v>
      </c>
      <c r="T2" s="629">
        <f>10+AB2+3</f>
        <v>27</v>
      </c>
      <c r="U2" s="629">
        <f t="shared" ref="U2" si="2">T2+N2</f>
        <v>26</v>
      </c>
      <c r="V2" s="629">
        <f>ROUNDUP(10*(0.75*D2)+(D2*(I2-10)/2),0)</f>
        <v>210</v>
      </c>
      <c r="W2" s="630" t="s">
        <v>354</v>
      </c>
      <c r="X2" s="631"/>
      <c r="Y2" s="632"/>
      <c r="Z2" s="633" t="s">
        <v>356</v>
      </c>
      <c r="AA2" s="634" t="s">
        <v>343</v>
      </c>
      <c r="AB2" s="635">
        <f>7+2+3+2</f>
        <v>14</v>
      </c>
      <c r="AC2" s="636" t="s">
        <v>362</v>
      </c>
    </row>
    <row r="3" spans="1:29" ht="96.6" x14ac:dyDescent="0.3">
      <c r="A3" s="619" t="s">
        <v>443</v>
      </c>
      <c r="B3" s="300" t="s">
        <v>361</v>
      </c>
      <c r="C3" s="300" t="s">
        <v>359</v>
      </c>
      <c r="D3" s="621">
        <v>15</v>
      </c>
      <c r="E3" s="300" t="s">
        <v>291</v>
      </c>
      <c r="F3" s="315" t="s">
        <v>451</v>
      </c>
      <c r="G3" s="628">
        <v>12</v>
      </c>
      <c r="H3" s="300">
        <v>13</v>
      </c>
      <c r="I3" s="300">
        <v>14</v>
      </c>
      <c r="J3" s="641">
        <f>20+4</f>
        <v>24</v>
      </c>
      <c r="K3" s="641">
        <f>15+4</f>
        <v>19</v>
      </c>
      <c r="L3" s="629">
        <v>12</v>
      </c>
      <c r="M3" s="624">
        <f t="shared" ref="M3:M5" si="3">AVERAGE(G3:L3)</f>
        <v>15.666666666666666</v>
      </c>
      <c r="N3" s="625" t="str">
        <f t="shared" ref="N3:N5" si="4">IF(H3&gt;9.9,CONCATENATE("+",ROUNDDOWN((H3-10)/2,0)),ROUNDUP((H3-10)/2,0))</f>
        <v>+1</v>
      </c>
      <c r="O3" s="626">
        <f>7+2+2</f>
        <v>11</v>
      </c>
      <c r="P3" s="627">
        <f>3+2+2</f>
        <v>7</v>
      </c>
      <c r="Q3" s="623">
        <f>7+2+2</f>
        <v>11</v>
      </c>
      <c r="R3" s="637">
        <v>5</v>
      </c>
      <c r="S3" s="629">
        <f>1+10+N3</f>
        <v>12</v>
      </c>
      <c r="T3" s="629">
        <f>10+AB3</f>
        <v>18</v>
      </c>
      <c r="U3" s="629">
        <f>T3+N3</f>
        <v>19</v>
      </c>
      <c r="V3" s="638">
        <f t="shared" ref="V3" si="5">ROUNDUP(6*(0.75*D3)+(D3*(I3-10)/2),0)</f>
        <v>98</v>
      </c>
      <c r="W3" s="639" t="s">
        <v>355</v>
      </c>
      <c r="X3" s="640" t="s">
        <v>450</v>
      </c>
      <c r="Y3" s="636" t="s">
        <v>345</v>
      </c>
      <c r="Z3" s="633" t="s">
        <v>296</v>
      </c>
      <c r="AA3" s="634" t="s">
        <v>329</v>
      </c>
      <c r="AB3" s="635">
        <f>6+2</f>
        <v>8</v>
      </c>
      <c r="AC3" s="636" t="s">
        <v>363</v>
      </c>
    </row>
    <row r="4" spans="1:29" ht="55.2" x14ac:dyDescent="0.3">
      <c r="A4" s="619" t="s">
        <v>444</v>
      </c>
      <c r="B4" s="300" t="s">
        <v>386</v>
      </c>
      <c r="C4" s="300" t="s">
        <v>387</v>
      </c>
      <c r="D4" s="621">
        <v>14</v>
      </c>
      <c r="E4" s="300" t="s">
        <v>292</v>
      </c>
      <c r="F4" s="315" t="s">
        <v>388</v>
      </c>
      <c r="G4" s="628">
        <f>14</f>
        <v>14</v>
      </c>
      <c r="H4" s="641">
        <f>13+4</f>
        <v>17</v>
      </c>
      <c r="I4" s="300">
        <v>11</v>
      </c>
      <c r="J4" s="300">
        <v>12</v>
      </c>
      <c r="K4" s="300">
        <v>16</v>
      </c>
      <c r="L4" s="623">
        <f>17+4</f>
        <v>21</v>
      </c>
      <c r="M4" s="624">
        <f t="shared" si="3"/>
        <v>15.166666666666666</v>
      </c>
      <c r="N4" s="625" t="str">
        <f t="shared" si="4"/>
        <v>+3</v>
      </c>
      <c r="O4" s="626">
        <f>4+2+3</f>
        <v>9</v>
      </c>
      <c r="P4" s="627">
        <f>5+2+3</f>
        <v>10</v>
      </c>
      <c r="Q4" s="623">
        <f>7+2+3</f>
        <v>12</v>
      </c>
      <c r="R4" s="637">
        <v>5</v>
      </c>
      <c r="S4" s="629">
        <f>1+10+N4</f>
        <v>14</v>
      </c>
      <c r="T4" s="642">
        <f>10+AB4</f>
        <v>19</v>
      </c>
      <c r="U4" s="642">
        <f t="shared" ref="U4" si="6">T4+N4</f>
        <v>22</v>
      </c>
      <c r="V4" s="638">
        <f>ROUNDUP(((D4*4)*0.75)+(D4*C11),0)</f>
        <v>42</v>
      </c>
      <c r="W4" s="639" t="s">
        <v>389</v>
      </c>
      <c r="X4" s="640" t="s">
        <v>449</v>
      </c>
      <c r="Y4" s="636" t="s">
        <v>448</v>
      </c>
      <c r="Z4" s="633" t="s">
        <v>390</v>
      </c>
      <c r="AA4" s="634" t="s">
        <v>445</v>
      </c>
      <c r="AB4" s="635">
        <f>5+4</f>
        <v>9</v>
      </c>
      <c r="AC4" s="636" t="s">
        <v>446</v>
      </c>
    </row>
    <row r="5" spans="1:29" ht="41.4" x14ac:dyDescent="0.3">
      <c r="A5" s="653" t="s">
        <v>391</v>
      </c>
      <c r="B5" s="300" t="s">
        <v>177</v>
      </c>
      <c r="C5" s="300" t="s">
        <v>406</v>
      </c>
      <c r="D5" s="621">
        <v>10</v>
      </c>
      <c r="E5" s="300" t="s">
        <v>291</v>
      </c>
      <c r="F5" s="315" t="s">
        <v>388</v>
      </c>
      <c r="G5" s="628">
        <v>12</v>
      </c>
      <c r="H5" s="641">
        <f>18+4</f>
        <v>22</v>
      </c>
      <c r="I5" s="300">
        <v>12</v>
      </c>
      <c r="J5" s="300">
        <v>13</v>
      </c>
      <c r="K5" s="300">
        <v>9</v>
      </c>
      <c r="L5" s="642">
        <v>18</v>
      </c>
      <c r="M5" s="624">
        <f t="shared" si="3"/>
        <v>14.333333333333334</v>
      </c>
      <c r="N5" s="625" t="str">
        <f t="shared" si="4"/>
        <v>+6</v>
      </c>
      <c r="O5" s="626">
        <f>8</f>
        <v>8</v>
      </c>
      <c r="P5" s="627">
        <f>4+2</f>
        <v>6</v>
      </c>
      <c r="Q5" s="623">
        <f>4</f>
        <v>4</v>
      </c>
      <c r="R5" s="628">
        <f>D5</f>
        <v>10</v>
      </c>
      <c r="S5" s="300">
        <f>10+N5</f>
        <v>16</v>
      </c>
      <c r="T5" s="629">
        <f>10+AB5</f>
        <v>19</v>
      </c>
      <c r="U5" s="629">
        <f>T5+N5</f>
        <v>25</v>
      </c>
      <c r="V5" s="629">
        <f>ROUNDUP(10*(0.75*D5)+(D5*(I5-10)/2),0)</f>
        <v>85</v>
      </c>
      <c r="W5" s="643" t="s">
        <v>392</v>
      </c>
      <c r="X5" s="631"/>
      <c r="Y5" s="632"/>
      <c r="Z5" s="633" t="s">
        <v>393</v>
      </c>
      <c r="AA5" s="634" t="s">
        <v>394</v>
      </c>
      <c r="AB5" s="635">
        <f>3+3+3</f>
        <v>9</v>
      </c>
      <c r="AC5" s="636" t="s">
        <v>395</v>
      </c>
    </row>
    <row r="6" spans="1:29" ht="27.6" x14ac:dyDescent="0.3">
      <c r="A6" s="653" t="s">
        <v>400</v>
      </c>
      <c r="B6" s="300" t="s">
        <v>399</v>
      </c>
      <c r="C6" s="300" t="s">
        <v>405</v>
      </c>
      <c r="D6" s="621">
        <v>7</v>
      </c>
      <c r="E6" s="300" t="s">
        <v>291</v>
      </c>
      <c r="F6" s="315" t="s">
        <v>401</v>
      </c>
      <c r="G6" s="628">
        <v>8</v>
      </c>
      <c r="H6" s="300">
        <v>14</v>
      </c>
      <c r="I6" s="300" t="s">
        <v>255</v>
      </c>
      <c r="J6" s="300">
        <v>16</v>
      </c>
      <c r="K6" s="300">
        <v>13</v>
      </c>
      <c r="L6" s="629">
        <v>12</v>
      </c>
      <c r="M6" s="624">
        <f t="shared" ref="M6:M8" si="7">AVERAGE(G6:L6)</f>
        <v>12.6</v>
      </c>
      <c r="N6" s="625" t="str">
        <f t="shared" ref="N6:N8" si="8">IF(H6&gt;9.9,CONCATENATE("+",ROUNDDOWN((H6-10)/2,0)),ROUNDUP((H6-10)/2,0))</f>
        <v>+2</v>
      </c>
      <c r="O6" s="626"/>
      <c r="P6" s="627"/>
      <c r="Q6" s="623"/>
      <c r="R6" s="628">
        <v>2</v>
      </c>
      <c r="S6" s="300">
        <v>13</v>
      </c>
      <c r="T6" s="629">
        <f t="shared" ref="T6" si="9">10+AB6</f>
        <v>10</v>
      </c>
      <c r="U6" s="629">
        <f t="shared" ref="U6" si="10">T6+N6</f>
        <v>12</v>
      </c>
      <c r="V6" s="629">
        <v>36</v>
      </c>
      <c r="W6" s="643" t="s">
        <v>417</v>
      </c>
      <c r="X6" s="640"/>
      <c r="Y6" s="636"/>
      <c r="Z6" s="633" t="s">
        <v>416</v>
      </c>
      <c r="AA6" s="634" t="s">
        <v>412</v>
      </c>
      <c r="AB6" s="635">
        <v>0</v>
      </c>
      <c r="AC6" s="636"/>
    </row>
    <row r="7" spans="1:29" x14ac:dyDescent="0.3">
      <c r="A7" s="653" t="s">
        <v>402</v>
      </c>
      <c r="B7" s="300" t="s">
        <v>403</v>
      </c>
      <c r="C7" s="300" t="s">
        <v>404</v>
      </c>
      <c r="D7" s="621">
        <v>6</v>
      </c>
      <c r="E7" s="300" t="s">
        <v>291</v>
      </c>
      <c r="F7" s="315" t="s">
        <v>388</v>
      </c>
      <c r="G7" s="628">
        <v>13</v>
      </c>
      <c r="H7" s="300">
        <v>13</v>
      </c>
      <c r="I7" s="300">
        <v>12</v>
      </c>
      <c r="J7" s="300">
        <v>9</v>
      </c>
      <c r="K7" s="300">
        <v>11</v>
      </c>
      <c r="L7" s="629">
        <v>9</v>
      </c>
      <c r="M7" s="624">
        <f t="shared" si="7"/>
        <v>11.166666666666666</v>
      </c>
      <c r="N7" s="625" t="str">
        <f t="shared" si="8"/>
        <v>+1</v>
      </c>
      <c r="O7" s="626">
        <v>5</v>
      </c>
      <c r="P7" s="627">
        <v>2</v>
      </c>
      <c r="Q7" s="623">
        <v>5</v>
      </c>
      <c r="R7" s="628">
        <v>4</v>
      </c>
      <c r="S7" s="300">
        <v>11</v>
      </c>
      <c r="T7" s="629">
        <v>14</v>
      </c>
      <c r="U7" s="629">
        <v>15</v>
      </c>
      <c r="V7" s="629">
        <f>(10*0.75*6)+6</f>
        <v>51</v>
      </c>
      <c r="W7" s="643"/>
      <c r="X7" s="631"/>
      <c r="Y7" s="632"/>
      <c r="Z7" s="633" t="s">
        <v>414</v>
      </c>
      <c r="AA7" s="634" t="s">
        <v>415</v>
      </c>
      <c r="AB7" s="635">
        <v>4</v>
      </c>
      <c r="AC7" s="636"/>
    </row>
    <row r="8" spans="1:29" ht="41.4" x14ac:dyDescent="0.3">
      <c r="A8" s="653" t="s">
        <v>407</v>
      </c>
      <c r="B8" s="300" t="s">
        <v>408</v>
      </c>
      <c r="C8" s="300" t="s">
        <v>409</v>
      </c>
      <c r="D8" s="621">
        <v>7</v>
      </c>
      <c r="E8" s="300" t="s">
        <v>291</v>
      </c>
      <c r="F8" s="315" t="s">
        <v>388</v>
      </c>
      <c r="G8" s="628">
        <v>20</v>
      </c>
      <c r="H8" s="300">
        <v>20</v>
      </c>
      <c r="I8" s="300" t="s">
        <v>255</v>
      </c>
      <c r="J8" s="300">
        <v>12</v>
      </c>
      <c r="K8" s="300">
        <v>20</v>
      </c>
      <c r="L8" s="629">
        <v>18</v>
      </c>
      <c r="M8" s="624">
        <f t="shared" si="7"/>
        <v>18</v>
      </c>
      <c r="N8" s="625" t="str">
        <f t="shared" si="8"/>
        <v>+5</v>
      </c>
      <c r="O8" s="626">
        <v>3</v>
      </c>
      <c r="P8" s="627">
        <v>11</v>
      </c>
      <c r="Q8" s="623">
        <v>11</v>
      </c>
      <c r="R8" s="628">
        <v>5</v>
      </c>
      <c r="S8" s="300">
        <v>24</v>
      </c>
      <c r="T8" s="629">
        <v>23</v>
      </c>
      <c r="U8" s="629">
        <v>28</v>
      </c>
      <c r="V8" s="629">
        <v>45</v>
      </c>
      <c r="W8" s="643" t="s">
        <v>410</v>
      </c>
      <c r="X8" s="631"/>
      <c r="Y8" s="632"/>
      <c r="Z8" s="633" t="s">
        <v>411</v>
      </c>
      <c r="AA8" s="634" t="s">
        <v>412</v>
      </c>
      <c r="AB8" s="635">
        <v>0</v>
      </c>
      <c r="AC8" s="636" t="s">
        <v>413</v>
      </c>
    </row>
    <row r="10" spans="1:29" x14ac:dyDescent="0.3">
      <c r="A10" s="653" t="s">
        <v>447</v>
      </c>
    </row>
  </sheetData>
  <sortState xmlns:xlrd2="http://schemas.microsoft.com/office/spreadsheetml/2017/richdata2" ref="A2:AB6">
    <sortCondition descending="1" ref="D2:D6"/>
    <sortCondition ref="A2:A6"/>
  </sortState>
  <conditionalFormatting sqref="A2:A8">
    <cfRule type="cellIs" dxfId="4" priority="3" operator="equal">
      <formula>"No"</formula>
    </cfRule>
    <cfRule type="cellIs" dxfId="3" priority="4" operator="equal">
      <formula>"Yes"</formula>
    </cfRule>
  </conditionalFormatting>
  <conditionalFormatting sqref="A10">
    <cfRule type="cellIs" dxfId="2" priority="1" operator="equal">
      <formula>"No"</formula>
    </cfRule>
    <cfRule type="cellIs" dxfId="1" priority="2" operator="equal">
      <formula>"Yes"</formula>
    </cfRule>
  </conditionalFormatting>
  <conditionalFormatting sqref="X1:Y1">
    <cfRule type="containsBlanks" dxfId="0" priority="17">
      <formula>LEN(TRIM(X1))=0</formula>
    </cfRule>
  </conditionalFormatting>
  <pageMargins left="0.15" right="0.75" top="0.32" bottom="0.33" header="0.25" footer="0.25"/>
  <pageSetup orientation="landscape" horizontalDpi="4294967293"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Personal File</vt:lpstr>
      <vt:lpstr>Shade</vt:lpstr>
      <vt:lpstr>Skills</vt:lpstr>
      <vt:lpstr>Spells</vt:lpstr>
      <vt:lpstr>Feats</vt:lpstr>
      <vt:lpstr>Martial</vt:lpstr>
      <vt:lpstr>Equipment</vt:lpstr>
      <vt:lpstr>Familiar</vt:lpstr>
      <vt:lpstr>Leadership</vt:lpstr>
      <vt:lpstr>Familiar!Print_Area</vt:lpstr>
      <vt:lpstr>'Personal File'!Print_Area</vt:lpstr>
      <vt:lpstr>Shade!Print_Area</vt:lpstr>
      <vt:lpstr>Skills!Print_Area</vt:lpstr>
      <vt:lpstr>Spells!Print_Area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Strongholds of Faerûn Character Sheet</dc:title>
  <dc:creator>© Alexis A. Álvarez 2007</dc:creator>
  <cp:lastModifiedBy>Alexis Álvarez</cp:lastModifiedBy>
  <cp:lastPrinted>2017-12-11T16:38:25Z</cp:lastPrinted>
  <dcterms:created xsi:type="dcterms:W3CDTF">2000-10-24T15:39:59Z</dcterms:created>
  <dcterms:modified xsi:type="dcterms:W3CDTF">2025-03-31T12:33:26Z</dcterms:modified>
</cp:coreProperties>
</file>