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mc:AlternateContent xmlns:mc="http://schemas.openxmlformats.org/markup-compatibility/2006">
    <mc:Choice Requires="x15">
      <x15ac:absPath xmlns:x15ac="http://schemas.microsoft.com/office/spreadsheetml/2010/11/ac" url="C:\A\Juegos\FoL\NPCs\"/>
    </mc:Choice>
  </mc:AlternateContent>
  <xr:revisionPtr revIDLastSave="0" documentId="13_ncr:1_{43506576-0472-49DB-B1CB-5BB97B7836EF}" xr6:coauthVersionLast="47" xr6:coauthVersionMax="47" xr10:uidLastSave="{00000000-0000-0000-0000-000000000000}"/>
  <bookViews>
    <workbookView xWindow="-108" yWindow="-108" windowWidth="23256" windowHeight="13176" tabRatio="638" xr2:uid="{00000000-000D-0000-FFFF-FFFF00000000}"/>
  </bookViews>
  <sheets>
    <sheet name="Personal File" sheetId="4" r:id="rId1"/>
    <sheet name="Skills" sheetId="15" r:id="rId2"/>
    <sheet name="Invocations" sheetId="22" r:id="rId3"/>
    <sheet name="Feats" sheetId="20" r:id="rId4"/>
    <sheet name="Martial" sheetId="6" r:id="rId5"/>
    <sheet name="Equipment" sheetId="19" r:id="rId6"/>
  </sheets>
  <externalReferences>
    <externalReference r:id="rId7"/>
  </externalReferences>
  <definedNames>
    <definedName name="NoShade">'[1]Spell Sheet'!$FH$1</definedName>
    <definedName name="OLE_LINK1" localSheetId="3">Feats!#REF!</definedName>
    <definedName name="_xlnm.Print_Area" localSheetId="5">Equipment!#REF!</definedName>
    <definedName name="_xlnm.Print_Area" localSheetId="3">Feats!#REF!</definedName>
    <definedName name="_xlnm.Print_Area" localSheetId="2">Invocations!$A$1:$I$6</definedName>
    <definedName name="_xlnm.Print_Area" localSheetId="4">Martial!#REF!</definedName>
    <definedName name="_xlnm.Print_Area" localSheetId="0">'Personal File'!$A$1:$H$50</definedName>
    <definedName name="_xlnm.Print_Area" localSheetId="1">Skills!$A$1:$K$29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5" i="6" l="1"/>
  <c r="I14" i="6"/>
  <c r="I12" i="6"/>
  <c r="I11" i="6"/>
  <c r="I5" i="6"/>
  <c r="I8" i="6"/>
  <c r="I20" i="6"/>
  <c r="B16" i="4" l="1"/>
  <c r="B11" i="4" l="1"/>
  <c r="F9" i="15" l="1"/>
  <c r="F8" i="15"/>
  <c r="C20" i="20" l="1"/>
  <c r="H16" i="15"/>
  <c r="I19" i="6" l="1"/>
  <c r="I18" i="6"/>
  <c r="B5" i="15"/>
  <c r="B4" i="15"/>
  <c r="B3" i="15"/>
  <c r="B9" i="4"/>
  <c r="F23" i="15" l="1"/>
  <c r="F7" i="15"/>
  <c r="D18" i="6" l="1"/>
  <c r="I6" i="6" l="1"/>
  <c r="I7" i="6"/>
  <c r="I3" i="6"/>
  <c r="I4" i="6"/>
  <c r="G18" i="19" l="1"/>
  <c r="I13" i="6" l="1"/>
  <c r="F27" i="15"/>
  <c r="G44" i="19" l="1"/>
  <c r="M39" i="6"/>
  <c r="G45" i="19" l="1"/>
  <c r="H42" i="15"/>
  <c r="I10" i="6" l="1"/>
  <c r="G30" i="6" l="1"/>
  <c r="G31" i="6"/>
  <c r="I22" i="6" l="1"/>
  <c r="G32" i="6" l="1"/>
  <c r="C16" i="4" l="1"/>
  <c r="H3" i="15" l="1"/>
  <c r="H4" i="15"/>
  <c r="H5" i="15"/>
  <c r="H6" i="15"/>
  <c r="H7" i="15"/>
  <c r="D8" i="15"/>
  <c r="G8" i="15" s="1"/>
  <c r="H8" i="15"/>
  <c r="H9" i="15"/>
  <c r="H10" i="15"/>
  <c r="H11" i="15"/>
  <c r="H12" i="15"/>
  <c r="D13" i="15"/>
  <c r="G13" i="15" s="1"/>
  <c r="H13" i="15"/>
  <c r="H14" i="15"/>
  <c r="D15" i="15"/>
  <c r="G15" i="15" s="1"/>
  <c r="H15" i="15"/>
  <c r="H17" i="15"/>
  <c r="D18" i="15"/>
  <c r="G18" i="15" s="1"/>
  <c r="H18" i="15"/>
  <c r="D19" i="15"/>
  <c r="G19" i="15" s="1"/>
  <c r="H19" i="15"/>
  <c r="H20" i="15"/>
  <c r="H21" i="15"/>
  <c r="D22" i="15"/>
  <c r="G22" i="15" s="1"/>
  <c r="H22" i="15"/>
  <c r="E22" i="15" l="1"/>
  <c r="E13" i="15"/>
  <c r="E15" i="15"/>
  <c r="E18" i="15"/>
  <c r="I13" i="15"/>
  <c r="E8" i="15"/>
  <c r="I8" i="15"/>
  <c r="I22" i="15"/>
  <c r="I18" i="15"/>
  <c r="I19" i="15"/>
  <c r="I15" i="15"/>
  <c r="E19" i="15"/>
  <c r="C26" i="19" l="1"/>
  <c r="C18" i="19" l="1"/>
  <c r="E12" i="4" l="1"/>
  <c r="I21" i="6" l="1"/>
  <c r="I23" i="6" l="1"/>
  <c r="H23" i="15" l="1"/>
  <c r="C13" i="4" l="1"/>
  <c r="E13" i="4" s="1"/>
  <c r="D3" i="15" l="1"/>
  <c r="G3" i="15" s="1"/>
  <c r="D10" i="15"/>
  <c r="G10" i="15" s="1"/>
  <c r="H26" i="15"/>
  <c r="E10" i="15" l="1"/>
  <c r="I10" i="15"/>
  <c r="E3" i="15"/>
  <c r="I3" i="15"/>
  <c r="C11" i="4"/>
  <c r="E9" i="4" s="1"/>
  <c r="C12" i="4"/>
  <c r="C14" i="4"/>
  <c r="E49" i="15" s="1"/>
  <c r="C15" i="4"/>
  <c r="H14" i="6" l="1"/>
  <c r="J14" i="6" s="1"/>
  <c r="H12" i="6"/>
  <c r="J12" i="6" s="1"/>
  <c r="H5" i="6"/>
  <c r="J5" i="6" s="1"/>
  <c r="H20" i="6"/>
  <c r="J20" i="6" s="1"/>
  <c r="H8" i="6"/>
  <c r="J8" i="6" s="1"/>
  <c r="H15" i="6"/>
  <c r="J15" i="6" s="1"/>
  <c r="H11" i="6"/>
  <c r="J11" i="6" s="1"/>
  <c r="E56" i="15"/>
  <c r="E54" i="15"/>
  <c r="E52" i="15"/>
  <c r="H7" i="6"/>
  <c r="J7" i="6" s="1"/>
  <c r="H4" i="6"/>
  <c r="J4" i="6" s="1"/>
  <c r="H6" i="6"/>
  <c r="J6" i="6" s="1"/>
  <c r="E51" i="15"/>
  <c r="E50" i="15"/>
  <c r="E48" i="15"/>
  <c r="E47" i="15"/>
  <c r="E45" i="15"/>
  <c r="E46" i="15"/>
  <c r="H10" i="6"/>
  <c r="J10" i="6" s="1"/>
  <c r="H18" i="6"/>
  <c r="J18" i="6" s="1"/>
  <c r="H3" i="6"/>
  <c r="J3" i="6" s="1"/>
  <c r="H23" i="6"/>
  <c r="J23" i="6" s="1"/>
  <c r="H22" i="6"/>
  <c r="J22" i="6" s="1"/>
  <c r="H19" i="6"/>
  <c r="J19" i="6" s="1"/>
  <c r="H13" i="6"/>
  <c r="J13" i="6" s="1"/>
  <c r="E14" i="4"/>
  <c r="E16" i="4" s="1"/>
  <c r="E15" i="4" s="1"/>
  <c r="D17" i="15"/>
  <c r="G17" i="15" s="1"/>
  <c r="D12" i="15"/>
  <c r="G12" i="15" s="1"/>
  <c r="D14" i="15"/>
  <c r="G14" i="15" s="1"/>
  <c r="D6" i="15"/>
  <c r="G6" i="15" s="1"/>
  <c r="D11" i="15"/>
  <c r="G11" i="15" s="1"/>
  <c r="D5" i="15"/>
  <c r="G5" i="15" s="1"/>
  <c r="D20" i="15"/>
  <c r="G20" i="15" s="1"/>
  <c r="D7" i="15"/>
  <c r="G7" i="15" s="1"/>
  <c r="D21" i="15"/>
  <c r="G21" i="15" s="1"/>
  <c r="D4" i="15"/>
  <c r="G4" i="15" s="1"/>
  <c r="D16" i="15"/>
  <c r="G16" i="15" s="1"/>
  <c r="C23" i="6"/>
  <c r="D9" i="15"/>
  <c r="G9" i="15" s="1"/>
  <c r="H21" i="6"/>
  <c r="J21" i="6" s="1"/>
  <c r="B10" i="4"/>
  <c r="G4" i="20"/>
  <c r="G5" i="20"/>
  <c r="G3" i="20"/>
  <c r="D26" i="15"/>
  <c r="G26" i="15" s="1"/>
  <c r="C6" i="6"/>
  <c r="H43" i="15"/>
  <c r="E44" i="15" l="1"/>
  <c r="E16" i="15"/>
  <c r="I16" i="15"/>
  <c r="E6" i="15"/>
  <c r="I6" i="15"/>
  <c r="I4" i="15"/>
  <c r="E4" i="15"/>
  <c r="E20" i="15"/>
  <c r="I20" i="15"/>
  <c r="E14" i="15"/>
  <c r="I14" i="15"/>
  <c r="E9" i="15"/>
  <c r="I9" i="15"/>
  <c r="E21" i="15"/>
  <c r="I21" i="15"/>
  <c r="E5" i="15"/>
  <c r="I5" i="15"/>
  <c r="I12" i="15"/>
  <c r="E12" i="15"/>
  <c r="E7" i="15"/>
  <c r="I7" i="15"/>
  <c r="E11" i="15"/>
  <c r="I11" i="15"/>
  <c r="E17" i="15"/>
  <c r="I17" i="15"/>
  <c r="E26" i="15"/>
  <c r="I26" i="15"/>
  <c r="H41" i="15"/>
  <c r="H40" i="15"/>
  <c r="H39" i="15"/>
  <c r="H38" i="15"/>
  <c r="H37" i="15"/>
  <c r="H36" i="15"/>
  <c r="H35" i="15"/>
  <c r="H34" i="15"/>
  <c r="H33" i="15"/>
  <c r="H32" i="15"/>
  <c r="H31" i="15"/>
  <c r="H30" i="15"/>
  <c r="H29" i="15"/>
  <c r="H28" i="15"/>
  <c r="H27" i="15"/>
  <c r="H25" i="15"/>
  <c r="H24" i="15"/>
  <c r="D25" i="15" l="1"/>
  <c r="G25" i="15" s="1"/>
  <c r="E25" i="15" l="1"/>
  <c r="B44" i="15"/>
  <c r="I25" i="15" l="1"/>
  <c r="D31" i="15" l="1"/>
  <c r="G31" i="15" s="1"/>
  <c r="E31" i="15" l="1"/>
  <c r="D37" i="15"/>
  <c r="G37" i="15" s="1"/>
  <c r="D24" i="15"/>
  <c r="G24" i="15" s="1"/>
  <c r="D39" i="15"/>
  <c r="G39" i="15" s="1"/>
  <c r="D36" i="15"/>
  <c r="G36" i="15" s="1"/>
  <c r="C35" i="19"/>
  <c r="D41" i="15"/>
  <c r="G41" i="15" s="1"/>
  <c r="D38" i="15"/>
  <c r="G38" i="15" s="1"/>
  <c r="D40" i="15"/>
  <c r="G40" i="15" s="1"/>
  <c r="D33" i="15"/>
  <c r="G33" i="15" s="1"/>
  <c r="D42" i="15"/>
  <c r="G42" i="15" s="1"/>
  <c r="D29" i="15"/>
  <c r="G29" i="15" s="1"/>
  <c r="D35" i="15"/>
  <c r="G35" i="15" s="1"/>
  <c r="D43" i="15"/>
  <c r="G43" i="15" s="1"/>
  <c r="D34" i="15"/>
  <c r="G34" i="15" s="1"/>
  <c r="D32" i="15"/>
  <c r="G32" i="15" s="1"/>
  <c r="D30" i="15"/>
  <c r="G30" i="15" s="1"/>
  <c r="D28" i="15"/>
  <c r="G28" i="15" s="1"/>
  <c r="D27" i="15"/>
  <c r="G27" i="15" s="1"/>
  <c r="D23" i="15"/>
  <c r="G23" i="15" s="1"/>
  <c r="I31" i="15" l="1"/>
  <c r="E27" i="15"/>
  <c r="E30" i="15"/>
  <c r="E34" i="15"/>
  <c r="E35" i="15"/>
  <c r="E42" i="15"/>
  <c r="E40" i="15"/>
  <c r="E41" i="15"/>
  <c r="E36" i="15"/>
  <c r="E24" i="15"/>
  <c r="E37" i="15"/>
  <c r="E23" i="15"/>
  <c r="E28" i="15"/>
  <c r="E32" i="15"/>
  <c r="E43" i="15"/>
  <c r="E29" i="15"/>
  <c r="E33" i="15"/>
  <c r="E38" i="15"/>
  <c r="E39" i="15"/>
  <c r="I37" i="15" l="1"/>
  <c r="I24" i="15"/>
  <c r="I36" i="15"/>
  <c r="I40" i="15"/>
  <c r="I42" i="15"/>
  <c r="I35" i="15"/>
  <c r="I34" i="15"/>
  <c r="I30" i="15"/>
  <c r="I27" i="15"/>
  <c r="I41" i="15"/>
  <c r="I39" i="15"/>
  <c r="I38" i="15"/>
  <c r="I33" i="15"/>
  <c r="I29" i="15"/>
  <c r="I43" i="15"/>
  <c r="I32" i="15"/>
  <c r="I28" i="15"/>
  <c r="I23"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B11" authorId="0" shapeId="0" xr:uid="{00000000-0006-0000-0000-000001000000}">
      <text>
        <r>
          <rPr>
            <i/>
            <sz val="12"/>
            <color indexed="81"/>
            <rFont val="Times New Roman"/>
            <family val="1"/>
          </rPr>
          <t>bull’s strength +4</t>
        </r>
      </text>
    </comment>
    <comment ref="E13" authorId="0" shapeId="0" xr:uid="{00000000-0006-0000-0000-000002000000}">
      <text>
        <r>
          <rPr>
            <sz val="12"/>
            <color indexed="81"/>
            <rFont val="Times New Roman"/>
            <family val="1"/>
          </rPr>
          <t>[(4 * 8 Succubus) * 75%]
+ [(3 * 6 Rogue) * 75%]
+ [(3 * 6 Warlock) * 75%]
+ (12 * 1 Con)</t>
        </r>
      </text>
    </comment>
    <comment ref="E14" authorId="0" shapeId="0" xr:uid="{00000000-0006-0000-0000-000003000000}">
      <text>
        <r>
          <rPr>
            <sz val="12"/>
            <color indexed="81"/>
            <rFont val="Times New Roman"/>
            <family val="1"/>
          </rPr>
          <t xml:space="preserve">+1 natural armor
+1 size bonus
+2 </t>
        </r>
        <r>
          <rPr>
            <i/>
            <sz val="12"/>
            <color indexed="81"/>
            <rFont val="Times New Roman"/>
            <family val="1"/>
          </rPr>
          <t>shield of faith</t>
        </r>
      </text>
    </comment>
    <comment ref="B15" authorId="0" shapeId="0" xr:uid="{00000000-0006-0000-0000-000004000000}">
      <text>
        <r>
          <rPr>
            <i/>
            <sz val="12"/>
            <color indexed="81"/>
            <rFont val="Times New Roman"/>
            <family val="1"/>
          </rPr>
          <t>owl’s wisdom +4</t>
        </r>
      </text>
    </comment>
    <comment ref="B16" authorId="0" shapeId="0" xr:uid="{00000000-0006-0000-0000-000005000000}">
      <text>
        <r>
          <rPr>
            <i/>
            <sz val="12"/>
            <color indexed="81"/>
            <rFont val="Times New Roman"/>
            <family val="1"/>
          </rPr>
          <t>eagle’s splendor +4</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F7" authorId="0" shapeId="0" xr:uid="{00000000-0006-0000-0100-000001000000}">
      <text>
        <r>
          <rPr>
            <sz val="12"/>
            <color indexed="81"/>
            <rFont val="Times New Roman"/>
            <family val="1"/>
          </rPr>
          <t>Tumble synergy +2
Leaps &amp; Bounds +6</t>
        </r>
      </text>
    </comment>
    <comment ref="F8" authorId="0" shapeId="0" xr:uid="{00000000-0006-0000-0100-000002000000}">
      <text>
        <r>
          <rPr>
            <sz val="12"/>
            <color indexed="81"/>
            <rFont val="Times New Roman"/>
            <family val="1"/>
          </rPr>
          <t>Succubus +4
Charlatan +2</t>
        </r>
      </text>
    </comment>
    <comment ref="F9" authorId="0" shapeId="0" xr:uid="{00000000-0006-0000-0100-000003000000}">
      <text>
        <r>
          <rPr>
            <sz val="12"/>
            <color indexed="81"/>
            <rFont val="Times New Roman"/>
            <family val="1"/>
          </rPr>
          <t>Halfing +2
Climber’s Kit +2</t>
        </r>
      </text>
    </comment>
    <comment ref="F13" authorId="0" shapeId="0" xr:uid="{00000000-0006-0000-0100-000004000000}">
      <text>
        <r>
          <rPr>
            <sz val="12"/>
            <color indexed="81"/>
            <rFont val="Times New Roman"/>
            <family val="1"/>
          </rPr>
          <t>Alluring +2</t>
        </r>
      </text>
    </comment>
    <comment ref="F14" authorId="0" shapeId="0" xr:uid="{00000000-0006-0000-0100-000005000000}">
      <text>
        <r>
          <rPr>
            <sz val="12"/>
            <color indexed="81"/>
            <rFont val="Times New Roman"/>
            <family val="1"/>
          </rPr>
          <t>MW lockpick</t>
        </r>
      </text>
    </comment>
    <comment ref="F15" authorId="0" shapeId="0" xr:uid="{00000000-0006-0000-0100-000006000000}">
      <text>
        <r>
          <rPr>
            <sz val="12"/>
            <color indexed="81"/>
            <rFont val="Times New Roman"/>
            <family val="1"/>
          </rPr>
          <t>Charlatan +2</t>
        </r>
      </text>
    </comment>
    <comment ref="F18" authorId="0" shapeId="0" xr:uid="{00000000-0006-0000-0100-000007000000}">
      <text>
        <r>
          <rPr>
            <sz val="12"/>
            <color indexed="81"/>
            <rFont val="Times New Roman"/>
            <family val="1"/>
          </rPr>
          <t>K: Local synergy +2</t>
        </r>
      </text>
    </comment>
    <comment ref="F21" authorId="0" shapeId="0" xr:uid="{00000000-0006-0000-0100-000008000000}">
      <text>
        <r>
          <rPr>
            <sz val="12"/>
            <color indexed="81"/>
            <rFont val="Times New Roman"/>
            <family val="1"/>
          </rPr>
          <t>Halfling (Small) +4</t>
        </r>
      </text>
    </comment>
    <comment ref="F23" authorId="0" shapeId="0" xr:uid="{00000000-0006-0000-0100-000009000000}">
      <text>
        <r>
          <rPr>
            <sz val="12"/>
            <color indexed="81"/>
            <rFont val="Times New Roman"/>
            <family val="1"/>
          </rPr>
          <t>Halfling +2
Tumble synergy +2
Leaps &amp; Bounds +6</t>
        </r>
      </text>
    </comment>
    <comment ref="F27" authorId="0" shapeId="0" xr:uid="{00000000-0006-0000-0100-00000A000000}">
      <text>
        <r>
          <rPr>
            <sz val="12"/>
            <color indexed="81"/>
            <rFont val="Times New Roman"/>
            <family val="1"/>
          </rPr>
          <t>Halfling +2
Succubus +8</t>
        </r>
      </text>
    </comment>
    <comment ref="F28" authorId="0" shapeId="0" xr:uid="{00000000-0006-0000-0100-00000B000000}">
      <text>
        <r>
          <rPr>
            <sz val="12"/>
            <color indexed="81"/>
            <rFont val="Times New Roman"/>
            <family val="1"/>
          </rPr>
          <t>Halfling +2</t>
        </r>
      </text>
    </comment>
    <comment ref="F29" authorId="0" shapeId="0" xr:uid="{00000000-0006-0000-0100-00000C000000}">
      <text>
        <r>
          <rPr>
            <sz val="12"/>
            <color indexed="81"/>
            <rFont val="Times New Roman"/>
            <family val="1"/>
          </rPr>
          <t>MW lockpick</t>
        </r>
      </text>
    </comment>
    <comment ref="F38" authorId="0" shapeId="0" xr:uid="{00000000-0006-0000-0100-00000D000000}">
      <text>
        <r>
          <rPr>
            <sz val="12"/>
            <color indexed="81"/>
            <rFont val="Times New Roman"/>
            <family val="1"/>
          </rPr>
          <t>Succubus +8</t>
        </r>
      </text>
    </comment>
    <comment ref="F41" authorId="0" shapeId="0" xr:uid="{00000000-0006-0000-0100-00000E000000}">
      <text>
        <r>
          <rPr>
            <sz val="12"/>
            <color indexed="81"/>
            <rFont val="Times New Roman"/>
            <family val="1"/>
          </rPr>
          <t>Leaps &amp; Bounds +6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2" authorId="0" shapeId="0" xr:uid="{00000000-0006-0000-0300-000001000000}">
      <text>
        <r>
          <rPr>
            <sz val="12"/>
            <color indexed="81"/>
            <rFont val="Times New Roman"/>
            <family val="1"/>
          </rPr>
          <t xml:space="preserve">You possess a magical understanding of the manipulation of force.
</t>
        </r>
        <r>
          <rPr>
            <b/>
            <sz val="12"/>
            <color indexed="81"/>
            <rFont val="Times New Roman"/>
            <family val="1"/>
          </rPr>
          <t xml:space="preserve">Benefit:  </t>
        </r>
        <r>
          <rPr>
            <sz val="12"/>
            <color indexed="81"/>
            <rFont val="Times New Roman"/>
            <family val="1"/>
          </rPr>
          <t>An innate talent for magic grants you the following spell-like abilities as a 1st-level caster: 1/day—mage hand, open/close, Tenser’s floating disk.
Save DC 10 + spell level + your Cha modifier.
Feat Bible 56</t>
        </r>
      </text>
    </comment>
    <comment ref="C2" authorId="0" shapeId="0" xr:uid="{00000000-0006-0000-0300-000002000000}">
      <text>
        <r>
          <rPr>
            <sz val="12"/>
            <color indexed="81"/>
            <rFont val="Times New Roman"/>
            <family val="1"/>
          </rPr>
          <t>At 2nd level and higher, a rogue can avoid even magical and unusual attacks with great agility. If she makes a successful Reflex saving throw against an attack that normally deals half damage on a successful save (such as a red dragon’s fiery breath or a fireball), she instead takes no damage. Evasion can be used only if the rogue is wearing light armor or no armor. A helpless rogue (such as one who is unconscious or paralysed) does not gain the benefit of evasion.
PHB 50</t>
        </r>
      </text>
    </comment>
    <comment ref="A3" authorId="0" shapeId="0" xr:uid="{00000000-0006-0000-0300-000003000000}">
      <text>
        <r>
          <rPr>
            <sz val="12"/>
            <color indexed="81"/>
            <rFont val="Times New Roman"/>
            <family val="1"/>
          </rPr>
          <t xml:space="preserve">You are especially skilled at using weapons that can benefit as much from Dexterity as from Strength.
</t>
        </r>
        <r>
          <rPr>
            <b/>
            <sz val="12"/>
            <color indexed="81"/>
            <rFont val="Times New Roman"/>
            <family val="1"/>
          </rPr>
          <t xml:space="preserve">Prerequisite:  </t>
        </r>
        <r>
          <rPr>
            <sz val="12"/>
            <color indexed="81"/>
            <rFont val="Times New Roman"/>
            <family val="1"/>
          </rPr>
          <t xml:space="preserve">Base attack bonus +1.
</t>
        </r>
        <r>
          <rPr>
            <b/>
            <sz val="12"/>
            <color indexed="81"/>
            <rFont val="Times New Roman"/>
            <family val="1"/>
          </rPr>
          <t xml:space="preserve">Benefit:  </t>
        </r>
        <r>
          <rPr>
            <sz val="12"/>
            <color indexed="81"/>
            <rFont val="Times New Roman"/>
            <family val="1"/>
          </rPr>
          <t xml:space="preserve">With a light weapon, rapier, whip, or spiked chain made for a creature of your size category, you may use your Dexterity modifier instead of your Strength modifier on attack rolls.  If you carry a shield, its armor check penalty applies to your attack rolls.
</t>
        </r>
        <r>
          <rPr>
            <b/>
            <sz val="12"/>
            <color indexed="81"/>
            <rFont val="Times New Roman"/>
            <family val="1"/>
          </rPr>
          <t xml:space="preserve">Special:  </t>
        </r>
        <r>
          <rPr>
            <sz val="12"/>
            <color indexed="81"/>
            <rFont val="Times New Roman"/>
            <family val="1"/>
          </rPr>
          <t>A fighter may select Weapon Finesse as one of his fighter bonus feats (see page 38).
Natural weapons are always considered light weapons.
PHB 102</t>
        </r>
      </text>
    </comment>
    <comment ref="C3" authorId="0" shapeId="0" xr:uid="{00000000-0006-0000-0300-000004000000}">
      <text>
        <r>
          <rPr>
            <sz val="12"/>
            <color indexed="81"/>
            <rFont val="Times New Roman"/>
            <family val="1"/>
          </rPr>
          <t>If a rogue can catch an opponent when he is unable to defend himself effectively from her attack, she can strike a vital spot for extra damage.  Basically, the rogue’s attack deals extra damage any time her target would be denied a Dexterity bonus to AC (whether the target actually has a Dexterity bonus or not), or when the rogue flanks her target.  This extra damage is 1d6 at 1st level, and it increases by 1d6 every two rogue levels thereafter.  Should the rogue score a critical hit with a sneak attack, this extra damage is not multiplied.  (See Table 8–5:  Attack Roll Modifiers and Table 8–6:  Armor Class Modifiers, page 151, for combat situations in which the rogue flanks an opponent or the opponent loses his Dexterity bonus to AC.)
Ranged attacks can count as sneak attacks only if the target is within 30 feet.  A rogue can’t strike with deadly accuracy from beyond that range.
With a sap (blackjack) or an unarmed strike, a rogue can make a sneak attack that deals nonlethal damage instead of lethal damage. She cannot use a weapon that deals lethal damage to deal nonlethal damage in a sneak attack, not even with the usual –4 penalty, because she must make optimal use of her weapon in order to execute a sneak attack.  (See Nonlethal Damage, page 146.)
A rogue can sneak attack only living creatures with discernible anatomies—undead, constructs, oozes, plants, and incorporeal creatures lack vital areas to attack.  Any creature that is immune to critical hits is not vulnerable to sneak attacks.  The rogue must be able to see the target well enough to pick out a vital spot and must be able to reach such a spot.  A rogue cannot sneak attack while striking a creature with concealment (see page 152) or striking the limbs of a creature whose vitals are beyond reach.   
PHB 50</t>
        </r>
      </text>
    </comment>
    <comment ref="A4" authorId="0" shapeId="0" xr:uid="{00000000-0006-0000-0300-000005000000}">
      <text>
        <r>
          <rPr>
            <sz val="12"/>
            <color indexed="81"/>
            <rFont val="Times New Roman"/>
            <family val="1"/>
          </rPr>
          <t xml:space="preserve">Choose one type of weapon, such as greataxe.  You can also choose unarmed strike or grapple (or ray, if you are a spellcaster) as your weapon for purposes of this feat.  You are especially good at using this weapon. (If you have chosen ray, you are especially good with rays, such as the one produced by the ray of frost spell.)
</t>
        </r>
        <r>
          <rPr>
            <b/>
            <sz val="12"/>
            <color indexed="81"/>
            <rFont val="Times New Roman"/>
            <family val="1"/>
          </rPr>
          <t xml:space="preserve">Prerequisites:  </t>
        </r>
        <r>
          <rPr>
            <sz val="12"/>
            <color indexed="81"/>
            <rFont val="Times New Roman"/>
            <family val="1"/>
          </rPr>
          <t xml:space="preserve">Proficiency with selected weapon, base attack bonus +1.
</t>
        </r>
        <r>
          <rPr>
            <b/>
            <sz val="12"/>
            <color indexed="81"/>
            <rFont val="Times New Roman"/>
            <family val="1"/>
          </rPr>
          <t xml:space="preserve">Benefit:  </t>
        </r>
        <r>
          <rPr>
            <sz val="12"/>
            <color indexed="81"/>
            <rFont val="Times New Roman"/>
            <family val="1"/>
          </rPr>
          <t xml:space="preserve">You gain a +1 bonus on all attack rolls you make using the selected weapon.
</t>
        </r>
        <r>
          <rPr>
            <b/>
            <sz val="12"/>
            <color indexed="81"/>
            <rFont val="Times New Roman"/>
            <family val="1"/>
          </rPr>
          <t xml:space="preserve">Special:  </t>
        </r>
        <r>
          <rPr>
            <sz val="12"/>
            <color indexed="81"/>
            <rFont val="Times New Roman"/>
            <family val="1"/>
          </rPr>
          <t>You can gain this feat multiple times. Its effects do not stack. Each time you take the feat, it applies to a new type of weapon.
A fighter may select Weapon Focus as one of his fighter bonus feats (see page 38). He must have Weapon Focus with a weapon to gain the Weapon Specialization feat for that weapon.
PHB 102</t>
        </r>
      </text>
    </comment>
    <comment ref="C4" authorId="0" shapeId="0" xr:uid="{00000000-0006-0000-0300-000006000000}">
      <text>
        <r>
          <rPr>
            <sz val="12"/>
            <color indexed="81"/>
            <rFont val="Times New Roman"/>
            <family val="1"/>
          </rPr>
          <t>Beginning at 2nd level, a warlock can use detect magic as the spell at will. His caster level equals his class level.
Complete Arcane 8</t>
        </r>
      </text>
    </comment>
    <comment ref="A5" authorId="0" shapeId="0" xr:uid="{00000000-0006-0000-0300-000007000000}">
      <text>
        <r>
          <rPr>
            <sz val="12"/>
            <color indexed="81"/>
            <rFont val="Times New Roman"/>
            <family val="1"/>
          </rPr>
          <t xml:space="preserve">You are skilled at making well-placed shots with ranged weapons at close range.
</t>
        </r>
        <r>
          <rPr>
            <b/>
            <sz val="12"/>
            <color indexed="81"/>
            <rFont val="Times New Roman"/>
            <family val="1"/>
          </rPr>
          <t xml:space="preserve">Benefit:  </t>
        </r>
        <r>
          <rPr>
            <sz val="12"/>
            <color indexed="81"/>
            <rFont val="Times New Roman"/>
            <family val="1"/>
          </rPr>
          <t xml:space="preserve">You get a +1 bonus on attack and damage rolls with ranged weapons at ranges of up to 30 feet.
</t>
        </r>
        <r>
          <rPr>
            <b/>
            <sz val="12"/>
            <color indexed="81"/>
            <rFont val="Times New Roman"/>
            <family val="1"/>
          </rPr>
          <t xml:space="preserve">Special:  </t>
        </r>
        <r>
          <rPr>
            <sz val="12"/>
            <color indexed="81"/>
            <rFont val="Times New Roman"/>
            <family val="1"/>
          </rPr>
          <t>A fighter may select Point Blank Shot as one of his fighter bonus feats (see page 38).
PHB 98</t>
        </r>
      </text>
    </comment>
    <comment ref="A6" authorId="0" shapeId="0" xr:uid="{00000000-0006-0000-0300-000008000000}">
      <text>
        <r>
          <rPr>
            <sz val="12"/>
            <color indexed="81"/>
            <rFont val="Times New Roman"/>
            <family val="1"/>
          </rPr>
          <t>+2 to Diplomacy and DCs to mind-affecting language-dependent spells.
Song and Silence 38</t>
        </r>
      </text>
    </comment>
    <comment ref="C6" authorId="0" shapeId="0" xr:uid="{00000000-0006-0000-0300-000009000000}">
      <text>
        <r>
          <rPr>
            <sz val="12"/>
            <color indexed="81"/>
            <rFont val="Times New Roman"/>
            <family val="1"/>
          </rPr>
          <t>Rogues (and only rogues) can use the Search skill to locate traps when the task has a Difficulty Class higher than 20.
Finding a nonmagical trap has a DC of at least 20, or higher if it is well hidden.  Finding a magic trap has a DC of 25 + the level of the spell used to create it.
Rogues (and only rogues) can use the Disable Device skill to disarm magic traps. A magic trap generally has a DC of 25 + the level of the spell used to create it.  A rogue who beats a trap’s DC by 10 or more with a Disable Device check can study a trap, figure out how it works, and bypass it (with her party) without disarming it.
PHB 50</t>
        </r>
      </text>
    </comment>
    <comment ref="A7" authorId="0" shapeId="0" xr:uid="{00000000-0006-0000-0300-00000A000000}">
      <text>
        <r>
          <rPr>
            <sz val="12"/>
            <color indexed="81"/>
            <rFont val="Times New Roman"/>
            <family val="1"/>
          </rPr>
          <t>+2 to Bluff and Disguise.
Song and Silence 38</t>
        </r>
      </text>
    </comment>
    <comment ref="A8" authorId="0" shapeId="0" xr:uid="{00000000-0006-0000-0300-00000B000000}">
      <text>
        <r>
          <rPr>
            <sz val="12"/>
            <color indexed="81"/>
            <rFont val="Times New Roman"/>
            <family val="1"/>
          </rPr>
          <t>+2 to Hide and Spot when following a specific target.
Song and Silence 40</t>
        </r>
      </text>
    </comment>
    <comment ref="A12" authorId="0" shapeId="0" xr:uid="{00000000-0006-0000-0300-00000C000000}">
      <text>
        <r>
          <rPr>
            <sz val="12"/>
            <color indexed="81"/>
            <rFont val="Times New Roman"/>
            <family val="1"/>
          </rPr>
          <t>Hand crossbow, rapier, sap, shortbow, and short sword.
PHB 50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3" authorId="0" shapeId="0" xr:uid="{00000000-0006-0000-0400-000001000000}">
      <text>
        <r>
          <rPr>
            <b/>
            <sz val="12"/>
            <color indexed="81"/>
            <rFont val="Times New Roman"/>
            <family val="1"/>
          </rPr>
          <t xml:space="preserve">Price:  </t>
        </r>
        <r>
          <rPr>
            <sz val="12"/>
            <color indexed="81"/>
            <rFont val="Times New Roman"/>
            <family val="1"/>
          </rPr>
          <t xml:space="preserve">+1 bonus
</t>
        </r>
        <r>
          <rPr>
            <b/>
            <sz val="12"/>
            <color indexed="81"/>
            <rFont val="Times New Roman"/>
            <family val="1"/>
          </rPr>
          <t xml:space="preserve">Property:  </t>
        </r>
        <r>
          <rPr>
            <sz val="12"/>
            <color indexed="81"/>
            <rFont val="Times New Roman"/>
            <family val="1"/>
          </rPr>
          <t xml:space="preserve">Melee weapon
</t>
        </r>
        <r>
          <rPr>
            <b/>
            <sz val="12"/>
            <color indexed="81"/>
            <rFont val="Times New Roman"/>
            <family val="1"/>
          </rPr>
          <t xml:space="preserve">Caster Level:  </t>
        </r>
        <r>
          <rPr>
            <sz val="12"/>
            <color indexed="81"/>
            <rFont val="Times New Roman"/>
            <family val="1"/>
          </rPr>
          <t xml:space="preserve">7th
</t>
        </r>
        <r>
          <rPr>
            <b/>
            <sz val="12"/>
            <color indexed="81"/>
            <rFont val="Times New Roman"/>
            <family val="1"/>
          </rPr>
          <t xml:space="preserve">Aura:  </t>
        </r>
        <r>
          <rPr>
            <sz val="12"/>
            <color indexed="81"/>
            <rFont val="Times New Roman"/>
            <family val="1"/>
          </rPr>
          <t xml:space="preserve">Moderate; (DC 18) necromancy
</t>
        </r>
        <r>
          <rPr>
            <b/>
            <sz val="12"/>
            <color indexed="81"/>
            <rFont val="Times New Roman"/>
            <family val="1"/>
          </rPr>
          <t xml:space="preserve">Activation:  </t>
        </r>
        <r>
          <rPr>
            <sz val="12"/>
            <color indexed="81"/>
            <rFont val="Times New Roman"/>
            <family val="1"/>
          </rPr>
          <t>— and free (command)
This weapon has a blood-red tint.
Every time a bloodfeeding weapon deals damage to a living creature, it gains 1 “blood point,” which it can store for up to 1 hour.  The weapon can store a maximum of 10 blood points.  This effect is continuous and requires no activation.
When you deal damage to a creature while wielding a bloodfeeding weapon, you can activate the weapon to spend up to 5 stored blood points.  Each blood point you spend in this way deals an extra 2 points of damage to that creature.  The weapon doesn’t gain any blood points from a strike on which you use this ability.
Magic Item Compendium 29</t>
        </r>
      </text>
    </comment>
    <comment ref="A9" authorId="0" shapeId="0" xr:uid="{00000000-0006-0000-0400-000002000000}">
      <text>
        <r>
          <rPr>
            <b/>
            <sz val="12"/>
            <color indexed="81"/>
            <rFont val="Times New Roman"/>
            <family val="1"/>
          </rPr>
          <t xml:space="preserve">Price (Item Level):  </t>
        </r>
        <r>
          <rPr>
            <sz val="12"/>
            <color indexed="81"/>
            <rFont val="Times New Roman"/>
            <family val="1"/>
          </rPr>
          <t xml:space="preserve">1,000 gp (4th) (least); 5,000 gp (9th) (lesser); 10,000 gp (12th) (greater)
</t>
        </r>
        <r>
          <rPr>
            <b/>
            <sz val="12"/>
            <color indexed="81"/>
            <rFont val="Times New Roman"/>
            <family val="1"/>
          </rPr>
          <t xml:space="preserve">Body Slot:  </t>
        </r>
        <r>
          <rPr>
            <sz val="12"/>
            <color indexed="81"/>
            <rFont val="Times New Roman"/>
            <family val="1"/>
          </rPr>
          <t xml:space="preserve">— (weapon crystal)
</t>
        </r>
        <r>
          <rPr>
            <b/>
            <sz val="12"/>
            <color indexed="81"/>
            <rFont val="Times New Roman"/>
            <family val="1"/>
          </rPr>
          <t xml:space="preserve">Caster Level: </t>
        </r>
        <r>
          <rPr>
            <sz val="12"/>
            <color indexed="81"/>
            <rFont val="Times New Roman"/>
            <family val="1"/>
          </rPr>
          <t xml:space="preserve"> 5th
</t>
        </r>
        <r>
          <rPr>
            <b/>
            <sz val="12"/>
            <color indexed="81"/>
            <rFont val="Times New Roman"/>
            <family val="1"/>
          </rPr>
          <t xml:space="preserve">Aura:  </t>
        </r>
        <r>
          <rPr>
            <sz val="12"/>
            <color indexed="81"/>
            <rFont val="Times New Roman"/>
            <family val="1"/>
          </rPr>
          <t xml:space="preserve">Faint; (DC 17) evocation
</t>
        </r>
        <r>
          <rPr>
            <b/>
            <sz val="12"/>
            <color indexed="81"/>
            <rFont val="Times New Roman"/>
            <family val="1"/>
          </rPr>
          <t xml:space="preserve">Activation:  </t>
        </r>
        <r>
          <rPr>
            <sz val="12"/>
            <color indexed="81"/>
            <rFont val="Times New Roman"/>
            <family val="1"/>
          </rPr>
          <t xml:space="preserve">—
</t>
        </r>
        <r>
          <rPr>
            <b/>
            <sz val="12"/>
            <color indexed="81"/>
            <rFont val="Times New Roman"/>
            <family val="1"/>
          </rPr>
          <t xml:space="preserve">Weight:  </t>
        </r>
        <r>
          <rPr>
            <sz val="12"/>
            <color indexed="81"/>
            <rFont val="Times New Roman"/>
            <family val="1"/>
          </rPr>
          <t xml:space="preserve">—
This amethyst is carved in the shape of a humanoid skull.
Clerics craft truedeath crystals to aid themselves and others in sending undead to their final rest.
</t>
        </r>
        <r>
          <rPr>
            <b/>
            <sz val="12"/>
            <color indexed="81"/>
            <rFont val="Times New Roman"/>
            <family val="1"/>
          </rPr>
          <t xml:space="preserve">Least:  </t>
        </r>
        <r>
          <rPr>
            <sz val="12"/>
            <color indexed="81"/>
            <rFont val="Times New Roman"/>
            <family val="1"/>
          </rPr>
          <t xml:space="preserve">A weapon with this crystal attached deals an extra 1d6 points of damage to undead.
</t>
        </r>
        <r>
          <rPr>
            <b/>
            <sz val="12"/>
            <color indexed="81"/>
            <rFont val="Times New Roman"/>
            <family val="1"/>
          </rPr>
          <t xml:space="preserve">Lesser:  </t>
        </r>
        <r>
          <rPr>
            <sz val="12"/>
            <color indexed="81"/>
            <rFont val="Times New Roman"/>
            <family val="1"/>
          </rPr>
          <t xml:space="preserve">As the least crystal, and the weapon also functions as a ghost touch weapon (DMG 224).
</t>
        </r>
        <r>
          <rPr>
            <b/>
            <sz val="12"/>
            <color indexed="81"/>
            <rFont val="Times New Roman"/>
            <family val="1"/>
          </rPr>
          <t xml:space="preserve">Greater:  </t>
        </r>
        <r>
          <rPr>
            <sz val="12"/>
            <color indexed="81"/>
            <rFont val="Times New Roman"/>
            <family val="1"/>
          </rPr>
          <t xml:space="preserve">As the lesser crystal, and the weapon can deliver sneak attacks and critical hits against undead as if they were living creatures.
</t>
        </r>
        <r>
          <rPr>
            <b/>
            <sz val="12"/>
            <color indexed="81"/>
            <rFont val="Times New Roman"/>
            <family val="1"/>
          </rPr>
          <t xml:space="preserve">Prerequisites:  </t>
        </r>
        <r>
          <rPr>
            <sz val="12"/>
            <color indexed="81"/>
            <rFont val="Times New Roman"/>
            <family val="1"/>
          </rPr>
          <t xml:space="preserve">Craft Magic Arms and Armor, consecrate.
</t>
        </r>
        <r>
          <rPr>
            <b/>
            <sz val="12"/>
            <color indexed="81"/>
            <rFont val="Times New Roman"/>
            <family val="1"/>
          </rPr>
          <t xml:space="preserve">Cost to Create:  </t>
        </r>
        <r>
          <rPr>
            <sz val="12"/>
            <color indexed="81"/>
            <rFont val="Times New Roman"/>
            <family val="1"/>
          </rPr>
          <t>500 gp, 40 XP, 1 day (least); 2,500 gp, 200 XP, 5 days (lesser);
5,000 gp, 400 XP, 10 days (greater)
MIC 66</t>
        </r>
      </text>
    </comment>
    <comment ref="D18" authorId="0" shapeId="0" xr:uid="{00000000-0006-0000-0400-000003000000}">
      <text>
        <r>
          <rPr>
            <i/>
            <sz val="12"/>
            <color indexed="81"/>
            <rFont val="Times New Roman"/>
            <family val="1"/>
          </rPr>
          <t>Weapon Focus + 1
Profane Bonus +1</t>
        </r>
      </text>
    </comment>
    <comment ref="D19" authorId="0" shapeId="0" xr:uid="{00000000-0006-0000-0400-000004000000}">
      <text>
        <r>
          <rPr>
            <i/>
            <sz val="12"/>
            <color indexed="81"/>
            <rFont val="Times New Roman"/>
            <family val="1"/>
          </rPr>
          <t>Weapon Focus +1</t>
        </r>
      </text>
    </comment>
    <comment ref="D20" authorId="0" shapeId="0" xr:uid="{00000000-0006-0000-0400-000005000000}">
      <text>
        <r>
          <rPr>
            <i/>
            <sz val="12"/>
            <color indexed="81"/>
            <rFont val="Times New Roman"/>
            <family val="1"/>
          </rPr>
          <t>Weapon Focus +1</t>
        </r>
      </text>
    </comment>
    <comment ref="D25" authorId="0" shapeId="0" xr:uid="{00000000-0006-0000-0400-000006000000}">
      <text>
        <r>
          <rPr>
            <sz val="12"/>
            <color indexed="81"/>
            <rFont val="Times New Roman"/>
            <family val="1"/>
          </rPr>
          <t>Balance, Climb, Escape Artist, Hide, Jump, Move Silently, Sleight of Hand, Tumble.</t>
        </r>
      </text>
    </comment>
    <comment ref="K26" authorId="0" shapeId="0" xr:uid="{00000000-0006-0000-0400-000007000000}">
      <text>
        <r>
          <rPr>
            <b/>
            <sz val="12"/>
            <color indexed="81"/>
            <rFont val="Times New Roman"/>
            <family val="1"/>
          </rPr>
          <t xml:space="preserve">Price (Item Level):  </t>
        </r>
        <r>
          <rPr>
            <sz val="12"/>
            <color indexed="81"/>
            <rFont val="Times New Roman"/>
            <family val="1"/>
          </rPr>
          <t xml:space="preserve">250 gp (2nd) (least), 1,000 gp (4th) (lesser), or 3,000 gp (7th) (greater)
</t>
        </r>
        <r>
          <rPr>
            <b/>
            <sz val="12"/>
            <color indexed="81"/>
            <rFont val="Times New Roman"/>
            <family val="1"/>
          </rPr>
          <t xml:space="preserve">Body Slot:  </t>
        </r>
        <r>
          <rPr>
            <sz val="12"/>
            <color indexed="81"/>
            <rFont val="Times New Roman"/>
            <family val="1"/>
          </rPr>
          <t xml:space="preserve">— (armor crystal)
</t>
        </r>
        <r>
          <rPr>
            <b/>
            <sz val="12"/>
            <color indexed="81"/>
            <rFont val="Times New Roman"/>
            <family val="1"/>
          </rPr>
          <t xml:space="preserve">Caster Level:  </t>
        </r>
        <r>
          <rPr>
            <sz val="12"/>
            <color indexed="81"/>
            <rFont val="Times New Roman"/>
            <family val="1"/>
          </rPr>
          <t xml:space="preserve">5th
</t>
        </r>
        <r>
          <rPr>
            <b/>
            <sz val="12"/>
            <color indexed="81"/>
            <rFont val="Times New Roman"/>
            <family val="1"/>
          </rPr>
          <t xml:space="preserve">Aura:  </t>
        </r>
        <r>
          <rPr>
            <sz val="12"/>
            <color indexed="81"/>
            <rFont val="Times New Roman"/>
            <family val="1"/>
          </rPr>
          <t xml:space="preserve">Faint; (DC 17) transmutation
</t>
        </r>
        <r>
          <rPr>
            <b/>
            <sz val="12"/>
            <color indexed="81"/>
            <rFont val="Times New Roman"/>
            <family val="1"/>
          </rPr>
          <t xml:space="preserve">Activation:  </t>
        </r>
        <r>
          <rPr>
            <sz val="12"/>
            <color indexed="81"/>
            <rFont val="Times New Roman"/>
            <family val="1"/>
          </rPr>
          <t xml:space="preserve">—
</t>
        </r>
        <r>
          <rPr>
            <b/>
            <sz val="12"/>
            <color indexed="81"/>
            <rFont val="Times New Roman"/>
            <family val="1"/>
          </rPr>
          <t xml:space="preserve">Weight:  </t>
        </r>
        <r>
          <rPr>
            <sz val="12"/>
            <color indexed="81"/>
            <rFont val="Times New Roman"/>
            <family val="1"/>
          </rPr>
          <t xml:space="preserve">—
This sea-green crystal always feels moist to the touch.
A crystal of aquatic action aids the wearer while underwater.
</t>
        </r>
        <r>
          <rPr>
            <b/>
            <sz val="12"/>
            <color indexed="81"/>
            <rFont val="Times New Roman"/>
            <family val="1"/>
          </rPr>
          <t xml:space="preserve">Least:  </t>
        </r>
        <r>
          <rPr>
            <sz val="12"/>
            <color indexed="81"/>
            <rFont val="Times New Roman"/>
            <family val="1"/>
          </rPr>
          <t xml:space="preserve">Any armor bearing this augment crystal does not impose an armor check penalty on your Swim checks.
</t>
        </r>
        <r>
          <rPr>
            <b/>
            <sz val="12"/>
            <color indexed="81"/>
            <rFont val="Times New Roman"/>
            <family val="1"/>
          </rPr>
          <t xml:space="preserve">Lesser:  </t>
        </r>
        <r>
          <rPr>
            <sz val="12"/>
            <color indexed="81"/>
            <rFont val="Times New Roman"/>
            <family val="1"/>
          </rPr>
          <t xml:space="preserve">As the least crystal, and you also gain a Swim speed equal to one-half your land speed (round down to the next 5-foot increment).
</t>
        </r>
        <r>
          <rPr>
            <b/>
            <sz val="12"/>
            <color indexed="81"/>
            <rFont val="Times New Roman"/>
            <family val="1"/>
          </rPr>
          <t xml:space="preserve">Greater:  </t>
        </r>
        <r>
          <rPr>
            <sz val="12"/>
            <color indexed="81"/>
            <rFont val="Times New Roman"/>
            <family val="1"/>
          </rPr>
          <t xml:space="preserve">As the lesser crystal, and you also take no penalties on attacks or movement while underwater (as if under the effect of freedom of movement) and you can breathe water as easily as air.
</t>
        </r>
        <r>
          <rPr>
            <b/>
            <sz val="12"/>
            <color indexed="81"/>
            <rFont val="Times New Roman"/>
            <family val="1"/>
          </rPr>
          <t xml:space="preserve">Prerequisites:  </t>
        </r>
        <r>
          <rPr>
            <sz val="12"/>
            <color indexed="81"/>
            <rFont val="Times New Roman"/>
            <family val="1"/>
          </rPr>
          <t xml:space="preserve">Craft Magic Arms and Armor, freedom of movement, water breathing.
</t>
        </r>
        <r>
          <rPr>
            <b/>
            <sz val="12"/>
            <color indexed="81"/>
            <rFont val="Times New Roman"/>
            <family val="1"/>
          </rPr>
          <t xml:space="preserve">Cost to Create:  </t>
        </r>
        <r>
          <rPr>
            <sz val="12"/>
            <color indexed="81"/>
            <rFont val="Times New Roman"/>
            <family val="1"/>
          </rPr>
          <t>125 gp, 10 XP, 1 day (least); 500 gp, 40 XP, 1 day (lesser); 1,500 gp, 120 XP, 3 days (greater).
MIC 77 - 78</t>
        </r>
      </text>
    </comment>
    <comment ref="A27" authorId="0" shapeId="0" xr:uid="{00000000-0006-0000-0400-000008000000}">
      <text>
        <r>
          <rPr>
            <b/>
            <sz val="12"/>
            <color indexed="81"/>
            <rFont val="Times New Roman"/>
            <family val="1"/>
          </rPr>
          <t xml:space="preserve">Price (Item Level):  </t>
        </r>
        <r>
          <rPr>
            <sz val="12"/>
            <color indexed="81"/>
            <rFont val="Times New Roman"/>
            <family val="1"/>
          </rPr>
          <t xml:space="preserve">500 gp (3rd) (least), 2,500 gp (7th) (lesser), or 5,000 gp (9th) (greater)
</t>
        </r>
        <r>
          <rPr>
            <b/>
            <sz val="12"/>
            <color indexed="81"/>
            <rFont val="Times New Roman"/>
            <family val="1"/>
          </rPr>
          <t xml:space="preserve">Body Slot:  </t>
        </r>
        <r>
          <rPr>
            <sz val="12"/>
            <color indexed="81"/>
            <rFont val="Times New Roman"/>
            <family val="1"/>
          </rPr>
          <t xml:space="preserve">— (shield crystal)
</t>
        </r>
        <r>
          <rPr>
            <b/>
            <sz val="12"/>
            <color indexed="81"/>
            <rFont val="Times New Roman"/>
            <family val="1"/>
          </rPr>
          <t>Caster Level:</t>
        </r>
        <r>
          <rPr>
            <sz val="12"/>
            <color indexed="81"/>
            <rFont val="Times New Roman"/>
            <family val="1"/>
          </rPr>
          <t xml:space="preserve">  5th
</t>
        </r>
        <r>
          <rPr>
            <b/>
            <sz val="12"/>
            <color indexed="81"/>
            <rFont val="Times New Roman"/>
            <family val="1"/>
          </rPr>
          <t xml:space="preserve">Aura:  </t>
        </r>
        <r>
          <rPr>
            <sz val="12"/>
            <color indexed="81"/>
            <rFont val="Times New Roman"/>
            <family val="1"/>
          </rPr>
          <t xml:space="preserve">Faint; (DC 17) divination
</t>
        </r>
        <r>
          <rPr>
            <b/>
            <sz val="12"/>
            <color indexed="81"/>
            <rFont val="Times New Roman"/>
            <family val="1"/>
          </rPr>
          <t xml:space="preserve">Activation:  </t>
        </r>
        <r>
          <rPr>
            <sz val="12"/>
            <color indexed="81"/>
            <rFont val="Times New Roman"/>
            <family val="1"/>
          </rPr>
          <t xml:space="preserve">—
</t>
        </r>
        <r>
          <rPr>
            <b/>
            <sz val="12"/>
            <color indexed="81"/>
            <rFont val="Times New Roman"/>
            <family val="1"/>
          </rPr>
          <t xml:space="preserve">Weight:  </t>
        </r>
        <r>
          <rPr>
            <sz val="12"/>
            <color indexed="81"/>
            <rFont val="Times New Roman"/>
            <family val="1"/>
          </rPr>
          <t xml:space="preserve">—
This blue sapphire is cut into a large cabochon.  It contains a small flint arrowhead in its center.
A crystal of arrow deflection protects you from ranged weapon attacks.
</t>
        </r>
        <r>
          <rPr>
            <b/>
            <sz val="12"/>
            <color indexed="81"/>
            <rFont val="Times New Roman"/>
            <family val="1"/>
          </rPr>
          <t xml:space="preserve">Least:  </t>
        </r>
        <r>
          <rPr>
            <sz val="12"/>
            <color indexed="81"/>
            <rFont val="Times New Roman"/>
            <family val="1"/>
          </rPr>
          <t xml:space="preserve">This augment crystal grants you a +2 bonus to AC against ranged attacks.
</t>
        </r>
        <r>
          <rPr>
            <b/>
            <sz val="12"/>
            <color indexed="81"/>
            <rFont val="Times New Roman"/>
            <family val="1"/>
          </rPr>
          <t xml:space="preserve">Lesser:  </t>
        </r>
        <r>
          <rPr>
            <sz val="12"/>
            <color indexed="81"/>
            <rFont val="Times New Roman"/>
            <family val="1"/>
          </rPr>
          <t xml:space="preserve">As the least crystal, except the bonus is +5.
</t>
        </r>
        <r>
          <rPr>
            <b/>
            <sz val="12"/>
            <color indexed="81"/>
            <rFont val="Times New Roman"/>
            <family val="1"/>
          </rPr>
          <t xml:space="preserve">Greater:  </t>
        </r>
        <r>
          <rPr>
            <sz val="12"/>
            <color indexed="81"/>
            <rFont val="Times New Roman"/>
            <family val="1"/>
          </rPr>
          <t xml:space="preserve">As the least crystal, and you can deflect one ranged attack per round as if you had the Deflect Arrows feat.
</t>
        </r>
        <r>
          <rPr>
            <b/>
            <sz val="12"/>
            <color indexed="81"/>
            <rFont val="Times New Roman"/>
            <family val="1"/>
          </rPr>
          <t xml:space="preserve">Prerequisites:  </t>
        </r>
        <r>
          <rPr>
            <sz val="12"/>
            <color indexed="81"/>
            <rFont val="Times New Roman"/>
            <family val="1"/>
          </rPr>
          <t xml:space="preserve">Craft Magic Arms and Armor, </t>
        </r>
        <r>
          <rPr>
            <i/>
            <sz val="12"/>
            <color indexed="81"/>
            <rFont val="Times New Roman"/>
            <family val="1"/>
          </rPr>
          <t>shield</t>
        </r>
        <r>
          <rPr>
            <sz val="12"/>
            <color indexed="81"/>
            <rFont val="Times New Roman"/>
            <family val="1"/>
          </rPr>
          <t xml:space="preserve">.
</t>
        </r>
        <r>
          <rPr>
            <b/>
            <sz val="12"/>
            <color indexed="81"/>
            <rFont val="Times New Roman"/>
            <family val="1"/>
          </rPr>
          <t xml:space="preserve">Cost to Create:  </t>
        </r>
        <r>
          <rPr>
            <sz val="12"/>
            <color indexed="81"/>
            <rFont val="Times New Roman"/>
            <family val="1"/>
          </rPr>
          <t>250 gp, 20 XP, 1 day (least); 1,250 gp, 100 XP, 3 days (lesser); 2,500 gp, 200 XP, 5 days (greater).
MIC 25</t>
        </r>
      </text>
    </comment>
    <comment ref="E31" authorId="0" shapeId="0" xr:uid="{00000000-0006-0000-0400-000009000000}">
      <text>
        <r>
          <rPr>
            <b/>
            <sz val="12"/>
            <color indexed="81"/>
            <rFont val="Times New Roman"/>
            <family val="1"/>
          </rPr>
          <t xml:space="preserve">Special properties:
Silver weapon </t>
        </r>
        <r>
          <rPr>
            <sz val="12"/>
            <color indexed="81"/>
            <rFont val="Times New Roman"/>
            <family val="1"/>
          </rPr>
          <t xml:space="preserve">(adds 50% to original damage against taint elementals).
</t>
        </r>
        <r>
          <rPr>
            <b/>
            <sz val="12"/>
            <color indexed="81"/>
            <rFont val="Times New Roman"/>
            <family val="1"/>
          </rPr>
          <t xml:space="preserve">Taintslayer </t>
        </r>
        <r>
          <rPr>
            <sz val="12"/>
            <color indexed="81"/>
            <rFont val="Times New Roman"/>
            <family val="1"/>
          </rPr>
          <t xml:space="preserve">(doubles damage inflicted against taint elemental or tainted creature [stacks with critical hits and silver bonus])
</t>
        </r>
        <r>
          <rPr>
            <b/>
            <sz val="12"/>
            <color indexed="81"/>
            <rFont val="Times New Roman"/>
            <family val="1"/>
          </rPr>
          <t xml:space="preserve">Mulligan </t>
        </r>
        <r>
          <rPr>
            <sz val="12"/>
            <color indexed="81"/>
            <rFont val="Times New Roman"/>
            <family val="1"/>
          </rPr>
          <t>(can be fired a 2nd time if the first shot misses; must be picked up [move action]).
Campaign item</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3" authorId="0" shapeId="0" xr:uid="{00000000-0006-0000-0500-000001000000}">
      <text>
        <r>
          <rPr>
            <b/>
            <sz val="12"/>
            <color indexed="81"/>
            <rFont val="Times New Roman"/>
            <family val="1"/>
          </rPr>
          <t xml:space="preserve">Price (Item Level):  </t>
        </r>
        <r>
          <rPr>
            <sz val="12"/>
            <color indexed="81"/>
            <rFont val="Times New Roman"/>
            <family val="1"/>
          </rPr>
          <t xml:space="preserve">500 gp (3rd)
</t>
        </r>
        <r>
          <rPr>
            <b/>
            <sz val="12"/>
            <color indexed="81"/>
            <rFont val="Times New Roman"/>
            <family val="1"/>
          </rPr>
          <t xml:space="preserve">Body Slot:  </t>
        </r>
        <r>
          <rPr>
            <sz val="12"/>
            <color indexed="81"/>
            <rFont val="Times New Roman"/>
            <family val="1"/>
          </rPr>
          <t xml:space="preserve">Feet
</t>
        </r>
        <r>
          <rPr>
            <b/>
            <sz val="12"/>
            <color indexed="81"/>
            <rFont val="Times New Roman"/>
            <family val="1"/>
          </rPr>
          <t xml:space="preserve">Caster Level:  </t>
        </r>
        <r>
          <rPr>
            <sz val="12"/>
            <color indexed="81"/>
            <rFont val="Times New Roman"/>
            <family val="1"/>
          </rPr>
          <t xml:space="preserve">3rd
</t>
        </r>
        <r>
          <rPr>
            <b/>
            <sz val="12"/>
            <color indexed="81"/>
            <rFont val="Times New Roman"/>
            <family val="1"/>
          </rPr>
          <t xml:space="preserve">Aura:  </t>
        </r>
        <r>
          <rPr>
            <sz val="12"/>
            <color indexed="81"/>
            <rFont val="Times New Roman"/>
            <family val="1"/>
          </rPr>
          <t xml:space="preserve">Faint; (DC 16) transmutation
</t>
        </r>
        <r>
          <rPr>
            <b/>
            <sz val="12"/>
            <color indexed="81"/>
            <rFont val="Times New Roman"/>
            <family val="1"/>
          </rPr>
          <t xml:space="preserve">Activation:  </t>
        </r>
        <r>
          <rPr>
            <sz val="12"/>
            <color indexed="81"/>
            <rFont val="Times New Roman"/>
            <family val="1"/>
          </rPr>
          <t xml:space="preserve">—
</t>
        </r>
        <r>
          <rPr>
            <b/>
            <sz val="12"/>
            <color indexed="81"/>
            <rFont val="Times New Roman"/>
            <family val="1"/>
          </rPr>
          <t xml:space="preserve">Weight:  </t>
        </r>
        <r>
          <rPr>
            <sz val="12"/>
            <color indexed="81"/>
            <rFont val="Times New Roman"/>
            <family val="1"/>
          </rPr>
          <t xml:space="preserve">1 lb.
These light blue leather boots have very thick soles. Walking in them is like dancing in clouds.
While wearing boots of landing, you land on your feet no matter how far you fall, and you take 2 fewer dice of damage from the fall than normal (thus, a fall of 20 feet or less deals you no damage).
</t>
        </r>
        <r>
          <rPr>
            <b/>
            <sz val="12"/>
            <color indexed="81"/>
            <rFont val="Times New Roman"/>
            <family val="1"/>
          </rPr>
          <t xml:space="preserve">Prerequisites:  </t>
        </r>
        <r>
          <rPr>
            <sz val="12"/>
            <color indexed="81"/>
            <rFont val="Times New Roman"/>
            <family val="1"/>
          </rPr>
          <t xml:space="preserve">Craft Wondrous Item, feather fall or catfall (EPH 82).
</t>
        </r>
        <r>
          <rPr>
            <b/>
            <sz val="12"/>
            <color indexed="81"/>
            <rFont val="Times New Roman"/>
            <family val="1"/>
          </rPr>
          <t xml:space="preserve">Cost to Create:  </t>
        </r>
        <r>
          <rPr>
            <sz val="12"/>
            <color indexed="81"/>
            <rFont val="Times New Roman"/>
            <family val="1"/>
          </rPr>
          <t>250 gp, 20 XP, 1 day.
MIC 77 - 78</t>
        </r>
      </text>
    </comment>
    <comment ref="A16" authorId="0" shapeId="0" xr:uid="{00000000-0006-0000-0500-000002000000}">
      <text>
        <r>
          <rPr>
            <b/>
            <sz val="12"/>
            <color indexed="81"/>
            <rFont val="Times New Roman"/>
            <family val="1"/>
          </rPr>
          <t xml:space="preserve">Price (Item Level):  </t>
        </r>
        <r>
          <rPr>
            <sz val="12"/>
            <color indexed="81"/>
            <rFont val="Times New Roman"/>
            <family val="1"/>
          </rPr>
          <t xml:space="preserve">200 gp (2nd)
</t>
        </r>
        <r>
          <rPr>
            <b/>
            <sz val="12"/>
            <color indexed="81"/>
            <rFont val="Times New Roman"/>
            <family val="1"/>
          </rPr>
          <t xml:space="preserve">Body Slot:  </t>
        </r>
        <r>
          <rPr>
            <sz val="12"/>
            <color indexed="81"/>
            <rFont val="Times New Roman"/>
            <family val="1"/>
          </rPr>
          <t xml:space="preserve">— (held)
</t>
        </r>
        <r>
          <rPr>
            <b/>
            <sz val="12"/>
            <color indexed="81"/>
            <rFont val="Times New Roman"/>
            <family val="1"/>
          </rPr>
          <t xml:space="preserve">Caster Level:  </t>
        </r>
        <r>
          <rPr>
            <sz val="12"/>
            <color indexed="81"/>
            <rFont val="Times New Roman"/>
            <family val="1"/>
          </rPr>
          <t xml:space="preserve">3rd
</t>
        </r>
        <r>
          <rPr>
            <b/>
            <sz val="12"/>
            <color indexed="81"/>
            <rFont val="Times New Roman"/>
            <family val="1"/>
          </rPr>
          <t xml:space="preserve">Aura:  </t>
        </r>
        <r>
          <rPr>
            <sz val="12"/>
            <color indexed="81"/>
            <rFont val="Times New Roman"/>
            <family val="1"/>
          </rPr>
          <t xml:space="preserve">Faint; (DC 16) conjuration
</t>
        </r>
        <r>
          <rPr>
            <b/>
            <sz val="12"/>
            <color indexed="81"/>
            <rFont val="Times New Roman"/>
            <family val="1"/>
          </rPr>
          <t xml:space="preserve">Activation:  </t>
        </r>
        <r>
          <rPr>
            <sz val="12"/>
            <color indexed="81"/>
            <rFont val="Times New Roman"/>
            <family val="1"/>
          </rPr>
          <t xml:space="preserve">Standard (command)
</t>
        </r>
        <r>
          <rPr>
            <b/>
            <sz val="12"/>
            <color indexed="81"/>
            <rFont val="Times New Roman"/>
            <family val="1"/>
          </rPr>
          <t xml:space="preserve">Weight:  </t>
        </r>
        <r>
          <rPr>
            <sz val="12"/>
            <color indexed="81"/>
            <rFont val="Times New Roman"/>
            <family val="1"/>
          </rPr>
          <t xml:space="preserve">—
This common-looking brown clay mug has persistent stains just under the rim.
Three times per day, when you recite the command word, this mug fills with 12 ounces of water, cheap ale, or watery wine (your choice).
</t>
        </r>
        <r>
          <rPr>
            <b/>
            <sz val="12"/>
            <color indexed="81"/>
            <rFont val="Times New Roman"/>
            <family val="1"/>
          </rPr>
          <t xml:space="preserve">Prerequisites:  </t>
        </r>
        <r>
          <rPr>
            <sz val="12"/>
            <color indexed="81"/>
            <rFont val="Times New Roman"/>
            <family val="1"/>
          </rPr>
          <t xml:space="preserve">Craft Wondrous Item, create water.
</t>
        </r>
        <r>
          <rPr>
            <b/>
            <sz val="12"/>
            <color indexed="81"/>
            <rFont val="Times New Roman"/>
            <family val="1"/>
          </rPr>
          <t xml:space="preserve">Cost to Create:  </t>
        </r>
        <r>
          <rPr>
            <sz val="12"/>
            <color indexed="81"/>
            <rFont val="Times New Roman"/>
            <family val="1"/>
          </rPr>
          <t>100 gp, 8 XP, 1 day.
MIC 160</t>
        </r>
      </text>
    </comment>
    <comment ref="A17" authorId="0" shapeId="0" xr:uid="{00000000-0006-0000-0500-000003000000}">
      <text>
        <r>
          <rPr>
            <b/>
            <sz val="12"/>
            <color indexed="81"/>
            <rFont val="Times New Roman"/>
            <family val="1"/>
          </rPr>
          <t xml:space="preserve">Price (Item Level):  </t>
        </r>
        <r>
          <rPr>
            <sz val="12"/>
            <color indexed="81"/>
            <rFont val="Times New Roman"/>
            <family val="1"/>
          </rPr>
          <t xml:space="preserve">350 gp (2nd)
</t>
        </r>
        <r>
          <rPr>
            <b/>
            <sz val="12"/>
            <color indexed="81"/>
            <rFont val="Times New Roman"/>
            <family val="1"/>
          </rPr>
          <t xml:space="preserve">Body Slot:  </t>
        </r>
        <r>
          <rPr>
            <sz val="12"/>
            <color indexed="81"/>
            <rFont val="Times New Roman"/>
            <family val="1"/>
          </rPr>
          <t xml:space="preserve">— (held)
</t>
        </r>
        <r>
          <rPr>
            <b/>
            <sz val="12"/>
            <color indexed="81"/>
            <rFont val="Times New Roman"/>
            <family val="1"/>
          </rPr>
          <t xml:space="preserve">Caster Level:  </t>
        </r>
        <r>
          <rPr>
            <sz val="12"/>
            <color indexed="81"/>
            <rFont val="Times New Roman"/>
            <family val="1"/>
          </rPr>
          <t xml:space="preserve">5th
</t>
        </r>
        <r>
          <rPr>
            <b/>
            <sz val="12"/>
            <color indexed="81"/>
            <rFont val="Times New Roman"/>
            <family val="1"/>
          </rPr>
          <t xml:space="preserve">Aura:  </t>
        </r>
        <r>
          <rPr>
            <sz val="12"/>
            <color indexed="81"/>
            <rFont val="Times New Roman"/>
            <family val="1"/>
          </rPr>
          <t xml:space="preserve">Faint; (DC 17) conjuration
</t>
        </r>
        <r>
          <rPr>
            <b/>
            <sz val="12"/>
            <color indexed="81"/>
            <rFont val="Times New Roman"/>
            <family val="1"/>
          </rPr>
          <t xml:space="preserve">Activation:  </t>
        </r>
        <r>
          <rPr>
            <sz val="12"/>
            <color indexed="81"/>
            <rFont val="Times New Roman"/>
            <family val="1"/>
          </rPr>
          <t xml:space="preserve">—
</t>
        </r>
        <r>
          <rPr>
            <b/>
            <sz val="12"/>
            <color indexed="81"/>
            <rFont val="Times New Roman"/>
            <family val="1"/>
          </rPr>
          <t xml:space="preserve">Weight:  </t>
        </r>
        <r>
          <rPr>
            <sz val="12"/>
            <color indexed="81"/>
            <rFont val="Times New Roman"/>
            <family val="1"/>
          </rPr>
          <t xml:space="preserve">2 lb.
This nondescript, small leather pouch has a light blue silk drawstring.
This pouch contains enough trail rations to feed a Medium creature for one day.  Every morning at sunrise, the pouch magically creates another day’s worth of rations.
</t>
        </r>
        <r>
          <rPr>
            <b/>
            <sz val="12"/>
            <color indexed="81"/>
            <rFont val="Times New Roman"/>
            <family val="1"/>
          </rPr>
          <t xml:space="preserve">Prerequisites:  </t>
        </r>
        <r>
          <rPr>
            <sz val="12"/>
            <color indexed="81"/>
            <rFont val="Times New Roman"/>
            <family val="1"/>
          </rPr>
          <t xml:space="preserve">Craft Wondrous Item,
create food and water.
</t>
        </r>
        <r>
          <rPr>
            <b/>
            <sz val="12"/>
            <color indexed="81"/>
            <rFont val="Times New Roman"/>
            <family val="1"/>
          </rPr>
          <t xml:space="preserve">Cost to Create:  </t>
        </r>
        <r>
          <rPr>
            <sz val="12"/>
            <color indexed="81"/>
            <rFont val="Times New Roman"/>
            <family val="1"/>
          </rPr>
          <t>175 gp, 14 XP, 1 day.
MIC 160</t>
        </r>
      </text>
    </comment>
    <comment ref="A37" authorId="0" shapeId="0" xr:uid="{00000000-0006-0000-0500-000004000000}">
      <text>
        <r>
          <rPr>
            <b/>
            <sz val="12"/>
            <color indexed="81"/>
            <rFont val="Times New Roman"/>
            <family val="1"/>
          </rPr>
          <t xml:space="preserve">Price (Item Level):  </t>
        </r>
        <r>
          <rPr>
            <sz val="12"/>
            <color indexed="81"/>
            <rFont val="Times New Roman"/>
            <family val="1"/>
          </rPr>
          <t xml:space="preserve">500 gp (3rd)
</t>
        </r>
        <r>
          <rPr>
            <b/>
            <sz val="12"/>
            <color indexed="81"/>
            <rFont val="Times New Roman"/>
            <family val="1"/>
          </rPr>
          <t xml:space="preserve">Body Slot:  </t>
        </r>
        <r>
          <rPr>
            <sz val="12"/>
            <color indexed="81"/>
            <rFont val="Times New Roman"/>
            <family val="1"/>
          </rPr>
          <t xml:space="preserve">Feet
</t>
        </r>
        <r>
          <rPr>
            <b/>
            <sz val="12"/>
            <color indexed="81"/>
            <rFont val="Times New Roman"/>
            <family val="1"/>
          </rPr>
          <t xml:space="preserve">Caster Level:  </t>
        </r>
        <r>
          <rPr>
            <sz val="12"/>
            <color indexed="81"/>
            <rFont val="Times New Roman"/>
            <family val="1"/>
          </rPr>
          <t xml:space="preserve">3rd
</t>
        </r>
        <r>
          <rPr>
            <b/>
            <sz val="12"/>
            <color indexed="81"/>
            <rFont val="Times New Roman"/>
            <family val="1"/>
          </rPr>
          <t xml:space="preserve">Aura:  </t>
        </r>
        <r>
          <rPr>
            <sz val="12"/>
            <color indexed="81"/>
            <rFont val="Times New Roman"/>
            <family val="1"/>
          </rPr>
          <t xml:space="preserve">Faint; (DC 16) transmutation
</t>
        </r>
        <r>
          <rPr>
            <b/>
            <sz val="12"/>
            <color indexed="81"/>
            <rFont val="Times New Roman"/>
            <family val="1"/>
          </rPr>
          <t xml:space="preserve">Activation:  </t>
        </r>
        <r>
          <rPr>
            <sz val="12"/>
            <color indexed="81"/>
            <rFont val="Times New Roman"/>
            <family val="1"/>
          </rPr>
          <t xml:space="preserve">—
</t>
        </r>
        <r>
          <rPr>
            <b/>
            <sz val="12"/>
            <color indexed="81"/>
            <rFont val="Times New Roman"/>
            <family val="1"/>
          </rPr>
          <t xml:space="preserve">Weight:  </t>
        </r>
        <r>
          <rPr>
            <sz val="12"/>
            <color indexed="81"/>
            <rFont val="Times New Roman"/>
            <family val="1"/>
          </rPr>
          <t xml:space="preserve">1 lb.
These light blue leather boots have very thick soles. Walking in them is like dancing in clouds.
While wearing boots of landing, you land on your feet no matter how far you fall, and you take 2 fewer dice of damage from the fall than normal (thus, a fall of 20 feet or less deals you no damage).
</t>
        </r>
        <r>
          <rPr>
            <b/>
            <sz val="12"/>
            <color indexed="81"/>
            <rFont val="Times New Roman"/>
            <family val="1"/>
          </rPr>
          <t xml:space="preserve">Prerequisites:  </t>
        </r>
        <r>
          <rPr>
            <sz val="12"/>
            <color indexed="81"/>
            <rFont val="Times New Roman"/>
            <family val="1"/>
          </rPr>
          <t xml:space="preserve">Craft Wondrous Item, feather fall or catfall (EPH 82).
</t>
        </r>
        <r>
          <rPr>
            <b/>
            <sz val="12"/>
            <color indexed="81"/>
            <rFont val="Times New Roman"/>
            <family val="1"/>
          </rPr>
          <t xml:space="preserve">Cost to Create:  </t>
        </r>
        <r>
          <rPr>
            <sz val="12"/>
            <color indexed="81"/>
            <rFont val="Times New Roman"/>
            <family val="1"/>
          </rPr>
          <t>250 gp, 20 XP, 1 day.
MIC 77 - 78</t>
        </r>
      </text>
    </comment>
  </commentList>
</comments>
</file>

<file path=xl/sharedStrings.xml><?xml version="1.0" encoding="utf-8"?>
<sst xmlns="http://schemas.openxmlformats.org/spreadsheetml/2006/main" count="527" uniqueCount="292">
  <si>
    <t>Race:</t>
  </si>
  <si>
    <t>Sex:</t>
  </si>
  <si>
    <t>Height:</t>
  </si>
  <si>
    <t>Weight:</t>
  </si>
  <si>
    <t>Strength:</t>
  </si>
  <si>
    <t>Dexterity:</t>
  </si>
  <si>
    <t>Melee Weapon</t>
  </si>
  <si>
    <t>Dmg</t>
  </si>
  <si>
    <t>Qty.</t>
  </si>
  <si>
    <t>Ranged Weapon</t>
  </si>
  <si>
    <t>Dmg.</t>
  </si>
  <si>
    <t>Rng.</t>
  </si>
  <si>
    <t>Skills</t>
  </si>
  <si>
    <t>Charisma:</t>
  </si>
  <si>
    <t>Constitution:</t>
  </si>
  <si>
    <t>Intelligence:</t>
  </si>
  <si>
    <t>Hit Points:</t>
  </si>
  <si>
    <t>Wisdom:</t>
  </si>
  <si>
    <t>Concentration</t>
  </si>
  <si>
    <t>AC Mod.</t>
  </si>
  <si>
    <t>Handle Animal</t>
  </si>
  <si>
    <t>Move Silently</t>
  </si>
  <si>
    <t>Ride</t>
  </si>
  <si>
    <t>Search</t>
  </si>
  <si>
    <t>Swim</t>
  </si>
  <si>
    <t>Weapons and Armor</t>
  </si>
  <si>
    <t>Type</t>
  </si>
  <si>
    <t>Personality, History, and Notes</t>
  </si>
  <si>
    <t>D+</t>
  </si>
  <si>
    <t>TH+</t>
  </si>
  <si>
    <t>Wt.</t>
  </si>
  <si>
    <t>Mod.</t>
  </si>
  <si>
    <t>Cha</t>
  </si>
  <si>
    <t>Con</t>
  </si>
  <si>
    <t>Int</t>
  </si>
  <si>
    <t>Wis</t>
  </si>
  <si>
    <t>Dex</t>
  </si>
  <si>
    <t>Str</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</si>
  <si>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</si>
  <si>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</si>
  <si>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</si>
  <si>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</si>
  <si>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</si>
  <si>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</si>
  <si>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</si>
  <si>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</si>
  <si>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</si>
  <si>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</si>
  <si>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</si>
  <si>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</si>
  <si>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</si>
  <si>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</si>
  <si>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</si>
  <si>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</si>
  <si>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</si>
  <si>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</si>
  <si>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</si>
  <si>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</si>
  <si>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</si>
  <si>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</si>
  <si>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</si>
  <si>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</si>
  <si>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</si>
  <si>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</si>
  <si>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</si>
  <si>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Class:</t>
  </si>
  <si>
    <t>Level:</t>
  </si>
  <si>
    <t>Alignment:</t>
  </si>
  <si>
    <t>Total</t>
  </si>
  <si>
    <t>Critical</t>
  </si>
  <si>
    <t>Fortitude</t>
  </si>
  <si>
    <t>Reflex</t>
  </si>
  <si>
    <t>Will</t>
  </si>
  <si>
    <t>Armor &amp; Shield</t>
  </si>
  <si>
    <t>Missiles</t>
  </si>
  <si>
    <t>Lb. Capacity:</t>
  </si>
  <si>
    <t>Lb. Carried:</t>
  </si>
  <si>
    <t>Languages</t>
  </si>
  <si>
    <t>Equipment Worn</t>
  </si>
  <si>
    <t>Item</t>
  </si>
  <si>
    <t>Effects/</t>
  </si>
  <si>
    <t>Notes</t>
  </si>
  <si>
    <t>Equipment Carried</t>
  </si>
  <si>
    <t>Check</t>
  </si>
  <si>
    <t>Arcane</t>
  </si>
  <si>
    <t>Speed</t>
  </si>
  <si>
    <t>Age:</t>
  </si>
  <si>
    <t>Region:</t>
  </si>
  <si>
    <t>Speak Language</t>
  </si>
  <si>
    <t>Knowledge:  Arcana</t>
  </si>
  <si>
    <t>Sleight of Hand</t>
  </si>
  <si>
    <t>Survival</t>
  </si>
  <si>
    <t>Attack Bonus:</t>
  </si>
  <si>
    <t>Class Features</t>
  </si>
  <si>
    <t>Touch AC:</t>
  </si>
  <si>
    <t>Shields (not tower)</t>
  </si>
  <si>
    <t>Atk</t>
  </si>
  <si>
    <t>1</t>
  </si>
  <si>
    <t>Mount:  not available</t>
  </si>
  <si>
    <t>Feats</t>
  </si>
  <si>
    <t>Rogue</t>
  </si>
  <si>
    <t>Knowledge:  Local</t>
  </si>
  <si>
    <t>Knowledge:  The Planes</t>
  </si>
  <si>
    <t>4</t>
  </si>
  <si>
    <t>Evasion</t>
  </si>
  <si>
    <t>Trapfinding</t>
  </si>
  <si>
    <t>Boots of Landing</t>
  </si>
  <si>
    <t>Thieves Tools, Masterwork</t>
  </si>
  <si>
    <t>2</t>
  </si>
  <si>
    <t>+2 to Climb</t>
  </si>
  <si>
    <t>+2 to Disable Device &amp; Open Locks</t>
  </si>
  <si>
    <t>Belt Pouch</t>
  </si>
  <si>
    <t>Ink (1 oz. vial)</t>
  </si>
  <si>
    <t>Inkpen</t>
  </si>
  <si>
    <t>Sealing Wax</t>
  </si>
  <si>
    <t>Signet Ring</t>
  </si>
  <si>
    <t>Everful Mug</t>
  </si>
  <si>
    <t>Everlasting Rations</t>
  </si>
  <si>
    <t>Roll</t>
  </si>
  <si>
    <t>Willow</t>
  </si>
  <si>
    <t>Female</t>
  </si>
  <si>
    <t>Warlock</t>
  </si>
  <si>
    <t>Common, Halfling</t>
  </si>
  <si>
    <t>Simple Weapons</t>
  </si>
  <si>
    <t>Perform:  (type)</t>
  </si>
  <si>
    <t>Profession:  (type)</t>
  </si>
  <si>
    <t>Rogue 1</t>
  </si>
  <si>
    <t>Rogue 2</t>
  </si>
  <si>
    <t>Warlock 1</t>
  </si>
  <si>
    <t>24 hours</t>
  </si>
  <si>
    <t>Personal</t>
  </si>
  <si>
    <t>Least</t>
  </si>
  <si>
    <t>Instant</t>
  </si>
  <si>
    <t>n/a</t>
  </si>
  <si>
    <t>Eldritch Blast</t>
  </si>
  <si>
    <t>Duration</t>
  </si>
  <si>
    <t>Range</t>
  </si>
  <si>
    <t>ESP</t>
  </si>
  <si>
    <t>Grade</t>
  </si>
  <si>
    <t>Spell</t>
  </si>
  <si>
    <t>Invocations</t>
  </si>
  <si>
    <t>-</t>
  </si>
  <si>
    <t>Light Armor</t>
  </si>
  <si>
    <t>Damara</t>
  </si>
  <si>
    <t>Bedroll</t>
  </si>
  <si>
    <t>Parchment</t>
  </si>
  <si>
    <t>18 - 20/x2</t>
  </si>
  <si>
    <t>Piercing</t>
  </si>
  <si>
    <t>Skill/Save</t>
  </si>
  <si>
    <t>Rank</t>
  </si>
  <si>
    <t>+2 vs. Fear</t>
  </si>
  <si>
    <r>
      <t>25</t>
    </r>
    <r>
      <rPr>
        <sz val="13"/>
        <rFont val="Times New Roman"/>
        <family val="1"/>
      </rPr>
      <t>/</t>
    </r>
    <r>
      <rPr>
        <sz val="13"/>
        <color indexed="52"/>
        <rFont val="Times New Roman"/>
        <family val="1"/>
      </rPr>
      <t>50</t>
    </r>
    <r>
      <rPr>
        <sz val="13"/>
        <rFont val="Times New Roman"/>
        <family val="1"/>
      </rPr>
      <t>/</t>
    </r>
    <r>
      <rPr>
        <sz val="13"/>
        <color indexed="10"/>
        <rFont val="Times New Roman"/>
        <family val="1"/>
      </rPr>
      <t>75</t>
    </r>
  </si>
  <si>
    <t>Level</t>
  </si>
  <si>
    <t>DC</t>
  </si>
  <si>
    <t>Cast?</t>
  </si>
  <si>
    <t>Spell Hand Abilities</t>
  </si>
  <si>
    <t>Mage Hand</t>
  </si>
  <si>
    <t>Open/Close</t>
  </si>
  <si>
    <t>Tenser’s Floating Disc</t>
  </si>
  <si>
    <t>Backpack</t>
  </si>
  <si>
    <t>19 - 20/x2</t>
  </si>
  <si>
    <t>Bolts</t>
  </si>
  <si>
    <t>+0</t>
  </si>
  <si>
    <t>1½</t>
  </si>
  <si>
    <t>Gold Pieces</t>
  </si>
  <si>
    <t>20’</t>
  </si>
  <si>
    <t>Warlock 2</t>
  </si>
  <si>
    <t>Leaps and Bounds</t>
  </si>
  <si>
    <t>Components</t>
  </si>
  <si>
    <t>Casting</t>
  </si>
  <si>
    <t>1 SA</t>
  </si>
  <si>
    <t>S</t>
  </si>
  <si>
    <t>See Skills tab</t>
  </si>
  <si>
    <t>Courtier’s Outfit</t>
  </si>
  <si>
    <t>Climber’s Kit</t>
  </si>
  <si>
    <t>Merchant’s Scale</t>
  </si>
  <si>
    <t/>
  </si>
  <si>
    <t>80’</t>
  </si>
  <si>
    <t>Rogue Weapons</t>
  </si>
  <si>
    <t>Thrown Weapons</t>
  </si>
  <si>
    <t>60’</t>
  </si>
  <si>
    <t>Chronocharm of the Laughing Rogue</t>
  </si>
  <si>
    <t>Mount Encumbrance:</t>
  </si>
  <si>
    <t>FF AC:</t>
  </si>
  <si>
    <t>Sunrod</t>
  </si>
  <si>
    <t>Grapple:</t>
  </si>
  <si>
    <t>Initiative:</t>
  </si>
  <si>
    <t>varies</t>
  </si>
  <si>
    <t>Value</t>
  </si>
  <si>
    <t>1d4</t>
  </si>
  <si>
    <t>1d3</t>
  </si>
  <si>
    <t>x2</t>
  </si>
  <si>
    <t>Bludgeon</t>
  </si>
  <si>
    <t>?</t>
  </si>
  <si>
    <t>Subtype:</t>
  </si>
  <si>
    <t>Succubus</t>
  </si>
  <si>
    <t>Halfling (Succubus)</t>
  </si>
  <si>
    <t>Rapier +1</t>
  </si>
  <si>
    <t>Claws</t>
  </si>
  <si>
    <t>Racial Abilities</t>
  </si>
  <si>
    <t>Alternate Form (1)</t>
  </si>
  <si>
    <t>Resistance 5 (ACEF)</t>
  </si>
  <si>
    <t>Chaotic, Evil</t>
  </si>
  <si>
    <t>Craft:  Jewelry</t>
  </si>
  <si>
    <t>8</t>
  </si>
  <si>
    <t>+6 to when invoking Leaps &amp; Bounds</t>
  </si>
  <si>
    <t>Succubus 1</t>
  </si>
  <si>
    <t>MW Dagger</t>
  </si>
  <si>
    <t>Prcg/Slash</t>
  </si>
  <si>
    <t>Hideous Blow</t>
  </si>
  <si>
    <t>Melee hit channels blast</t>
  </si>
  <si>
    <t>60’/250’</t>
  </si>
  <si>
    <t>1d6</t>
  </si>
  <si>
    <t>Lesser Crystal of Arrow Deflection</t>
  </si>
  <si>
    <t>Quick-Loading Light Crossbow</t>
  </si>
  <si>
    <t>30’</t>
  </si>
  <si>
    <t>Succubus 2</t>
  </si>
  <si>
    <t>Telepathy, 100’, @ will</t>
  </si>
  <si>
    <t>Immunity to Poison</t>
  </si>
  <si>
    <t>Proficiencies</t>
  </si>
  <si>
    <t>Scrolls and Potions</t>
  </si>
  <si>
    <t>CLev</t>
  </si>
  <si>
    <t>Brandilor’s Earrings</t>
  </si>
  <si>
    <t>Cold Bolts</t>
  </si>
  <si>
    <t>Acid Flask</t>
  </si>
  <si>
    <t>10’</t>
  </si>
  <si>
    <t>Taintslayer Bolt +4</t>
  </si>
  <si>
    <t>+4</t>
  </si>
  <si>
    <t>Tainted Coins &amp; Gems</t>
  </si>
  <si>
    <t>24 (380)</t>
  </si>
  <si>
    <t>3’1” (5’9”)</t>
  </si>
  <si>
    <t>25/105 lbs.</t>
  </si>
  <si>
    <t>1st:  Spell Hand</t>
  </si>
  <si>
    <t>3rd:  Weapon Finesse</t>
  </si>
  <si>
    <t>6th:  Weapon Focus (Ray)</t>
  </si>
  <si>
    <t>2d6</t>
  </si>
  <si>
    <t>Warlock 3</t>
  </si>
  <si>
    <t>Total Equity:</t>
  </si>
  <si>
    <t>Equity on This Page:</t>
  </si>
  <si>
    <t>Tongues, @ will</t>
  </si>
  <si>
    <t>2d6, x2 on 20</t>
  </si>
  <si>
    <t>var.</t>
  </si>
  <si>
    <t>Fateweaver Chronocharm</t>
  </si>
  <si>
    <t>Eternal Wand of Undetectable Alignment</t>
  </si>
  <si>
    <t>4 v. rngd</t>
  </si>
  <si>
    <t>*</t>
  </si>
  <si>
    <t>Stash:  Copper Coronet</t>
  </si>
  <si>
    <t>Sneak Attack 2d6</t>
  </si>
  <si>
    <t>Succubus 1:  Point-blank Shot</t>
  </si>
  <si>
    <t>2nd Attack</t>
  </si>
  <si>
    <t>1d6 v und.</t>
  </si>
  <si>
    <t>Truedeath Crystal, Lesser</t>
  </si>
  <si>
    <t>Positive</t>
  </si>
  <si>
    <t>Personal Wares, poor condition</t>
  </si>
  <si>
    <t>Mithral Chain Shirt +2</t>
  </si>
  <si>
    <t>AC:</t>
  </si>
  <si>
    <t>Succubus 3</t>
  </si>
  <si>
    <t>Succubus 4</t>
  </si>
  <si>
    <t>Succubus 5</t>
  </si>
  <si>
    <t>Succubus 6</t>
  </si>
  <si>
    <t>Speed:</t>
  </si>
  <si>
    <t>Trap Sense +1</t>
  </si>
  <si>
    <t>Clairaudience/voyance, @ will</t>
  </si>
  <si>
    <t>Darkness, @ will</t>
  </si>
  <si>
    <t>Desecrate, @ will</t>
  </si>
  <si>
    <t>Detect Good, @ will</t>
  </si>
  <si>
    <t>Detect Thoughts, @ will</t>
  </si>
  <si>
    <t>Doom, @ will</t>
  </si>
  <si>
    <t>Suggestion, @ will</t>
  </si>
  <si>
    <t>Eldritch Blast via Weapon</t>
  </si>
  <si>
    <t>Damaran, Abyssal (Succubus)</t>
  </si>
  <si>
    <t>Detect Magic, @ will</t>
  </si>
  <si>
    <t>Celestial, Draconic</t>
  </si>
  <si>
    <t>+1 within 30’</t>
  </si>
  <si>
    <t>special</t>
  </si>
  <si>
    <t>Slashing</t>
  </si>
  <si>
    <t>q</t>
  </si>
  <si>
    <r>
      <t xml:space="preserve">d’whisp </t>
    </r>
    <r>
      <rPr>
        <i/>
        <sz val="22"/>
        <color rgb="FFCCFFCC"/>
        <rFont val="Times New Roman"/>
        <family val="1"/>
      </rPr>
      <t>/</t>
    </r>
    <r>
      <rPr>
        <i/>
        <sz val="22"/>
        <color rgb="FF00FF00"/>
        <rFont val="Times New Roman"/>
        <family val="1"/>
      </rPr>
      <t xml:space="preserve"> </t>
    </r>
    <r>
      <rPr>
        <i/>
        <sz val="22"/>
        <color rgb="FFFF0000"/>
        <rFont val="Times New Roman"/>
        <family val="1"/>
      </rPr>
      <t>Bo Three Wills</t>
    </r>
  </si>
  <si>
    <t>NPC</t>
  </si>
  <si>
    <t>Chaotic Evil</t>
  </si>
  <si>
    <t>Succubus 2:  Alluring</t>
  </si>
  <si>
    <t>Alluring +2</t>
  </si>
  <si>
    <t>9th:  Charlatan</t>
  </si>
  <si>
    <t>12th:  Shadow</t>
  </si>
  <si>
    <t>Bloodfeeding Sickle +2</t>
  </si>
  <si>
    <t>1d4+2</t>
  </si>
  <si>
    <r>
      <t xml:space="preserve">Rapier, </t>
    </r>
    <r>
      <rPr>
        <i/>
        <sz val="12"/>
        <rFont val="Times New Roman"/>
        <family val="1"/>
      </rPr>
      <t>haste</t>
    </r>
  </si>
  <si>
    <r>
      <t xml:space="preserve">Eldritch Blast, </t>
    </r>
    <r>
      <rPr>
        <i/>
        <sz val="12"/>
        <rFont val="Times New Roman"/>
        <family val="1"/>
      </rPr>
      <t>haste</t>
    </r>
  </si>
  <si>
    <r>
      <t xml:space="preserve">Sickle, </t>
    </r>
    <r>
      <rPr>
        <i/>
        <sz val="12"/>
        <rFont val="Times New Roman"/>
        <family val="1"/>
      </rPr>
      <t>haste</t>
    </r>
  </si>
  <si>
    <r>
      <t xml:space="preserve">Dagger, </t>
    </r>
    <r>
      <rPr>
        <i/>
        <sz val="12"/>
        <rFont val="Times New Roman"/>
        <family val="1"/>
      </rPr>
      <t>haste</t>
    </r>
  </si>
  <si>
    <r>
      <t xml:space="preserve">Claws, </t>
    </r>
    <r>
      <rPr>
        <i/>
        <sz val="12"/>
        <rFont val="Times New Roman"/>
        <family val="1"/>
      </rPr>
      <t>haste</t>
    </r>
  </si>
  <si>
    <t>Blood Points: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</si>
</sst>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7" x14ac:knownFonts="1">
    <font>
      <sz val="12"/>
      <name val="Times New Roman"/>
    </font>
    <font>
      <sz val="12"/>
      <color theme="1"/>
      <name val="Times New Roman"/>
      <family val="2"/>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sz val="18"/>
      <name val="Times New Roman"/>
      <family val="1"/>
    </font>
    <font>
      <b/>
      <sz val="18"/>
      <name val="Times New Roman"/>
      <family val="1"/>
    </font>
    <font>
      <sz val="13"/>
      <color indexed="17"/>
      <name val="Times New Roman"/>
      <family val="1"/>
    </font>
    <font>
      <sz val="13"/>
      <color indexed="10"/>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u/>
      <sz val="12"/>
      <color indexed="12"/>
      <name val="Times New Roman"/>
      <family val="1"/>
    </font>
    <font>
      <sz val="12"/>
      <color indexed="81"/>
      <name val="Times New Roman"/>
      <family val="1"/>
    </font>
    <font>
      <i/>
      <sz val="12"/>
      <color indexed="42"/>
      <name val="Times New Roman"/>
      <family val="1"/>
    </font>
    <font>
      <i/>
      <sz val="22"/>
      <color indexed="11"/>
      <name val="Times New Roman"/>
      <family val="1"/>
    </font>
    <font>
      <i/>
      <sz val="22"/>
      <color rgb="FF00FF00"/>
      <name val="Times New Roman"/>
      <family val="1"/>
    </font>
    <font>
      <sz val="10"/>
      <name val="Arial"/>
      <family val="2"/>
    </font>
    <font>
      <sz val="12"/>
      <name val="Times New Roman"/>
      <family val="1"/>
      <charset val="1"/>
    </font>
    <font>
      <b/>
      <sz val="13"/>
      <color rgb="FF00CC00"/>
      <name val="Times New Roman"/>
      <family val="1"/>
    </font>
    <font>
      <sz val="13"/>
      <color rgb="FFFF0000"/>
      <name val="Times New Roman"/>
      <family val="1"/>
    </font>
    <font>
      <b/>
      <sz val="12"/>
      <color indexed="81"/>
      <name val="Times New Roman"/>
      <family val="1"/>
    </font>
    <font>
      <b/>
      <i/>
      <sz val="13"/>
      <color indexed="17"/>
      <name val="Times New Roman"/>
      <family val="1"/>
    </font>
    <font>
      <sz val="13"/>
      <color indexed="20"/>
      <name val="Times New Roman"/>
      <family val="1"/>
    </font>
    <font>
      <i/>
      <sz val="18"/>
      <color indexed="20"/>
      <name val="Times New Roman"/>
      <family val="1"/>
    </font>
    <font>
      <b/>
      <sz val="13"/>
      <color rgb="FFFF0000"/>
      <name val="Times New Roman"/>
      <family val="1"/>
    </font>
    <font>
      <b/>
      <sz val="13"/>
      <color rgb="FF0000FF"/>
      <name val="Times New Roman"/>
      <family val="1"/>
    </font>
    <font>
      <sz val="13"/>
      <color rgb="FFFFC000"/>
      <name val="Times New Roman"/>
      <family val="1"/>
    </font>
    <font>
      <b/>
      <sz val="13"/>
      <color rgb="FF7030A0"/>
      <name val="Times New Roman"/>
      <family val="1"/>
    </font>
    <font>
      <b/>
      <sz val="13"/>
      <color rgb="FFFFC000"/>
      <name val="Times New Roman"/>
      <family val="1"/>
    </font>
    <font>
      <i/>
      <sz val="18"/>
      <color indexed="12"/>
      <name val="Times New Roman"/>
      <family val="1"/>
    </font>
    <font>
      <sz val="13"/>
      <name val="Wingdings"/>
      <charset val="2"/>
    </font>
    <font>
      <b/>
      <sz val="12"/>
      <color rgb="FFFFC000"/>
      <name val="Times New Roman"/>
      <family val="1"/>
    </font>
    <font>
      <sz val="12"/>
      <color rgb="FFFFC000"/>
      <name val="Times New Roman"/>
      <family val="1"/>
    </font>
    <font>
      <i/>
      <sz val="16"/>
      <color rgb="FFFFC000"/>
      <name val="Times New Roman"/>
      <family val="1"/>
    </font>
    <font>
      <sz val="10"/>
      <name val="Times New Roman"/>
      <family val="1"/>
    </font>
    <font>
      <i/>
      <sz val="12"/>
      <color indexed="81"/>
      <name val="Times New Roman"/>
      <family val="1"/>
    </font>
    <font>
      <i/>
      <sz val="16"/>
      <color indexed="57"/>
      <name val="Times New Roman"/>
      <family val="1"/>
    </font>
    <font>
      <i/>
      <sz val="16"/>
      <color indexed="53"/>
      <name val="Times New Roman"/>
      <family val="1"/>
    </font>
    <font>
      <i/>
      <sz val="16"/>
      <color indexed="10"/>
      <name val="Times New Roman"/>
      <family val="1"/>
    </font>
    <font>
      <sz val="12"/>
      <color rgb="FF00FF00"/>
      <name val="Times New Roman"/>
      <family val="1"/>
    </font>
    <font>
      <sz val="13"/>
      <color rgb="FF009900"/>
      <name val="Times New Roman"/>
      <family val="1"/>
    </font>
    <font>
      <sz val="12"/>
      <color rgb="FFFF0000"/>
      <name val="Times New Roman"/>
      <family val="1"/>
    </font>
    <font>
      <i/>
      <sz val="22"/>
      <color rgb="FFFF0000"/>
      <name val="Times New Roman"/>
      <family val="1"/>
    </font>
    <font>
      <i/>
      <sz val="22"/>
      <color rgb="FFCCFFCC"/>
      <name val="Times New Roman"/>
      <family val="1"/>
    </font>
    <font>
      <i/>
      <sz val="12"/>
      <name val="Times New Roman"/>
      <family val="1"/>
    </font>
  </fonts>
  <fills count="17">
    <fill>
      <patternFill patternType="none"/>
    </fill>
    <fill>
      <patternFill patternType="gray125"/>
    </fill>
    <fill>
      <patternFill patternType="solid">
        <fgColor indexed="8"/>
        <bgColor indexed="64"/>
      </patternFill>
    </fill>
    <fill>
      <patternFill patternType="solid">
        <fgColor indexed="17"/>
        <bgColor indexed="64"/>
      </patternFill>
    </fill>
    <fill>
      <patternFill patternType="solid">
        <fgColor indexed="22"/>
        <bgColor indexed="64"/>
      </patternFill>
    </fill>
    <fill>
      <patternFill patternType="solid">
        <fgColor indexed="11"/>
        <bgColor indexed="64"/>
      </patternFill>
    </fill>
    <fill>
      <patternFill patternType="solid">
        <fgColor indexed="46"/>
        <bgColor indexed="64"/>
      </patternFill>
    </fill>
    <fill>
      <patternFill patternType="solid">
        <fgColor rgb="FFCCFFCC"/>
        <bgColor indexed="64"/>
      </patternFill>
    </fill>
    <fill>
      <patternFill patternType="solid">
        <fgColor rgb="FFFF0000"/>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rgb="FF7030A0"/>
        <bgColor indexed="64"/>
      </patternFill>
    </fill>
    <fill>
      <patternFill patternType="solid">
        <fgColor indexed="12"/>
        <bgColor indexed="64"/>
      </patternFill>
    </fill>
    <fill>
      <patternFill patternType="solid">
        <fgColor theme="0" tint="-0.14999847407452621"/>
        <bgColor indexed="64"/>
      </patternFill>
    </fill>
    <fill>
      <patternFill patternType="solid">
        <fgColor rgb="FFFF0066"/>
        <bgColor indexed="64"/>
      </patternFill>
    </fill>
    <fill>
      <patternFill patternType="solid">
        <fgColor rgb="FF9966FF"/>
        <bgColor indexed="64"/>
      </patternFill>
    </fill>
    <fill>
      <patternFill patternType="solid">
        <fgColor rgb="FFFFFF00"/>
        <bgColor indexed="64"/>
      </patternFill>
    </fill>
  </fills>
  <borders count="129">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style="thin">
        <color indexed="64"/>
      </top>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double">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right style="thin">
        <color indexed="64"/>
      </right>
      <top style="thin">
        <color indexed="64"/>
      </top>
      <bottom style="double">
        <color indexed="64"/>
      </bottom>
      <diagonal/>
    </border>
    <border>
      <left style="double">
        <color indexed="64"/>
      </left>
      <right style="double">
        <color indexed="64"/>
      </right>
      <top style="double">
        <color indexed="64"/>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double">
        <color indexed="64"/>
      </left>
      <right style="double">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double">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double">
        <color indexed="64"/>
      </right>
      <top style="hair">
        <color indexed="64"/>
      </top>
      <bottom/>
      <diagonal/>
    </border>
    <border>
      <left style="double">
        <color indexed="64"/>
      </left>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medium">
        <color indexed="64"/>
      </top>
      <bottom style="hair">
        <color indexed="64"/>
      </bottom>
      <diagonal/>
    </border>
    <border>
      <left style="hair">
        <color indexed="64"/>
      </left>
      <right style="double">
        <color indexed="64"/>
      </right>
      <top/>
      <bottom style="hair">
        <color indexed="64"/>
      </bottom>
      <diagonal/>
    </border>
    <border>
      <left style="double">
        <color indexed="64"/>
      </left>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thin">
        <color indexed="64"/>
      </right>
      <top/>
      <bottom style="double">
        <color indexed="64"/>
      </bottom>
      <diagonal/>
    </border>
    <border>
      <left style="double">
        <color indexed="64"/>
      </left>
      <right style="thin">
        <color indexed="64"/>
      </right>
      <top style="thin">
        <color indexed="64"/>
      </top>
      <bottom/>
      <diagonal/>
    </border>
    <border>
      <left style="thin">
        <color indexed="64"/>
      </left>
      <right/>
      <top/>
      <bottom style="double">
        <color indexed="64"/>
      </bottom>
      <diagonal/>
    </border>
    <border>
      <left style="double">
        <color indexed="64"/>
      </left>
      <right style="double">
        <color indexed="64"/>
      </right>
      <top style="hair">
        <color indexed="64"/>
      </top>
      <bottom style="double">
        <color indexed="64"/>
      </bottom>
      <diagonal/>
    </border>
    <border>
      <left/>
      <right style="double">
        <color indexed="64"/>
      </right>
      <top style="double">
        <color indexed="64"/>
      </top>
      <bottom style="medium">
        <color indexed="64"/>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9"/>
      </top>
      <bottom style="double">
        <color indexed="64"/>
      </bottom>
      <diagonal/>
    </border>
    <border>
      <left style="medium">
        <color indexed="64"/>
      </left>
      <right style="thin">
        <color indexed="64"/>
      </right>
      <top/>
      <bottom style="thin">
        <color indexed="9"/>
      </bottom>
      <diagonal/>
    </border>
    <border>
      <left style="thin">
        <color indexed="64"/>
      </left>
      <right/>
      <top style="thin">
        <color indexed="64"/>
      </top>
      <bottom/>
      <diagonal/>
    </border>
    <border>
      <left/>
      <right style="double">
        <color indexed="64"/>
      </right>
      <top style="thin">
        <color indexed="64"/>
      </top>
      <bottom/>
      <diagonal/>
    </border>
    <border>
      <left style="double">
        <color indexed="64"/>
      </left>
      <right style="double">
        <color indexed="64"/>
      </right>
      <top style="medium">
        <color indexed="64"/>
      </top>
      <bottom style="hair">
        <color indexed="64"/>
      </bottom>
      <diagonal/>
    </border>
    <border>
      <left style="double">
        <color indexed="64"/>
      </left>
      <right style="double">
        <color indexed="64"/>
      </right>
      <top/>
      <bottom style="double">
        <color indexed="64"/>
      </bottom>
      <diagonal/>
    </border>
    <border>
      <left style="thin">
        <color indexed="64"/>
      </left>
      <right style="double">
        <color indexed="64"/>
      </right>
      <top style="thin">
        <color indexed="64"/>
      </top>
      <bottom/>
      <diagonal/>
    </border>
    <border>
      <left style="double">
        <color indexed="64"/>
      </left>
      <right/>
      <top style="double">
        <color indexed="64"/>
      </top>
      <bottom style="thick">
        <color theme="9" tint="-0.499984740745262"/>
      </bottom>
      <diagonal/>
    </border>
    <border>
      <left/>
      <right/>
      <top style="double">
        <color indexed="64"/>
      </top>
      <bottom style="thick">
        <color theme="9" tint="-0.499984740745262"/>
      </bottom>
      <diagonal/>
    </border>
    <border>
      <left/>
      <right style="double">
        <color indexed="64"/>
      </right>
      <top style="double">
        <color indexed="64"/>
      </top>
      <bottom style="thick">
        <color theme="9" tint="-0.499984740745262"/>
      </bottom>
      <diagonal/>
    </border>
    <border>
      <left style="double">
        <color indexed="64"/>
      </left>
      <right style="double">
        <color indexed="64"/>
      </right>
      <top/>
      <bottom style="hair">
        <color indexed="64"/>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bottom style="thin">
        <color indexed="64"/>
      </bottom>
      <diagonal/>
    </border>
    <border>
      <left style="thin">
        <color indexed="64"/>
      </left>
      <right style="thin">
        <color indexed="64"/>
      </right>
      <top/>
      <bottom style="thin">
        <color indexed="64"/>
      </bottom>
      <diagonal/>
    </border>
    <border>
      <left/>
      <right style="double">
        <color indexed="64"/>
      </right>
      <top/>
      <bottom style="thin">
        <color indexed="64"/>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medium">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bottom style="thin">
        <color indexed="64"/>
      </bottom>
      <diagonal/>
    </border>
    <border>
      <left style="double">
        <color indexed="64"/>
      </left>
      <right/>
      <top style="thin">
        <color indexed="64"/>
      </top>
      <bottom/>
      <diagonal/>
    </border>
    <border>
      <left/>
      <right/>
      <top style="double">
        <color indexed="64"/>
      </top>
      <bottom style="medium">
        <color indexed="64"/>
      </bottom>
      <diagonal/>
    </border>
    <border>
      <left/>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auto="1"/>
      </left>
      <right style="thin">
        <color auto="1"/>
      </right>
      <top style="double">
        <color auto="1"/>
      </top>
      <bottom style="thin">
        <color indexed="64"/>
      </bottom>
      <diagonal/>
    </border>
    <border>
      <left style="double">
        <color indexed="64"/>
      </left>
      <right style="double">
        <color indexed="64"/>
      </right>
      <top style="medium">
        <color indexed="64"/>
      </top>
      <bottom/>
      <diagonal/>
    </border>
    <border>
      <left style="double">
        <color indexed="64"/>
      </left>
      <right style="double">
        <color indexed="64"/>
      </right>
      <top style="hair">
        <color indexed="64"/>
      </top>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double">
        <color indexed="64"/>
      </left>
      <right/>
      <top style="medium">
        <color indexed="64"/>
      </top>
      <bottom style="hair">
        <color indexed="64"/>
      </bottom>
      <diagonal/>
    </border>
    <border>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double">
        <color indexed="64"/>
      </right>
      <top style="medium">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right style="thin">
        <color indexed="64"/>
      </right>
      <top/>
      <bottom style="double">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style="double">
        <color indexed="64"/>
      </left>
      <right style="double">
        <color indexed="64"/>
      </right>
      <top/>
      <bottom/>
      <diagonal/>
    </border>
    <border>
      <left style="double">
        <color indexed="64"/>
      </left>
      <right style="double">
        <color indexed="64"/>
      </right>
      <top/>
      <bottom style="thin">
        <color indexed="64"/>
      </bottom>
      <diagonal/>
    </border>
    <border>
      <left style="double">
        <color indexed="64"/>
      </left>
      <right style="thin">
        <color indexed="64"/>
      </right>
      <top style="medium">
        <color indexed="64"/>
      </top>
      <bottom style="hair">
        <color indexed="64"/>
      </bottom>
      <diagonal/>
    </border>
    <border>
      <left style="thin">
        <color indexed="64"/>
      </left>
      <right style="double">
        <color indexed="64"/>
      </right>
      <top style="medium">
        <color indexed="64"/>
      </top>
      <bottom style="hair">
        <color indexed="64"/>
      </bottom>
      <diagonal/>
    </border>
    <border>
      <left/>
      <right style="medium">
        <color auto="1"/>
      </right>
      <top style="thin">
        <color indexed="64"/>
      </top>
      <bottom style="double">
        <color indexed="64"/>
      </bottom>
      <diagonal/>
    </border>
    <border>
      <left style="double">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style="double">
        <color indexed="64"/>
      </left>
      <right style="thin">
        <color indexed="64"/>
      </right>
      <top/>
      <bottom style="thin">
        <color indexed="64"/>
      </bottom>
      <diagonal/>
    </border>
    <border>
      <left style="double">
        <color indexed="64"/>
      </left>
      <right style="double">
        <color indexed="64"/>
      </right>
      <top style="thin">
        <color indexed="64"/>
      </top>
      <bottom/>
      <diagonal/>
    </border>
  </borders>
  <cellStyleXfs count="11">
    <xf numFmtId="0" fontId="0" fillId="0" borderId="0"/>
    <xf numFmtId="0" fontId="33" fillId="0" borderId="0" applyNumberFormat="0" applyFill="0" applyBorder="0" applyAlignment="0" applyProtection="0">
      <alignment vertical="top"/>
      <protection locked="0"/>
    </xf>
    <xf numFmtId="9" fontId="2" fillId="0" borderId="0" applyFont="0" applyFill="0" applyBorder="0" applyAlignment="0" applyProtection="0"/>
    <xf numFmtId="9" fontId="5" fillId="0" borderId="0" applyFont="0" applyFill="0" applyBorder="0" applyAlignment="0" applyProtection="0"/>
    <xf numFmtId="0" fontId="38" fillId="0" borderId="0"/>
    <xf numFmtId="0" fontId="2" fillId="0" borderId="0"/>
    <xf numFmtId="0" fontId="39" fillId="0" borderId="0"/>
    <xf numFmtId="0" fontId="38" fillId="0" borderId="0" applyFill="0" applyBorder="0"/>
    <xf numFmtId="0" fontId="2" fillId="0" borderId="0"/>
    <xf numFmtId="0" fontId="1" fillId="0" borderId="0"/>
    <xf numFmtId="9" fontId="2" fillId="0" borderId="0" applyFont="0" applyFill="0" applyBorder="0" applyAlignment="0" applyProtection="0"/>
  </cellStyleXfs>
  <cellXfs count="492">
    <xf numFmtId="0" fontId="0" fillId="0" borderId="0" xfId="0"/>
    <xf numFmtId="0" fontId="2" fillId="0" borderId="13" xfId="0" applyFont="1" applyBorder="1" applyAlignment="1">
      <alignment horizontal="center" vertical="center"/>
    </xf>
    <xf numFmtId="0" fontId="2" fillId="0" borderId="13" xfId="0" quotePrefix="1" applyFont="1" applyBorder="1" applyAlignment="1">
      <alignment horizontal="center" vertical="center" wrapText="1"/>
    </xf>
    <xf numFmtId="49" fontId="2" fillId="0" borderId="13" xfId="2" applyNumberFormat="1" applyFont="1" applyFill="1" applyBorder="1" applyAlignment="1">
      <alignment horizontal="center" vertical="center"/>
    </xf>
    <xf numFmtId="0" fontId="2" fillId="0" borderId="13" xfId="0" applyFont="1" applyBorder="1" applyAlignment="1">
      <alignment horizontal="center" vertical="center" shrinkToFit="1"/>
    </xf>
    <xf numFmtId="164" fontId="2" fillId="0" borderId="13" xfId="0" applyNumberFormat="1" applyFont="1" applyBorder="1" applyAlignment="1">
      <alignment horizontal="center" vertical="center"/>
    </xf>
    <xf numFmtId="0" fontId="12" fillId="3" borderId="77" xfId="0" applyFont="1" applyFill="1" applyBorder="1" applyAlignment="1">
      <alignment horizontal="centerContinuous" vertical="center"/>
    </xf>
    <xf numFmtId="0" fontId="12" fillId="3" borderId="39" xfId="0" applyFont="1" applyFill="1" applyBorder="1" applyAlignment="1">
      <alignment horizontal="center" vertical="center"/>
    </xf>
    <xf numFmtId="0" fontId="12" fillId="3" borderId="39" xfId="0" applyFont="1" applyFill="1" applyBorder="1" applyAlignment="1">
      <alignment horizontal="center" vertical="center" wrapText="1"/>
    </xf>
    <xf numFmtId="0" fontId="12" fillId="3" borderId="78" xfId="0" applyFont="1" applyFill="1" applyBorder="1" applyAlignment="1">
      <alignment horizontal="center" vertical="center"/>
    </xf>
    <xf numFmtId="0" fontId="4" fillId="0" borderId="0" xfId="0" applyFont="1" applyAlignment="1">
      <alignment vertical="center"/>
    </xf>
    <xf numFmtId="0" fontId="50" fillId="11" borderId="38" xfId="0" applyFont="1" applyFill="1" applyBorder="1" applyAlignment="1">
      <alignment horizontal="center" vertical="center" wrapText="1"/>
    </xf>
    <xf numFmtId="1" fontId="54" fillId="11" borderId="68" xfId="0" applyNumberFormat="1" applyFont="1" applyFill="1" applyBorder="1" applyAlignment="1">
      <alignment horizontal="center" vertical="center"/>
    </xf>
    <xf numFmtId="1" fontId="2" fillId="0" borderId="68" xfId="0" applyNumberFormat="1" applyFont="1" applyBorder="1" applyAlignment="1">
      <alignment horizontal="center" vertical="center"/>
    </xf>
    <xf numFmtId="0" fontId="2" fillId="0" borderId="16" xfId="0" applyFont="1" applyBorder="1" applyAlignment="1">
      <alignment horizontal="center" vertical="center"/>
    </xf>
    <xf numFmtId="0" fontId="2" fillId="0" borderId="60" xfId="0" applyFont="1" applyBorder="1" applyAlignment="1">
      <alignment horizontal="center" vertical="center"/>
    </xf>
    <xf numFmtId="0" fontId="2" fillId="0" borderId="101" xfId="0" applyFont="1" applyBorder="1" applyAlignment="1">
      <alignment horizontal="center" vertical="center"/>
    </xf>
    <xf numFmtId="0" fontId="2" fillId="0" borderId="94" xfId="0" applyFont="1" applyBorder="1" applyAlignment="1">
      <alignment horizontal="center" vertical="center"/>
    </xf>
    <xf numFmtId="0" fontId="2" fillId="0" borderId="94" xfId="0" quotePrefix="1" applyFont="1" applyBorder="1" applyAlignment="1">
      <alignment horizontal="center" vertical="center" wrapText="1"/>
    </xf>
    <xf numFmtId="49" fontId="2" fillId="0" borderId="94" xfId="2" applyNumberFormat="1" applyFont="1" applyFill="1" applyBorder="1" applyAlignment="1">
      <alignment horizontal="center" vertical="center"/>
    </xf>
    <xf numFmtId="0" fontId="2" fillId="0" borderId="94" xfId="0" applyFont="1" applyBorder="1" applyAlignment="1">
      <alignment horizontal="center" vertical="center" shrinkToFit="1"/>
    </xf>
    <xf numFmtId="164" fontId="2" fillId="0" borderId="94" xfId="0" applyNumberFormat="1" applyFont="1" applyBorder="1" applyAlignment="1">
      <alignment horizontal="center" vertical="center"/>
    </xf>
    <xf numFmtId="1" fontId="54" fillId="11" borderId="102" xfId="0" applyNumberFormat="1" applyFont="1" applyFill="1" applyBorder="1" applyAlignment="1">
      <alignment horizontal="center" vertical="center"/>
    </xf>
    <xf numFmtId="0" fontId="2" fillId="0" borderId="72" xfId="0" quotePrefix="1" applyFont="1" applyBorder="1" applyAlignment="1">
      <alignment horizontal="center" vertical="center"/>
    </xf>
    <xf numFmtId="1" fontId="2" fillId="0" borderId="94" xfId="0" applyNumberFormat="1" applyFont="1" applyBorder="1" applyAlignment="1">
      <alignment horizontal="center" vertical="center"/>
    </xf>
    <xf numFmtId="0" fontId="36" fillId="2" borderId="73" xfId="0" applyFont="1" applyFill="1" applyBorder="1" applyAlignment="1">
      <alignment horizontal="right" vertical="center"/>
    </xf>
    <xf numFmtId="0" fontId="37" fillId="2" borderId="74" xfId="0" applyFont="1" applyFill="1" applyBorder="1" applyAlignment="1">
      <alignment horizontal="left" vertical="center"/>
    </xf>
    <xf numFmtId="0" fontId="20" fillId="2" borderId="74" xfId="0" applyFont="1" applyFill="1" applyBorder="1" applyAlignment="1">
      <alignment horizontal="left" vertical="center"/>
    </xf>
    <xf numFmtId="0" fontId="4" fillId="2" borderId="74" xfId="0" applyFont="1" applyFill="1" applyBorder="1" applyAlignment="1">
      <alignment horizontal="centerContinuous" vertical="center"/>
    </xf>
    <xf numFmtId="0" fontId="5" fillId="2" borderId="74" xfId="0" applyFont="1" applyFill="1" applyBorder="1" applyAlignment="1">
      <alignment horizontal="centerContinuous" vertical="center"/>
    </xf>
    <xf numFmtId="0" fontId="35" fillId="2" borderId="75" xfId="1" applyFont="1" applyFill="1" applyBorder="1" applyAlignment="1" applyProtection="1">
      <alignment horizontal="right" vertical="center"/>
    </xf>
    <xf numFmtId="0" fontId="5" fillId="0" borderId="0" xfId="0" applyFont="1" applyAlignment="1">
      <alignment vertical="center"/>
    </xf>
    <xf numFmtId="0" fontId="6" fillId="0" borderId="1" xfId="0" applyFont="1" applyBorder="1" applyAlignment="1">
      <alignment horizontal="right" vertical="center"/>
    </xf>
    <xf numFmtId="0" fontId="7" fillId="0" borderId="0" xfId="0" applyFont="1" applyAlignment="1">
      <alignment horizontal="centerContinuous" vertical="center"/>
    </xf>
    <xf numFmtId="0" fontId="6" fillId="0" borderId="0" xfId="0" applyFont="1" applyAlignment="1">
      <alignment horizontal="right" vertical="center"/>
    </xf>
    <xf numFmtId="0" fontId="7" fillId="0" borderId="0" xfId="0" applyFont="1" applyAlignment="1">
      <alignment horizontal="center" vertical="center"/>
    </xf>
    <xf numFmtId="0" fontId="0" fillId="0" borderId="0" xfId="0" applyAlignment="1">
      <alignment vertical="center"/>
    </xf>
    <xf numFmtId="0" fontId="7" fillId="0" borderId="2" xfId="0" applyFont="1" applyBorder="1" applyAlignment="1">
      <alignment horizontal="left" vertical="center"/>
    </xf>
    <xf numFmtId="0" fontId="6" fillId="4" borderId="82" xfId="0" applyFont="1" applyFill="1" applyBorder="1" applyAlignment="1">
      <alignment horizontal="right" vertical="center"/>
    </xf>
    <xf numFmtId="0" fontId="6" fillId="4" borderId="103" xfId="0" applyFont="1" applyFill="1" applyBorder="1" applyAlignment="1">
      <alignment horizontal="right" vertical="center"/>
    </xf>
    <xf numFmtId="0" fontId="7" fillId="0" borderId="0" xfId="0" applyFont="1" applyAlignment="1">
      <alignment horizontal="left" vertical="center"/>
    </xf>
    <xf numFmtId="0" fontId="8" fillId="2" borderId="14" xfId="0" applyFont="1" applyFill="1" applyBorder="1" applyAlignment="1">
      <alignment horizontal="right" vertical="center"/>
    </xf>
    <xf numFmtId="0" fontId="26" fillId="0" borderId="15" xfId="0" applyFont="1" applyBorder="1" applyAlignment="1">
      <alignment horizontal="center" vertical="center"/>
    </xf>
    <xf numFmtId="0" fontId="8" fillId="4" borderId="67" xfId="0" applyFont="1" applyFill="1" applyBorder="1" applyAlignment="1">
      <alignment horizontal="right" vertical="center"/>
    </xf>
    <xf numFmtId="49" fontId="17" fillId="0" borderId="35" xfId="0" applyNumberFormat="1" applyFont="1" applyBorder="1" applyAlignment="1">
      <alignment horizontal="center" vertical="center" shrinkToFit="1"/>
    </xf>
    <xf numFmtId="0" fontId="13" fillId="2" borderId="4" xfId="0" applyFont="1" applyFill="1" applyBorder="1" applyAlignment="1">
      <alignment horizontal="right" vertical="center"/>
    </xf>
    <xf numFmtId="0" fontId="7" fillId="0" borderId="3" xfId="0" quotePrefix="1" applyFont="1" applyBorder="1" applyAlignment="1">
      <alignment horizontal="center" vertical="center"/>
    </xf>
    <xf numFmtId="49" fontId="26" fillId="0" borderId="15" xfId="0" applyNumberFormat="1" applyFont="1" applyBorder="1" applyAlignment="1">
      <alignment horizontal="center" vertical="center"/>
    </xf>
    <xf numFmtId="0" fontId="8" fillId="4" borderId="65" xfId="0" applyFont="1" applyFill="1" applyBorder="1" applyAlignment="1">
      <alignment horizontal="right" vertical="center"/>
    </xf>
    <xf numFmtId="164" fontId="6" fillId="5" borderId="32" xfId="0" applyNumberFormat="1" applyFont="1" applyFill="1" applyBorder="1" applyAlignment="1">
      <alignment horizontal="center" vertical="center"/>
    </xf>
    <xf numFmtId="0" fontId="10" fillId="2" borderId="4" xfId="0" applyFont="1" applyFill="1" applyBorder="1" applyAlignment="1">
      <alignment horizontal="right" vertical="center"/>
    </xf>
    <xf numFmtId="0" fontId="9" fillId="0" borderId="3" xfId="0" quotePrefix="1" applyFont="1" applyBorder="1" applyAlignment="1">
      <alignment horizontal="center" vertical="center"/>
    </xf>
    <xf numFmtId="49" fontId="26" fillId="0" borderId="3" xfId="0" applyNumberFormat="1" applyFont="1" applyBorder="1" applyAlignment="1">
      <alignment horizontal="center" vertical="center"/>
    </xf>
    <xf numFmtId="0" fontId="6" fillId="0" borderId="31" xfId="0" applyFont="1" applyBorder="1" applyAlignment="1">
      <alignment horizontal="center" vertical="center"/>
    </xf>
    <xf numFmtId="0" fontId="40" fillId="2" borderId="4" xfId="0" applyFont="1" applyFill="1" applyBorder="1" applyAlignment="1">
      <alignment horizontal="right" vertical="center"/>
    </xf>
    <xf numFmtId="0" fontId="11" fillId="4" borderId="65" xfId="0" applyFont="1" applyFill="1" applyBorder="1" applyAlignment="1">
      <alignment horizontal="right" vertical="center"/>
    </xf>
    <xf numFmtId="0" fontId="22" fillId="2" borderId="4" xfId="0" applyFont="1" applyFill="1" applyBorder="1" applyAlignment="1">
      <alignment horizontal="right" vertical="center"/>
    </xf>
    <xf numFmtId="0" fontId="14" fillId="2" borderId="16" xfId="0" applyFont="1" applyFill="1" applyBorder="1" applyAlignment="1">
      <alignment horizontal="right" vertical="center"/>
    </xf>
    <xf numFmtId="49" fontId="26" fillId="0" borderId="27" xfId="0" applyNumberFormat="1" applyFont="1" applyBorder="1" applyAlignment="1">
      <alignment horizontal="center" vertical="center"/>
    </xf>
    <xf numFmtId="0" fontId="11" fillId="4" borderId="66" xfId="0" applyFont="1" applyFill="1" applyBorder="1" applyAlignment="1">
      <alignment horizontal="right" vertical="center"/>
    </xf>
    <xf numFmtId="0" fontId="3" fillId="0" borderId="1" xfId="0" applyFont="1" applyBorder="1" applyAlignment="1">
      <alignment vertical="center"/>
    </xf>
    <xf numFmtId="0" fontId="15" fillId="0" borderId="0" xfId="0" applyFont="1" applyAlignment="1">
      <alignment vertical="center"/>
    </xf>
    <xf numFmtId="0" fontId="16" fillId="0" borderId="0" xfId="0" applyFont="1" applyAlignment="1">
      <alignment vertical="center"/>
    </xf>
    <xf numFmtId="0" fontId="16" fillId="0" borderId="2" xfId="0" applyFont="1" applyBorder="1" applyAlignment="1">
      <alignment vertical="center"/>
    </xf>
    <xf numFmtId="0" fontId="7" fillId="0" borderId="5" xfId="0" applyFont="1" applyBorder="1" applyAlignment="1">
      <alignment vertical="center"/>
    </xf>
    <xf numFmtId="0" fontId="7" fillId="0" borderId="6" xfId="0" applyFont="1" applyBorder="1" applyAlignment="1">
      <alignment vertical="center"/>
    </xf>
    <xf numFmtId="0" fontId="7" fillId="0" borderId="7" xfId="0" applyFont="1" applyBorder="1" applyAlignment="1">
      <alignment vertical="center"/>
    </xf>
    <xf numFmtId="0" fontId="7" fillId="0" borderId="1" xfId="0" applyFont="1" applyBorder="1" applyAlignment="1">
      <alignment vertical="center"/>
    </xf>
    <xf numFmtId="0" fontId="7" fillId="0" borderId="0" xfId="0" applyFont="1" applyAlignment="1">
      <alignment vertical="center"/>
    </xf>
    <xf numFmtId="0" fontId="7" fillId="0" borderId="2" xfId="0" applyFont="1" applyBorder="1" applyAlignment="1">
      <alignment vertical="center"/>
    </xf>
    <xf numFmtId="0" fontId="7" fillId="0" borderId="8" xfId="0" applyFont="1" applyBorder="1" applyAlignment="1">
      <alignment vertical="center"/>
    </xf>
    <xf numFmtId="0" fontId="7" fillId="0" borderId="9" xfId="0" applyFont="1" applyBorder="1" applyAlignment="1">
      <alignment vertical="center"/>
    </xf>
    <xf numFmtId="0" fontId="7" fillId="0" borderId="10" xfId="0" applyFont="1" applyBorder="1" applyAlignment="1">
      <alignment vertical="center"/>
    </xf>
    <xf numFmtId="0" fontId="4" fillId="0" borderId="0" xfId="0" applyFont="1" applyAlignment="1">
      <alignment horizontal="right" vertical="center"/>
    </xf>
    <xf numFmtId="0" fontId="5" fillId="0" borderId="0" xfId="0" applyFont="1" applyAlignment="1">
      <alignment horizontal="left" vertical="center"/>
    </xf>
    <xf numFmtId="0" fontId="25" fillId="0" borderId="26" xfId="0" applyFont="1" applyBorder="1" applyAlignment="1">
      <alignment horizontal="centerContinuous" vertical="center"/>
    </xf>
    <xf numFmtId="0" fontId="16" fillId="0" borderId="0" xfId="0" applyFont="1" applyAlignment="1">
      <alignment horizontal="centerContinuous" vertical="center"/>
    </xf>
    <xf numFmtId="0" fontId="46" fillId="0" borderId="1" xfId="0" applyFont="1" applyBorder="1" applyAlignment="1">
      <alignment vertical="center"/>
    </xf>
    <xf numFmtId="0" fontId="7" fillId="0" borderId="28" xfId="0" applyFont="1" applyBorder="1" applyAlignment="1">
      <alignment horizontal="center" vertical="center"/>
    </xf>
    <xf numFmtId="0" fontId="47" fillId="0" borderId="28" xfId="0" applyFont="1" applyBorder="1" applyAlignment="1">
      <alignment horizontal="center" vertical="center" wrapText="1"/>
    </xf>
    <xf numFmtId="1" fontId="7" fillId="0" borderId="28" xfId="0" applyNumberFormat="1" applyFont="1" applyBorder="1" applyAlignment="1">
      <alignment horizontal="center" vertical="center" wrapText="1"/>
    </xf>
    <xf numFmtId="0" fontId="48" fillId="11" borderId="29" xfId="0" applyFont="1" applyFill="1" applyBorder="1" applyAlignment="1">
      <alignment horizontal="center" vertical="center"/>
    </xf>
    <xf numFmtId="49" fontId="7" fillId="0" borderId="28" xfId="0" applyNumberFormat="1" applyFont="1" applyBorder="1" applyAlignment="1">
      <alignment horizontal="center" vertical="center" wrapText="1"/>
    </xf>
    <xf numFmtId="0" fontId="7" fillId="0" borderId="2" xfId="0" applyFont="1" applyBorder="1" applyAlignment="1">
      <alignment horizontal="center" vertical="center"/>
    </xf>
    <xf numFmtId="0" fontId="49" fillId="0" borderId="1" xfId="0" applyFont="1" applyBorder="1" applyAlignment="1">
      <alignment vertical="center"/>
    </xf>
    <xf numFmtId="0" fontId="13" fillId="0" borderId="29" xfId="0" applyFont="1" applyBorder="1" applyAlignment="1">
      <alignment horizontal="center" vertical="center"/>
    </xf>
    <xf numFmtId="0" fontId="47" fillId="0" borderId="79" xfId="0" applyFont="1" applyBorder="1" applyAlignment="1">
      <alignment vertical="center"/>
    </xf>
    <xf numFmtId="0" fontId="7" fillId="0" borderId="80" xfId="0" applyFont="1" applyBorder="1" applyAlignment="1">
      <alignment horizontal="center" vertical="center"/>
    </xf>
    <xf numFmtId="0" fontId="50" fillId="0" borderId="80" xfId="0" applyFont="1" applyBorder="1" applyAlignment="1">
      <alignment horizontal="center" vertical="center" wrapText="1"/>
    </xf>
    <xf numFmtId="1" fontId="7" fillId="0" borderId="80" xfId="0" applyNumberFormat="1" applyFont="1" applyBorder="1" applyAlignment="1">
      <alignment horizontal="center" vertical="center" wrapText="1"/>
    </xf>
    <xf numFmtId="0" fontId="48" fillId="11" borderId="80" xfId="0" applyFont="1" applyFill="1" applyBorder="1" applyAlignment="1">
      <alignment horizontal="center" vertical="center"/>
    </xf>
    <xf numFmtId="49" fontId="7" fillId="0" borderId="80" xfId="0" applyNumberFormat="1" applyFont="1" applyBorder="1" applyAlignment="1">
      <alignment horizontal="center" vertical="center" wrapText="1"/>
    </xf>
    <xf numFmtId="0" fontId="7" fillId="0" borderId="81" xfId="0" quotePrefix="1" applyFont="1" applyBorder="1" applyAlignment="1">
      <alignment horizontal="center" vertical="center"/>
    </xf>
    <xf numFmtId="0" fontId="11" fillId="0" borderId="1" xfId="0" applyFont="1" applyBorder="1" applyAlignment="1">
      <alignment vertical="center"/>
    </xf>
    <xf numFmtId="49" fontId="17" fillId="0" borderId="28" xfId="0" applyNumberFormat="1" applyFont="1" applyBorder="1" applyAlignment="1">
      <alignment horizontal="center" vertical="center"/>
    </xf>
    <xf numFmtId="0" fontId="17" fillId="0" borderId="29" xfId="0" applyFont="1" applyBorder="1" applyAlignment="1">
      <alignment horizontal="center" vertical="center"/>
    </xf>
    <xf numFmtId="0" fontId="11" fillId="0" borderId="29" xfId="0" applyFont="1" applyBorder="1" applyAlignment="1">
      <alignment horizontal="center" vertical="center"/>
    </xf>
    <xf numFmtId="49" fontId="7" fillId="0" borderId="29" xfId="0" applyNumberFormat="1" applyFont="1" applyBorder="1" applyAlignment="1">
      <alignment horizontal="center" vertical="center"/>
    </xf>
    <xf numFmtId="0" fontId="7" fillId="0" borderId="30" xfId="0" applyFont="1" applyBorder="1" applyAlignment="1">
      <alignment horizontal="center" vertical="center"/>
    </xf>
    <xf numFmtId="0" fontId="19" fillId="0" borderId="0" xfId="0" applyFont="1" applyAlignment="1">
      <alignment vertical="center"/>
    </xf>
    <xf numFmtId="0" fontId="13" fillId="0" borderId="1" xfId="0" applyFont="1" applyBorder="1" applyAlignment="1">
      <alignment vertical="center"/>
    </xf>
    <xf numFmtId="49" fontId="24" fillId="0" borderId="28" xfId="0" applyNumberFormat="1" applyFont="1" applyBorder="1" applyAlignment="1">
      <alignment horizontal="center" vertical="center"/>
    </xf>
    <xf numFmtId="0" fontId="24" fillId="0" borderId="29" xfId="0" applyFont="1" applyBorder="1" applyAlignment="1">
      <alignment horizontal="center" vertical="center"/>
    </xf>
    <xf numFmtId="0" fontId="7" fillId="0" borderId="30" xfId="0" quotePrefix="1" applyFont="1" applyBorder="1" applyAlignment="1">
      <alignment horizontal="center" vertical="center"/>
    </xf>
    <xf numFmtId="0" fontId="32" fillId="0" borderId="0" xfId="0" applyFont="1" applyAlignment="1">
      <alignment vertical="center"/>
    </xf>
    <xf numFmtId="0" fontId="14" fillId="0" borderId="1" xfId="0" applyFont="1" applyBorder="1" applyAlignment="1">
      <alignment vertical="center"/>
    </xf>
    <xf numFmtId="49" fontId="23" fillId="0" borderId="28" xfId="0" applyNumberFormat="1" applyFont="1" applyBorder="1" applyAlignment="1">
      <alignment horizontal="center" vertical="center"/>
    </xf>
    <xf numFmtId="0" fontId="23" fillId="0" borderId="29" xfId="0" applyFont="1" applyBorder="1" applyAlignment="1">
      <alignment horizontal="center" vertical="center"/>
    </xf>
    <xf numFmtId="0" fontId="14" fillId="0" borderId="29" xfId="0" applyFont="1" applyBorder="1" applyAlignment="1">
      <alignment horizontal="center" vertical="center"/>
    </xf>
    <xf numFmtId="0" fontId="30" fillId="0" borderId="0" xfId="0" applyFont="1" applyAlignment="1">
      <alignment vertical="center"/>
    </xf>
    <xf numFmtId="0" fontId="8" fillId="0" borderId="1" xfId="0" applyFont="1" applyBorder="1" applyAlignment="1">
      <alignment vertical="center"/>
    </xf>
    <xf numFmtId="49" fontId="18" fillId="0" borderId="28" xfId="0" applyNumberFormat="1" applyFont="1" applyBorder="1" applyAlignment="1">
      <alignment horizontal="center" vertical="center"/>
    </xf>
    <xf numFmtId="0" fontId="18" fillId="0" borderId="29" xfId="0" applyFont="1" applyBorder="1" applyAlignment="1">
      <alignment horizontal="center" vertical="center"/>
    </xf>
    <xf numFmtId="0" fontId="8" fillId="0" borderId="29" xfId="0" applyFont="1" applyBorder="1" applyAlignment="1">
      <alignment horizontal="center" vertical="center"/>
    </xf>
    <xf numFmtId="0" fontId="29" fillId="0" borderId="0" xfId="0" applyFont="1" applyAlignment="1">
      <alignment vertical="center"/>
    </xf>
    <xf numFmtId="0" fontId="10" fillId="7" borderId="1" xfId="0" applyFont="1" applyFill="1" applyBorder="1" applyAlignment="1">
      <alignment vertical="center"/>
    </xf>
    <xf numFmtId="0" fontId="7" fillId="7" borderId="28" xfId="0" applyFont="1" applyFill="1" applyBorder="1" applyAlignment="1">
      <alignment horizontal="center" vertical="center"/>
    </xf>
    <xf numFmtId="49" fontId="27" fillId="7" borderId="28" xfId="0" applyNumberFormat="1" applyFont="1" applyFill="1" applyBorder="1" applyAlignment="1">
      <alignment horizontal="center" vertical="center"/>
    </xf>
    <xf numFmtId="0" fontId="27" fillId="7" borderId="29" xfId="0" applyFont="1" applyFill="1" applyBorder="1" applyAlignment="1">
      <alignment horizontal="center" vertical="center"/>
    </xf>
    <xf numFmtId="0" fontId="10" fillId="7" borderId="29" xfId="0" applyFont="1" applyFill="1" applyBorder="1" applyAlignment="1">
      <alignment horizontal="center" vertical="center"/>
    </xf>
    <xf numFmtId="49" fontId="7" fillId="7" borderId="29" xfId="0" applyNumberFormat="1" applyFont="1" applyFill="1" applyBorder="1" applyAlignment="1">
      <alignment horizontal="center" vertical="center"/>
    </xf>
    <xf numFmtId="0" fontId="7" fillId="7" borderId="30" xfId="0" applyFont="1" applyFill="1" applyBorder="1" applyAlignment="1">
      <alignment horizontal="center" vertical="center"/>
    </xf>
    <xf numFmtId="0" fontId="11" fillId="10" borderId="1" xfId="0" applyFont="1" applyFill="1" applyBorder="1" applyAlignment="1">
      <alignment vertical="center"/>
    </xf>
    <xf numFmtId="0" fontId="7" fillId="10" borderId="28" xfId="0" applyFont="1" applyFill="1" applyBorder="1" applyAlignment="1">
      <alignment horizontal="center" vertical="center"/>
    </xf>
    <xf numFmtId="49" fontId="17" fillId="10" borderId="28" xfId="0" applyNumberFormat="1" applyFont="1" applyFill="1" applyBorder="1" applyAlignment="1">
      <alignment horizontal="center" vertical="center"/>
    </xf>
    <xf numFmtId="0" fontId="17" fillId="10" borderId="29" xfId="0" applyFont="1" applyFill="1" applyBorder="1" applyAlignment="1">
      <alignment horizontal="center" vertical="center"/>
    </xf>
    <xf numFmtId="0" fontId="11" fillId="10" borderId="29" xfId="0" applyFont="1" applyFill="1" applyBorder="1" applyAlignment="1">
      <alignment horizontal="center" vertical="center"/>
    </xf>
    <xf numFmtId="49" fontId="7" fillId="10" borderId="29" xfId="0" applyNumberFormat="1" applyFont="1" applyFill="1" applyBorder="1" applyAlignment="1">
      <alignment horizontal="center" vertical="center"/>
    </xf>
    <xf numFmtId="0" fontId="7" fillId="10" borderId="30" xfId="0" applyFont="1" applyFill="1" applyBorder="1" applyAlignment="1">
      <alignment horizontal="center" vertical="center"/>
    </xf>
    <xf numFmtId="0" fontId="31" fillId="0" borderId="0" xfId="0" applyFont="1" applyAlignment="1">
      <alignment vertical="center"/>
    </xf>
    <xf numFmtId="0" fontId="11" fillId="7" borderId="1" xfId="0" applyFont="1" applyFill="1" applyBorder="1" applyAlignment="1">
      <alignment vertical="center"/>
    </xf>
    <xf numFmtId="49" fontId="17" fillId="7" borderId="28" xfId="0" applyNumberFormat="1" applyFont="1" applyFill="1" applyBorder="1" applyAlignment="1">
      <alignment horizontal="center" vertical="center"/>
    </xf>
    <xf numFmtId="0" fontId="17" fillId="7" borderId="29" xfId="0" applyFont="1" applyFill="1" applyBorder="1" applyAlignment="1">
      <alignment horizontal="center" vertical="center"/>
    </xf>
    <xf numFmtId="0" fontId="11" fillId="7" borderId="29" xfId="0" applyFont="1" applyFill="1" applyBorder="1" applyAlignment="1">
      <alignment horizontal="center" vertical="center"/>
    </xf>
    <xf numFmtId="0" fontId="14" fillId="7" borderId="1" xfId="0" applyFont="1" applyFill="1" applyBorder="1" applyAlignment="1">
      <alignment vertical="center"/>
    </xf>
    <xf numFmtId="49" fontId="23" fillId="7" borderId="28" xfId="0" applyNumberFormat="1" applyFont="1" applyFill="1" applyBorder="1" applyAlignment="1">
      <alignment horizontal="center" vertical="center"/>
    </xf>
    <xf numFmtId="0" fontId="23" fillId="7" borderId="29" xfId="0" applyFont="1" applyFill="1" applyBorder="1" applyAlignment="1">
      <alignment horizontal="center" vertical="center"/>
    </xf>
    <xf numFmtId="0" fontId="14" fillId="7" borderId="29" xfId="0" applyFont="1" applyFill="1" applyBorder="1" applyAlignment="1">
      <alignment horizontal="center" vertical="center"/>
    </xf>
    <xf numFmtId="0" fontId="14" fillId="10" borderId="1" xfId="0" applyFont="1" applyFill="1" applyBorder="1" applyAlignment="1">
      <alignment vertical="center"/>
    </xf>
    <xf numFmtId="49" fontId="23" fillId="10" borderId="28" xfId="0" applyNumberFormat="1" applyFont="1" applyFill="1" applyBorder="1" applyAlignment="1">
      <alignment horizontal="center" vertical="center"/>
    </xf>
    <xf numFmtId="0" fontId="23" fillId="10" borderId="29" xfId="0" applyFont="1" applyFill="1" applyBorder="1" applyAlignment="1">
      <alignment horizontal="center" vertical="center"/>
    </xf>
    <xf numFmtId="0" fontId="14" fillId="10" borderId="29" xfId="0" applyFont="1" applyFill="1" applyBorder="1" applyAlignment="1">
      <alignment horizontal="center" vertical="center"/>
    </xf>
    <xf numFmtId="0" fontId="22" fillId="0" borderId="1" xfId="0" applyFont="1" applyBorder="1" applyAlignment="1">
      <alignment vertical="center"/>
    </xf>
    <xf numFmtId="49" fontId="28" fillId="0" borderId="28" xfId="0" applyNumberFormat="1" applyFont="1" applyBorder="1" applyAlignment="1">
      <alignment horizontal="center" vertical="center"/>
    </xf>
    <xf numFmtId="0" fontId="28" fillId="0" borderId="29" xfId="0" applyFont="1" applyBorder="1" applyAlignment="1">
      <alignment horizontal="center" vertical="center"/>
    </xf>
    <xf numFmtId="0" fontId="22" fillId="0" borderId="29" xfId="0" applyFont="1" applyBorder="1" applyAlignment="1">
      <alignment horizontal="center" vertical="center"/>
    </xf>
    <xf numFmtId="0" fontId="13" fillId="7" borderId="1" xfId="0" applyFont="1" applyFill="1" applyBorder="1" applyAlignment="1">
      <alignment vertical="center"/>
    </xf>
    <xf numFmtId="49" fontId="24" fillId="7" borderId="28" xfId="0" applyNumberFormat="1" applyFont="1" applyFill="1" applyBorder="1" applyAlignment="1">
      <alignment horizontal="center" vertical="center"/>
    </xf>
    <xf numFmtId="0" fontId="24" fillId="7" borderId="29" xfId="0" applyFont="1" applyFill="1" applyBorder="1" applyAlignment="1">
      <alignment horizontal="center" vertical="center"/>
    </xf>
    <xf numFmtId="0" fontId="13" fillId="7" borderId="29" xfId="0" applyFont="1" applyFill="1" applyBorder="1" applyAlignment="1">
      <alignment horizontal="center" vertical="center"/>
    </xf>
    <xf numFmtId="0" fontId="22" fillId="7" borderId="1" xfId="0" applyFont="1" applyFill="1" applyBorder="1" applyAlignment="1">
      <alignment vertical="center"/>
    </xf>
    <xf numFmtId="49" fontId="28" fillId="7" borderId="28" xfId="0" applyNumberFormat="1" applyFont="1" applyFill="1" applyBorder="1" applyAlignment="1">
      <alignment horizontal="center" vertical="center"/>
    </xf>
    <xf numFmtId="0" fontId="28" fillId="7" borderId="29" xfId="0" applyFont="1" applyFill="1" applyBorder="1" applyAlignment="1">
      <alignment horizontal="center" vertical="center"/>
    </xf>
    <xf numFmtId="0" fontId="22" fillId="7" borderId="29" xfId="0" applyFont="1" applyFill="1" applyBorder="1" applyAlignment="1">
      <alignment horizontal="center" vertical="center"/>
    </xf>
    <xf numFmtId="0" fontId="14" fillId="9" borderId="1" xfId="0" applyFont="1" applyFill="1" applyBorder="1" applyAlignment="1">
      <alignment vertical="center"/>
    </xf>
    <xf numFmtId="0" fontId="7" fillId="9" borderId="28" xfId="0" applyFont="1" applyFill="1" applyBorder="1" applyAlignment="1">
      <alignment horizontal="center" vertical="center"/>
    </xf>
    <xf numFmtId="49" fontId="28" fillId="9" borderId="28" xfId="0" applyNumberFormat="1" applyFont="1" applyFill="1" applyBorder="1" applyAlignment="1">
      <alignment horizontal="center" vertical="center"/>
    </xf>
    <xf numFmtId="0" fontId="28" fillId="9" borderId="29" xfId="0" applyFont="1" applyFill="1" applyBorder="1" applyAlignment="1">
      <alignment horizontal="center" vertical="center"/>
    </xf>
    <xf numFmtId="0" fontId="22" fillId="9" borderId="29" xfId="0" applyFont="1" applyFill="1" applyBorder="1" applyAlignment="1">
      <alignment horizontal="center" vertical="center"/>
    </xf>
    <xf numFmtId="49" fontId="7" fillId="9" borderId="29" xfId="0" applyNumberFormat="1" applyFont="1" applyFill="1" applyBorder="1" applyAlignment="1">
      <alignment horizontal="center" vertical="center"/>
    </xf>
    <xf numFmtId="0" fontId="7" fillId="9" borderId="30" xfId="0" applyFont="1" applyFill="1" applyBorder="1" applyAlignment="1">
      <alignment horizontal="center" vertical="center"/>
    </xf>
    <xf numFmtId="0" fontId="13" fillId="10" borderId="1" xfId="0" applyFont="1" applyFill="1" applyBorder="1" applyAlignment="1">
      <alignment vertical="center"/>
    </xf>
    <xf numFmtId="49" fontId="24" fillId="10" borderId="28" xfId="0" applyNumberFormat="1" applyFont="1" applyFill="1" applyBorder="1" applyAlignment="1">
      <alignment horizontal="center" vertical="center"/>
    </xf>
    <xf numFmtId="0" fontId="24" fillId="10" borderId="29" xfId="0" applyFont="1" applyFill="1" applyBorder="1" applyAlignment="1">
      <alignment horizontal="center" vertical="center"/>
    </xf>
    <xf numFmtId="0" fontId="13" fillId="10" borderId="29" xfId="0" applyFont="1" applyFill="1" applyBorder="1" applyAlignment="1">
      <alignment horizontal="center" vertical="center"/>
    </xf>
    <xf numFmtId="0" fontId="7" fillId="10" borderId="30" xfId="0" quotePrefix="1" applyFont="1" applyFill="1" applyBorder="1" applyAlignment="1">
      <alignment horizontal="center" vertical="center"/>
    </xf>
    <xf numFmtId="0" fontId="13" fillId="0" borderId="8" xfId="0" applyFont="1" applyBorder="1" applyAlignment="1">
      <alignment vertical="center"/>
    </xf>
    <xf numFmtId="0" fontId="7" fillId="0" borderId="60" xfId="0" applyFont="1" applyBorder="1" applyAlignment="1">
      <alignment horizontal="center" vertical="center"/>
    </xf>
    <xf numFmtId="49" fontId="24" fillId="0" borderId="60" xfId="0" applyNumberFormat="1" applyFont="1" applyBorder="1" applyAlignment="1">
      <alignment horizontal="center" vertical="center"/>
    </xf>
    <xf numFmtId="0" fontId="24" fillId="0" borderId="62" xfId="0" applyFont="1" applyBorder="1" applyAlignment="1">
      <alignment horizontal="center" vertical="center"/>
    </xf>
    <xf numFmtId="0" fontId="13" fillId="0" borderId="62" xfId="0" applyFont="1" applyBorder="1" applyAlignment="1">
      <alignment horizontal="center" vertical="center"/>
    </xf>
    <xf numFmtId="49" fontId="7" fillId="0" borderId="62" xfId="0" applyNumberFormat="1" applyFont="1" applyBorder="1" applyAlignment="1">
      <alignment horizontal="center" vertical="center"/>
    </xf>
    <xf numFmtId="0" fontId="48" fillId="11" borderId="60" xfId="0" applyFont="1" applyFill="1" applyBorder="1" applyAlignment="1">
      <alignment horizontal="center" vertical="center"/>
    </xf>
    <xf numFmtId="0" fontId="7" fillId="0" borderId="36" xfId="0" applyFont="1" applyBorder="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4" fillId="0" borderId="0" xfId="0" applyFont="1" applyAlignment="1">
      <alignment horizontal="left" vertical="center"/>
    </xf>
    <xf numFmtId="0" fontId="7" fillId="0" borderId="0" xfId="0" applyFont="1" applyAlignment="1">
      <alignment vertical="center" wrapText="1"/>
    </xf>
    <xf numFmtId="0" fontId="7" fillId="0" borderId="0" xfId="0" applyFont="1" applyAlignment="1">
      <alignment horizontal="center" vertical="center" wrapText="1"/>
    </xf>
    <xf numFmtId="0" fontId="51" fillId="0" borderId="86" xfId="0" applyFont="1" applyBorder="1" applyAlignment="1">
      <alignment horizontal="centerContinuous" vertical="center" wrapText="1"/>
    </xf>
    <xf numFmtId="0" fontId="16" fillId="0" borderId="87" xfId="0" applyFont="1" applyBorder="1" applyAlignment="1">
      <alignment horizontal="centerContinuous" vertical="center" wrapText="1"/>
    </xf>
    <xf numFmtId="0" fontId="16" fillId="0" borderId="88" xfId="0" applyFont="1" applyBorder="1" applyAlignment="1">
      <alignment horizontal="centerContinuous" vertical="center" wrapText="1"/>
    </xf>
    <xf numFmtId="0" fontId="27" fillId="0" borderId="37" xfId="0" applyFont="1" applyBorder="1" applyAlignment="1">
      <alignment horizontal="centerContinuous" vertical="center"/>
    </xf>
    <xf numFmtId="0" fontId="41" fillId="0" borderId="37" xfId="0" applyFont="1" applyBorder="1" applyAlignment="1">
      <alignment horizontal="center" vertical="center" shrinkToFit="1"/>
    </xf>
    <xf numFmtId="0" fontId="12" fillId="12" borderId="79" xfId="0" applyFont="1" applyFill="1" applyBorder="1" applyAlignment="1">
      <alignment horizontal="centerContinuous" vertical="center" wrapText="1"/>
    </xf>
    <xf numFmtId="0" fontId="12" fillId="12" borderId="89" xfId="0" applyFont="1" applyFill="1" applyBorder="1" applyAlignment="1">
      <alignment horizontal="center" vertical="center" wrapText="1"/>
    </xf>
    <xf numFmtId="0" fontId="12" fillId="12" borderId="90" xfId="0" applyFont="1" applyFill="1" applyBorder="1" applyAlignment="1">
      <alignment horizontal="center" vertical="center" wrapText="1"/>
    </xf>
    <xf numFmtId="0" fontId="12" fillId="12" borderId="81" xfId="0" applyFont="1" applyFill="1" applyBorder="1" applyAlignment="1">
      <alignment horizontal="center" vertical="center" wrapText="1"/>
    </xf>
    <xf numFmtId="0" fontId="7" fillId="0" borderId="91" xfId="0" applyFont="1" applyBorder="1" applyAlignment="1">
      <alignment horizontal="center" vertical="center"/>
    </xf>
    <xf numFmtId="0" fontId="7" fillId="0" borderId="13" xfId="0" applyFont="1" applyBorder="1" applyAlignment="1">
      <alignment horizontal="center" vertical="center"/>
    </xf>
    <xf numFmtId="49" fontId="7" fillId="0" borderId="13" xfId="0" applyNumberFormat="1" applyFont="1" applyBorder="1" applyAlignment="1">
      <alignment horizontal="center" vertical="center"/>
    </xf>
    <xf numFmtId="0" fontId="52" fillId="5" borderId="72" xfId="2" applyNumberFormat="1" applyFont="1" applyFill="1" applyBorder="1" applyAlignment="1">
      <alignment horizontal="center" vertical="center" shrinkToFit="1"/>
    </xf>
    <xf numFmtId="0" fontId="7" fillId="0" borderId="1" xfId="0" applyFont="1" applyBorder="1" applyAlignment="1">
      <alignment horizontal="center" vertical="center"/>
    </xf>
    <xf numFmtId="49" fontId="7" fillId="0" borderId="28" xfId="0" applyNumberFormat="1" applyFont="1" applyBorder="1" applyAlignment="1">
      <alignment horizontal="center" vertical="center"/>
    </xf>
    <xf numFmtId="0" fontId="52" fillId="5" borderId="30" xfId="2" applyNumberFormat="1" applyFont="1" applyFill="1" applyBorder="1" applyAlignment="1">
      <alignment horizontal="center" vertical="center" shrinkToFit="1"/>
    </xf>
    <xf numFmtId="0" fontId="7" fillId="0" borderId="0" xfId="0" applyFont="1" applyAlignment="1">
      <alignment horizontal="left" vertical="center" wrapText="1"/>
    </xf>
    <xf numFmtId="0" fontId="17" fillId="0" borderId="71" xfId="0" applyFont="1" applyBorder="1" applyAlignment="1">
      <alignment horizontal="center" vertical="center" shrinkToFit="1"/>
    </xf>
    <xf numFmtId="0" fontId="7" fillId="0" borderId="8" xfId="0" applyFont="1" applyBorder="1" applyAlignment="1">
      <alignment horizontal="center" vertical="center"/>
    </xf>
    <xf numFmtId="49" fontId="7" fillId="0" borderId="60" xfId="0" applyNumberFormat="1" applyFont="1" applyBorder="1" applyAlignment="1">
      <alignment horizontal="center" vertical="center"/>
    </xf>
    <xf numFmtId="0" fontId="52" fillId="5" borderId="36" xfId="2" applyNumberFormat="1" applyFont="1" applyFill="1" applyBorder="1" applyAlignment="1">
      <alignment horizontal="center" vertical="center" shrinkToFit="1"/>
    </xf>
    <xf numFmtId="0" fontId="7" fillId="0" borderId="37" xfId="0" applyFont="1" applyBorder="1" applyAlignment="1">
      <alignment horizontal="centerContinuous" vertical="center"/>
    </xf>
    <xf numFmtId="0" fontId="7" fillId="0" borderId="70" xfId="0" applyFont="1" applyBorder="1" applyAlignment="1">
      <alignment horizontal="centerContinuous" vertical="center"/>
    </xf>
    <xf numFmtId="0" fontId="7" fillId="0" borderId="76" xfId="0" applyFont="1" applyBorder="1" applyAlignment="1">
      <alignment horizontal="centerContinuous" vertical="center"/>
    </xf>
    <xf numFmtId="0" fontId="7" fillId="0" borderId="71" xfId="0" applyFont="1" applyBorder="1" applyAlignment="1">
      <alignment horizontal="centerContinuous" vertical="center"/>
    </xf>
    <xf numFmtId="0" fontId="7" fillId="0" borderId="63" xfId="0" applyFont="1" applyBorder="1" applyAlignment="1">
      <alignment horizontal="centerContinuous" vertical="center"/>
    </xf>
    <xf numFmtId="0" fontId="6" fillId="0" borderId="0" xfId="0" applyFont="1" applyAlignment="1">
      <alignment horizontal="right" vertical="center" wrapText="1"/>
    </xf>
    <xf numFmtId="0" fontId="3" fillId="0" borderId="0" xfId="0" applyFont="1" applyAlignment="1">
      <alignment horizontal="centerContinuous" vertical="center"/>
    </xf>
    <xf numFmtId="0" fontId="21" fillId="8" borderId="17" xfId="0" applyFont="1" applyFill="1" applyBorder="1" applyAlignment="1">
      <alignment horizontal="center" vertical="center"/>
    </xf>
    <xf numFmtId="0" fontId="21" fillId="8" borderId="18" xfId="0" applyFont="1" applyFill="1" applyBorder="1" applyAlignment="1">
      <alignment horizontal="center" vertical="center"/>
    </xf>
    <xf numFmtId="49" fontId="21" fillId="8" borderId="18" xfId="0" applyNumberFormat="1" applyFont="1" applyFill="1" applyBorder="1" applyAlignment="1">
      <alignment horizontal="center" vertical="center"/>
    </xf>
    <xf numFmtId="0" fontId="21" fillId="8" borderId="22" xfId="0" applyFont="1" applyFill="1" applyBorder="1" applyAlignment="1">
      <alignment horizontal="center" vertical="center"/>
    </xf>
    <xf numFmtId="0" fontId="53" fillId="11" borderId="22" xfId="0" applyFont="1" applyFill="1" applyBorder="1" applyAlignment="1">
      <alignment horizontal="center" vertical="center"/>
    </xf>
    <xf numFmtId="0" fontId="21" fillId="8" borderId="19" xfId="0" applyFont="1" applyFill="1" applyBorder="1" applyAlignment="1">
      <alignment horizontal="center" vertical="center"/>
    </xf>
    <xf numFmtId="0" fontId="21" fillId="8" borderId="34" xfId="0" applyFont="1" applyFill="1" applyBorder="1" applyAlignment="1">
      <alignment horizontal="center" vertical="center"/>
    </xf>
    <xf numFmtId="1" fontId="54" fillId="11" borderId="62" xfId="0" applyNumberFormat="1" applyFont="1" applyFill="1" applyBorder="1" applyAlignment="1">
      <alignment horizontal="center" vertical="center"/>
    </xf>
    <xf numFmtId="1" fontId="2" fillId="0" borderId="62" xfId="0" applyNumberFormat="1" applyFont="1" applyBorder="1" applyAlignment="1">
      <alignment horizontal="center" vertical="center"/>
    </xf>
    <xf numFmtId="0" fontId="2" fillId="0" borderId="0" xfId="0" applyFont="1" applyAlignment="1">
      <alignment horizontal="center" vertical="center"/>
    </xf>
    <xf numFmtId="49" fontId="2" fillId="0" borderId="60" xfId="0" applyNumberFormat="1" applyFont="1" applyBorder="1" applyAlignment="1">
      <alignment horizontal="center" vertical="center"/>
    </xf>
    <xf numFmtId="164" fontId="2" fillId="0" borderId="60" xfId="0" applyNumberFormat="1" applyFont="1" applyBorder="1" applyAlignment="1">
      <alignment horizontal="center" vertical="center"/>
    </xf>
    <xf numFmtId="0" fontId="2" fillId="0" borderId="36" xfId="0" quotePrefix="1" applyFont="1" applyBorder="1" applyAlignment="1">
      <alignment horizontal="center" vertical="center"/>
    </xf>
    <xf numFmtId="0" fontId="5" fillId="0" borderId="0" xfId="0" applyFont="1" applyAlignment="1">
      <alignment horizontal="centerContinuous" vertical="center"/>
    </xf>
    <xf numFmtId="164" fontId="5" fillId="0" borderId="0" xfId="0" applyNumberFormat="1" applyFont="1" applyAlignment="1">
      <alignment horizontal="center" vertical="center"/>
    </xf>
    <xf numFmtId="0" fontId="21" fillId="8" borderId="22" xfId="0" applyFont="1" applyFill="1" applyBorder="1" applyAlignment="1">
      <alignment horizontal="centerContinuous" vertical="center"/>
    </xf>
    <xf numFmtId="0" fontId="21" fillId="8" borderId="92" xfId="0" applyFont="1" applyFill="1" applyBorder="1" applyAlignment="1">
      <alignment horizontal="centerContinuous" vertical="center"/>
    </xf>
    <xf numFmtId="0" fontId="21" fillId="8" borderId="64" xfId="0" applyFont="1" applyFill="1" applyBorder="1" applyAlignment="1">
      <alignment horizontal="centerContinuous" vertical="center"/>
    </xf>
    <xf numFmtId="164" fontId="2" fillId="0" borderId="68" xfId="0" applyNumberFormat="1" applyFont="1" applyBorder="1" applyAlignment="1">
      <alignment horizontal="centerContinuous" vertical="center"/>
    </xf>
    <xf numFmtId="164" fontId="2" fillId="0" borderId="93" xfId="0" applyNumberFormat="1" applyFont="1" applyBorder="1" applyAlignment="1">
      <alignment horizontal="centerContinuous" vertical="center"/>
    </xf>
    <xf numFmtId="0" fontId="5" fillId="0" borderId="69" xfId="0" quotePrefix="1" applyFont="1" applyBorder="1" applyAlignment="1">
      <alignment horizontal="centerContinuous" vertical="center"/>
    </xf>
    <xf numFmtId="0" fontId="2" fillId="0" borderId="96" xfId="0" applyFont="1" applyBorder="1" applyAlignment="1">
      <alignment horizontal="center" vertical="center"/>
    </xf>
    <xf numFmtId="0" fontId="5" fillId="0" borderId="97" xfId="0" applyFont="1" applyBorder="1" applyAlignment="1">
      <alignment horizontal="center" vertical="center"/>
    </xf>
    <xf numFmtId="9" fontId="5" fillId="0" borderId="97" xfId="0" applyNumberFormat="1" applyFont="1" applyBorder="1" applyAlignment="1">
      <alignment horizontal="center" vertical="center"/>
    </xf>
    <xf numFmtId="164" fontId="5" fillId="0" borderId="97" xfId="0" applyNumberFormat="1" applyFont="1" applyBorder="1" applyAlignment="1">
      <alignment horizontal="center" vertical="center"/>
    </xf>
    <xf numFmtId="164" fontId="5" fillId="0" borderId="98" xfId="0" applyNumberFormat="1" applyFont="1" applyBorder="1" applyAlignment="1">
      <alignment horizontal="centerContinuous" vertical="center"/>
    </xf>
    <xf numFmtId="164" fontId="5" fillId="0" borderId="99" xfId="0" applyNumberFormat="1" applyFont="1" applyBorder="1" applyAlignment="1">
      <alignment horizontal="centerContinuous" vertical="center"/>
    </xf>
    <xf numFmtId="0" fontId="5" fillId="0" borderId="100" xfId="0" applyFont="1" applyBorder="1" applyAlignment="1">
      <alignment horizontal="centerContinuous" vertical="center"/>
    </xf>
    <xf numFmtId="0" fontId="21" fillId="8" borderId="20" xfId="0" applyFont="1" applyFill="1" applyBorder="1" applyAlignment="1">
      <alignment horizontal="centerContinuous" vertical="center"/>
    </xf>
    <xf numFmtId="0" fontId="21" fillId="8" borderId="21" xfId="0" applyFont="1" applyFill="1" applyBorder="1" applyAlignment="1">
      <alignment horizontal="centerContinuous" vertical="center"/>
    </xf>
    <xf numFmtId="49" fontId="2" fillId="0" borderId="62" xfId="0" applyNumberFormat="1" applyFont="1" applyBorder="1" applyAlignment="1">
      <alignment horizontal="centerContinuous" vertical="center"/>
    </xf>
    <xf numFmtId="49" fontId="2" fillId="0" borderId="9" xfId="0" applyNumberFormat="1" applyFont="1" applyBorder="1" applyAlignment="1">
      <alignment horizontal="centerContinuous" vertical="center"/>
    </xf>
    <xf numFmtId="164" fontId="3" fillId="0" borderId="0" xfId="0" applyNumberFormat="1" applyFont="1" applyAlignment="1">
      <alignment horizontal="centerContinuous" vertical="center"/>
    </xf>
    <xf numFmtId="0" fontId="21" fillId="3" borderId="38" xfId="0" applyFont="1" applyFill="1" applyBorder="1" applyAlignment="1">
      <alignment horizontal="center" vertical="center"/>
    </xf>
    <xf numFmtId="164" fontId="21" fillId="3" borderId="39" xfId="0" applyNumberFormat="1" applyFont="1" applyFill="1" applyBorder="1" applyAlignment="1">
      <alignment horizontal="center" vertical="center"/>
    </xf>
    <xf numFmtId="0" fontId="21" fillId="3" borderId="38" xfId="0" applyFont="1" applyFill="1" applyBorder="1" applyAlignment="1">
      <alignment horizontal="right" vertical="center"/>
    </xf>
    <xf numFmtId="0" fontId="21" fillId="3" borderId="40" xfId="0" applyFont="1" applyFill="1" applyBorder="1" applyAlignment="1">
      <alignment vertical="center"/>
    </xf>
    <xf numFmtId="0" fontId="2" fillId="0" borderId="41" xfId="0" applyFont="1" applyBorder="1" applyAlignment="1">
      <alignment horizontal="center" vertical="center" shrinkToFit="1"/>
    </xf>
    <xf numFmtId="0" fontId="2" fillId="0" borderId="56" xfId="0" applyFont="1" applyBorder="1" applyAlignment="1">
      <alignment horizontal="center" vertical="center" shrinkToFit="1"/>
    </xf>
    <xf numFmtId="164" fontId="5" fillId="0" borderId="42" xfId="0" applyNumberFormat="1" applyFont="1" applyBorder="1" applyAlignment="1">
      <alignment horizontal="center" vertical="center" shrinkToFit="1"/>
    </xf>
    <xf numFmtId="0" fontId="2" fillId="0" borderId="43" xfId="0" applyFont="1" applyBorder="1" applyAlignment="1">
      <alignment horizontal="left" vertical="center"/>
    </xf>
    <xf numFmtId="0" fontId="5" fillId="0" borderId="44" xfId="0" applyFont="1" applyBorder="1" applyAlignment="1">
      <alignment horizontal="left" vertical="center" shrinkToFit="1"/>
    </xf>
    <xf numFmtId="0" fontId="2" fillId="0" borderId="42" xfId="0" applyFont="1" applyBorder="1" applyAlignment="1">
      <alignment horizontal="center" vertical="center" shrinkToFit="1"/>
    </xf>
    <xf numFmtId="164" fontId="2" fillId="0" borderId="42" xfId="0" applyNumberFormat="1" applyFont="1" applyBorder="1" applyAlignment="1">
      <alignment horizontal="center" vertical="center" shrinkToFit="1"/>
    </xf>
    <xf numFmtId="0" fontId="5" fillId="0" borderId="43" xfId="0" applyFont="1" applyBorder="1" applyAlignment="1">
      <alignment horizontal="left" vertical="center"/>
    </xf>
    <xf numFmtId="0" fontId="2" fillId="0" borderId="49" xfId="0" applyFont="1" applyBorder="1" applyAlignment="1">
      <alignment horizontal="center" vertical="center" shrinkToFit="1"/>
    </xf>
    <xf numFmtId="0" fontId="2" fillId="0" borderId="50" xfId="0" applyFont="1" applyBorder="1" applyAlignment="1">
      <alignment horizontal="center" vertical="center" shrinkToFit="1"/>
    </xf>
    <xf numFmtId="164" fontId="5" fillId="0" borderId="50" xfId="0" applyNumberFormat="1" applyFont="1" applyBorder="1" applyAlignment="1">
      <alignment horizontal="center" vertical="center" shrinkToFit="1"/>
    </xf>
    <xf numFmtId="0" fontId="2" fillId="0" borderId="51" xfId="0" applyFont="1" applyBorder="1" applyAlignment="1">
      <alignment horizontal="left" vertical="center"/>
    </xf>
    <xf numFmtId="0" fontId="5" fillId="0" borderId="52" xfId="0" applyFont="1" applyBorder="1" applyAlignment="1">
      <alignment horizontal="left" vertical="center" shrinkToFit="1"/>
    </xf>
    <xf numFmtId="164" fontId="3" fillId="0" borderId="0" xfId="0" applyNumberFormat="1" applyFont="1" applyAlignment="1">
      <alignment horizontal="centerContinuous" vertical="center" shrinkToFit="1"/>
    </xf>
    <xf numFmtId="0" fontId="3" fillId="0" borderId="0" xfId="0" applyFont="1" applyAlignment="1">
      <alignment horizontal="centerContinuous" vertical="center" shrinkToFit="1"/>
    </xf>
    <xf numFmtId="0" fontId="2" fillId="0" borderId="43" xfId="0" quotePrefix="1" applyFont="1" applyBorder="1" applyAlignment="1">
      <alignment horizontal="left" vertical="center"/>
    </xf>
    <xf numFmtId="0" fontId="2" fillId="0" borderId="45" xfId="0" applyFont="1" applyBorder="1" applyAlignment="1">
      <alignment horizontal="center" vertical="center" shrinkToFit="1"/>
    </xf>
    <xf numFmtId="164" fontId="5" fillId="0" borderId="46" xfId="0" applyNumberFormat="1" applyFont="1" applyBorder="1" applyAlignment="1">
      <alignment horizontal="center" vertical="center" shrinkToFit="1"/>
    </xf>
    <xf numFmtId="0" fontId="2" fillId="0" borderId="47" xfId="0" quotePrefix="1" applyFont="1" applyBorder="1" applyAlignment="1">
      <alignment horizontal="left" vertical="center"/>
    </xf>
    <xf numFmtId="0" fontId="5" fillId="0" borderId="47" xfId="0" applyFont="1" applyBorder="1" applyAlignment="1">
      <alignment horizontal="left" vertical="center"/>
    </xf>
    <xf numFmtId="0" fontId="5" fillId="0" borderId="48" xfId="0" applyFont="1" applyBorder="1" applyAlignment="1">
      <alignment horizontal="left" vertical="center" shrinkToFit="1"/>
    </xf>
    <xf numFmtId="0" fontId="2" fillId="0" borderId="47" xfId="0" applyFont="1" applyBorder="1" applyAlignment="1">
      <alignment horizontal="left" vertical="center"/>
    </xf>
    <xf numFmtId="0" fontId="3" fillId="0" borderId="0" xfId="0" applyFont="1" applyAlignment="1">
      <alignment vertical="center"/>
    </xf>
    <xf numFmtId="0" fontId="5" fillId="0" borderId="55" xfId="0" applyFont="1" applyBorder="1" applyAlignment="1">
      <alignment horizontal="center" vertical="center" shrinkToFit="1"/>
    </xf>
    <xf numFmtId="0" fontId="5" fillId="0" borderId="56" xfId="0" applyFont="1" applyBorder="1" applyAlignment="1">
      <alignment horizontal="center" vertical="center" shrinkToFit="1"/>
    </xf>
    <xf numFmtId="164" fontId="5" fillId="0" borderId="56" xfId="0" applyNumberFormat="1" applyFont="1" applyBorder="1" applyAlignment="1">
      <alignment horizontal="center" vertical="center" shrinkToFit="1"/>
    </xf>
    <xf numFmtId="0" fontId="5" fillId="0" borderId="57" xfId="0" applyFont="1" applyBorder="1" applyAlignment="1">
      <alignment horizontal="left" vertical="center"/>
    </xf>
    <xf numFmtId="0" fontId="5" fillId="0" borderId="53" xfId="0" applyFont="1" applyBorder="1" applyAlignment="1">
      <alignment horizontal="left" vertical="center" shrinkToFit="1"/>
    </xf>
    <xf numFmtId="0" fontId="5" fillId="0" borderId="42" xfId="0" applyFont="1" applyBorder="1" applyAlignment="1">
      <alignment horizontal="center" vertical="center" shrinkToFit="1"/>
    </xf>
    <xf numFmtId="164" fontId="5" fillId="0" borderId="58" xfId="0" applyNumberFormat="1" applyFont="1" applyBorder="1" applyAlignment="1">
      <alignment horizontal="center" vertical="center" shrinkToFit="1"/>
    </xf>
    <xf numFmtId="0" fontId="5" fillId="0" borderId="59" xfId="0" applyFont="1" applyBorder="1" applyAlignment="1">
      <alignment horizontal="left" vertical="center"/>
    </xf>
    <xf numFmtId="0" fontId="5" fillId="0" borderId="54" xfId="0" applyFont="1" applyBorder="1" applyAlignment="1">
      <alignment horizontal="left" vertical="center" shrinkToFit="1"/>
    </xf>
    <xf numFmtId="0" fontId="5" fillId="0" borderId="49" xfId="0" applyFont="1" applyBorder="1" applyAlignment="1">
      <alignment horizontal="center" vertical="center" shrinkToFit="1"/>
    </xf>
    <xf numFmtId="0" fontId="5" fillId="0" borderId="50" xfId="0" applyFont="1" applyBorder="1" applyAlignment="1">
      <alignment horizontal="center" vertical="center" shrinkToFit="1"/>
    </xf>
    <xf numFmtId="0" fontId="5" fillId="0" borderId="51" xfId="0" applyFont="1" applyBorder="1" applyAlignment="1">
      <alignment horizontal="left" vertical="center"/>
    </xf>
    <xf numFmtId="0" fontId="45" fillId="0" borderId="26" xfId="5" applyFont="1" applyBorder="1" applyAlignment="1">
      <alignment horizontal="centerContinuous" vertical="center" wrapText="1"/>
    </xf>
    <xf numFmtId="0" fontId="16" fillId="0" borderId="0" xfId="5" applyFont="1" applyAlignment="1">
      <alignment horizontal="centerContinuous" vertical="center" wrapText="1"/>
    </xf>
    <xf numFmtId="0" fontId="2" fillId="0" borderId="0" xfId="5" applyAlignment="1">
      <alignment vertical="center" wrapText="1"/>
    </xf>
    <xf numFmtId="0" fontId="12" fillId="6" borderId="23" xfId="5" applyFont="1" applyFill="1" applyBorder="1" applyAlignment="1">
      <alignment horizontal="centerContinuous" vertical="center" wrapText="1"/>
    </xf>
    <xf numFmtId="0" fontId="12" fillId="6" borderId="24" xfId="5" applyFont="1" applyFill="1" applyBorder="1" applyAlignment="1">
      <alignment horizontal="center" vertical="center" wrapText="1"/>
    </xf>
    <xf numFmtId="0" fontId="21" fillId="6" borderId="24" xfId="5" applyFont="1" applyFill="1" applyBorder="1" applyAlignment="1">
      <alignment horizontal="center" vertical="center" wrapText="1"/>
    </xf>
    <xf numFmtId="0" fontId="12" fillId="6" borderId="25" xfId="5" applyFont="1" applyFill="1" applyBorder="1" applyAlignment="1">
      <alignment horizontal="centerContinuous" vertical="center" wrapText="1"/>
    </xf>
    <xf numFmtId="0" fontId="4" fillId="0" borderId="0" xfId="5" applyFont="1" applyAlignment="1">
      <alignment vertical="center" wrapText="1"/>
    </xf>
    <xf numFmtId="0" fontId="44" fillId="0" borderId="1" xfId="5" applyFont="1" applyBorder="1" applyAlignment="1">
      <alignment horizontal="center" vertical="center" shrinkToFit="1"/>
    </xf>
    <xf numFmtId="0" fontId="7" fillId="0" borderId="28" xfId="5" applyFont="1" applyBorder="1" applyAlignment="1">
      <alignment horizontal="center" vertical="center" wrapText="1"/>
    </xf>
    <xf numFmtId="0" fontId="7" fillId="0" borderId="28" xfId="5" applyFont="1" applyBorder="1" applyAlignment="1">
      <alignment horizontal="center" vertical="center" shrinkToFit="1"/>
    </xf>
    <xf numFmtId="9" fontId="7" fillId="0" borderId="29" xfId="2" applyFont="1" applyBorder="1" applyAlignment="1">
      <alignment horizontal="center" vertical="center" shrinkToFit="1"/>
    </xf>
    <xf numFmtId="0" fontId="7" fillId="0" borderId="29" xfId="2" applyNumberFormat="1" applyFont="1" applyBorder="1" applyAlignment="1">
      <alignment horizontal="center" vertical="center" shrinkToFit="1"/>
    </xf>
    <xf numFmtId="49" fontId="7" fillId="0" borderId="30" xfId="5" applyNumberFormat="1" applyFont="1" applyBorder="1" applyAlignment="1">
      <alignment horizontal="center" vertical="center" wrapText="1"/>
    </xf>
    <xf numFmtId="0" fontId="44" fillId="0" borderId="8" xfId="5" applyFont="1" applyBorder="1" applyAlignment="1">
      <alignment horizontal="center" vertical="center" shrinkToFit="1"/>
    </xf>
    <xf numFmtId="0" fontId="7" fillId="0" borderId="60" xfId="5" applyFont="1" applyBorder="1" applyAlignment="1">
      <alignment horizontal="center" vertical="center" wrapText="1"/>
    </xf>
    <xf numFmtId="0" fontId="7" fillId="0" borderId="60" xfId="2" applyNumberFormat="1" applyFont="1" applyBorder="1" applyAlignment="1">
      <alignment horizontal="center" vertical="center" shrinkToFit="1"/>
    </xf>
    <xf numFmtId="9" fontId="7" fillId="0" borderId="62" xfId="2" applyFont="1" applyBorder="1" applyAlignment="1">
      <alignment horizontal="center" vertical="center" shrinkToFit="1"/>
    </xf>
    <xf numFmtId="0" fontId="7" fillId="0" borderId="62" xfId="2" applyNumberFormat="1" applyFont="1" applyBorder="1" applyAlignment="1">
      <alignment horizontal="center" vertical="center" shrinkToFit="1"/>
    </xf>
    <xf numFmtId="0" fontId="7" fillId="0" borderId="36" xfId="5" quotePrefix="1" applyFont="1" applyBorder="1" applyAlignment="1">
      <alignment horizontal="center" vertical="center" wrapText="1"/>
    </xf>
    <xf numFmtId="0" fontId="43" fillId="0" borderId="0" xfId="5" applyFont="1" applyAlignment="1">
      <alignment vertical="center" wrapText="1"/>
    </xf>
    <xf numFmtId="0" fontId="7" fillId="0" borderId="0" xfId="5" applyFont="1" applyAlignment="1">
      <alignment horizontal="center" vertical="center" wrapText="1"/>
    </xf>
    <xf numFmtId="9" fontId="7" fillId="0" borderId="0" xfId="2" applyFont="1" applyFill="1" applyBorder="1" applyAlignment="1">
      <alignment horizontal="center" vertical="center" wrapText="1"/>
    </xf>
    <xf numFmtId="0" fontId="7" fillId="0" borderId="0" xfId="5" applyFont="1" applyAlignment="1">
      <alignment vertical="center" wrapText="1"/>
    </xf>
    <xf numFmtId="0" fontId="4" fillId="0" borderId="0" xfId="5" applyFont="1" applyAlignment="1">
      <alignment horizontal="right" vertical="center" wrapText="1"/>
    </xf>
    <xf numFmtId="0" fontId="2" fillId="0" borderId="0" xfId="5" applyAlignment="1">
      <alignment horizontal="left" vertical="center" wrapText="1"/>
    </xf>
    <xf numFmtId="0" fontId="2" fillId="0" borderId="97" xfId="0" applyFont="1" applyBorder="1" applyAlignment="1">
      <alignment horizontal="center" vertical="center"/>
    </xf>
    <xf numFmtId="164" fontId="5" fillId="0" borderId="68" xfId="0" applyNumberFormat="1" applyFont="1" applyBorder="1" applyAlignment="1">
      <alignment horizontal="center" vertical="center"/>
    </xf>
    <xf numFmtId="164" fontId="5" fillId="0" borderId="102" xfId="0" applyNumberFormat="1" applyFont="1" applyBorder="1" applyAlignment="1">
      <alignment horizontal="center" vertical="center"/>
    </xf>
    <xf numFmtId="164" fontId="2" fillId="0" borderId="62" xfId="0" applyNumberFormat="1" applyFont="1" applyBorder="1" applyAlignment="1">
      <alignment horizontal="center" vertical="center"/>
    </xf>
    <xf numFmtId="0" fontId="2" fillId="0" borderId="0" xfId="0" applyFont="1" applyAlignment="1">
      <alignment horizontal="centerContinuous" vertical="center"/>
    </xf>
    <xf numFmtId="0" fontId="41" fillId="0" borderId="37" xfId="0" applyFont="1" applyBorder="1" applyAlignment="1">
      <alignment horizontal="centerContinuous" vertical="center"/>
    </xf>
    <xf numFmtId="0" fontId="55" fillId="0" borderId="34" xfId="0" applyFont="1" applyBorder="1" applyAlignment="1">
      <alignment horizontal="centerContinuous" vertical="center" wrapText="1"/>
    </xf>
    <xf numFmtId="0" fontId="7" fillId="0" borderId="71" xfId="0" quotePrefix="1" applyFont="1" applyBorder="1" applyAlignment="1">
      <alignment horizontal="centerContinuous" vertical="center"/>
    </xf>
    <xf numFmtId="0" fontId="56" fillId="0" borderId="0" xfId="0" applyFont="1" applyAlignment="1">
      <alignment horizontal="center" vertical="center"/>
    </xf>
    <xf numFmtId="0" fontId="2" fillId="0" borderId="43" xfId="0" applyFont="1" applyBorder="1" applyAlignment="1">
      <alignment vertical="center"/>
    </xf>
    <xf numFmtId="0" fontId="2" fillId="0" borderId="51" xfId="0" quotePrefix="1" applyFont="1" applyBorder="1" applyAlignment="1">
      <alignment horizontal="left" vertical="center"/>
    </xf>
    <xf numFmtId="0" fontId="2" fillId="0" borderId="44" xfId="0" applyFont="1" applyBorder="1" applyAlignment="1">
      <alignment horizontal="left" vertical="center" shrinkToFit="1"/>
    </xf>
    <xf numFmtId="1" fontId="7" fillId="0" borderId="31" xfId="0" applyNumberFormat="1" applyFont="1" applyBorder="1" applyAlignment="1">
      <alignment horizontal="center" vertical="center"/>
    </xf>
    <xf numFmtId="1" fontId="2" fillId="0" borderId="37" xfId="0" applyNumberFormat="1" applyFont="1" applyBorder="1" applyAlignment="1">
      <alignment horizontal="center" vertical="center"/>
    </xf>
    <xf numFmtId="1" fontId="2" fillId="0" borderId="104" xfId="0" applyNumberFormat="1" applyFont="1" applyBorder="1" applyAlignment="1">
      <alignment horizontal="center" vertical="center"/>
    </xf>
    <xf numFmtId="1" fontId="2" fillId="13" borderId="105" xfId="0" applyNumberFormat="1" applyFont="1" applyFill="1" applyBorder="1" applyAlignment="1">
      <alignment horizontal="center" vertical="center"/>
    </xf>
    <xf numFmtId="1" fontId="2" fillId="13" borderId="63" xfId="0" applyNumberFormat="1" applyFont="1" applyFill="1" applyBorder="1" applyAlignment="1">
      <alignment horizontal="center" vertical="center"/>
    </xf>
    <xf numFmtId="1" fontId="2" fillId="0" borderId="63" xfId="0" applyNumberFormat="1" applyFont="1" applyBorder="1" applyAlignment="1">
      <alignment horizontal="center" vertical="center"/>
    </xf>
    <xf numFmtId="1" fontId="5" fillId="0" borderId="0" xfId="0" applyNumberFormat="1" applyFont="1" applyAlignment="1">
      <alignment vertical="center"/>
    </xf>
    <xf numFmtId="1" fontId="4" fillId="0" borderId="0" xfId="0" applyNumberFormat="1" applyFont="1" applyAlignment="1">
      <alignment horizontal="center" vertical="center"/>
    </xf>
    <xf numFmtId="1" fontId="5" fillId="0" borderId="0" xfId="0" applyNumberFormat="1" applyFont="1" applyAlignment="1">
      <alignment horizontal="center" vertical="center"/>
    </xf>
    <xf numFmtId="1" fontId="2" fillId="0" borderId="0" xfId="0" applyNumberFormat="1" applyFont="1" applyAlignment="1">
      <alignment horizontal="center" vertical="center"/>
    </xf>
    <xf numFmtId="0" fontId="58" fillId="0" borderId="34" xfId="0" applyFont="1" applyBorder="1" applyAlignment="1">
      <alignment horizontal="centerContinuous" vertical="center" wrapText="1"/>
    </xf>
    <xf numFmtId="0" fontId="59" fillId="0" borderId="34" xfId="0" applyFont="1" applyBorder="1" applyAlignment="1">
      <alignment horizontal="centerContinuous" vertical="center"/>
    </xf>
    <xf numFmtId="0" fontId="60" fillId="0" borderId="34" xfId="0" applyFont="1" applyBorder="1" applyAlignment="1">
      <alignment horizontal="centerContinuous" vertical="center" wrapText="1"/>
    </xf>
    <xf numFmtId="0" fontId="21" fillId="8" borderId="106" xfId="0" applyFont="1" applyFill="1" applyBorder="1" applyAlignment="1">
      <alignment horizontal="center" vertical="center"/>
    </xf>
    <xf numFmtId="0" fontId="21" fillId="8" borderId="107" xfId="0" applyFont="1" applyFill="1" applyBorder="1" applyAlignment="1">
      <alignment horizontal="centerContinuous" vertical="center"/>
    </xf>
    <xf numFmtId="0" fontId="2" fillId="0" borderId="0" xfId="0" applyFont="1" applyAlignment="1">
      <alignment vertical="center"/>
    </xf>
    <xf numFmtId="0" fontId="2" fillId="0" borderId="108" xfId="0" applyFont="1" applyBorder="1" applyAlignment="1">
      <alignment horizontal="centerContinuous" vertical="center" shrinkToFit="1"/>
    </xf>
    <xf numFmtId="0" fontId="21" fillId="0" borderId="109" xfId="0" applyFont="1" applyBorder="1" applyAlignment="1">
      <alignment horizontal="centerContinuous" vertical="center"/>
    </xf>
    <xf numFmtId="0" fontId="2" fillId="0" borderId="110" xfId="0" applyFont="1" applyBorder="1" applyAlignment="1">
      <alignment horizontal="center" vertical="center"/>
    </xf>
    <xf numFmtId="0" fontId="2" fillId="0" borderId="111" xfId="0" applyFont="1" applyBorder="1" applyAlignment="1">
      <alignment horizontal="centerContinuous" vertical="center"/>
    </xf>
    <xf numFmtId="0" fontId="2" fillId="0" borderId="112" xfId="0" applyFont="1" applyBorder="1" applyAlignment="1">
      <alignment horizontal="centerContinuous" vertical="center"/>
    </xf>
    <xf numFmtId="164" fontId="2" fillId="0" borderId="37" xfId="0" applyNumberFormat="1" applyFont="1" applyBorder="1" applyAlignment="1">
      <alignment horizontal="center" vertical="center"/>
    </xf>
    <xf numFmtId="0" fontId="2" fillId="0" borderId="41" xfId="0" applyFont="1" applyBorder="1" applyAlignment="1">
      <alignment horizontal="centerContinuous" vertical="center" shrinkToFit="1"/>
    </xf>
    <xf numFmtId="0" fontId="21" fillId="0" borderId="113" xfId="0" applyFont="1" applyBorder="1" applyAlignment="1">
      <alignment horizontal="centerContinuous" vertical="center"/>
    </xf>
    <xf numFmtId="0" fontId="2" fillId="0" borderId="102" xfId="0" applyFont="1" applyBorder="1" applyAlignment="1">
      <alignment horizontal="centerContinuous" vertical="center"/>
    </xf>
    <xf numFmtId="0" fontId="2" fillId="0" borderId="114" xfId="0" applyFont="1" applyBorder="1" applyAlignment="1">
      <alignment horizontal="centerContinuous" vertical="center"/>
    </xf>
    <xf numFmtId="0" fontId="2" fillId="0" borderId="49" xfId="0" applyFont="1" applyBorder="1" applyAlignment="1">
      <alignment horizontal="centerContinuous" vertical="center" shrinkToFit="1"/>
    </xf>
    <xf numFmtId="0" fontId="21" fillId="0" borderId="99" xfId="0" applyFont="1" applyBorder="1" applyAlignment="1">
      <alignment horizontal="centerContinuous" vertical="center"/>
    </xf>
    <xf numFmtId="0" fontId="2" fillId="0" borderId="98" xfId="0" applyFont="1" applyBorder="1" applyAlignment="1">
      <alignment horizontal="centerContinuous" vertical="center"/>
    </xf>
    <xf numFmtId="0" fontId="2" fillId="0" borderId="100" xfId="0" applyFont="1" applyBorder="1" applyAlignment="1">
      <alignment horizontal="centerContinuous" vertical="center"/>
    </xf>
    <xf numFmtId="164" fontId="2" fillId="0" borderId="63" xfId="0" applyNumberFormat="1" applyFont="1" applyBorder="1" applyAlignment="1">
      <alignment horizontal="center" vertical="center"/>
    </xf>
    <xf numFmtId="0" fontId="2" fillId="0" borderId="8" xfId="0" applyFont="1" applyBorder="1" applyAlignment="1">
      <alignment horizontal="centerContinuous" vertical="center"/>
    </xf>
    <xf numFmtId="0" fontId="5" fillId="0" borderId="115" xfId="0" applyFont="1" applyBorder="1" applyAlignment="1">
      <alignment horizontal="centerContinuous" vertical="center"/>
    </xf>
    <xf numFmtId="0" fontId="5" fillId="0" borderId="62" xfId="0" applyFont="1" applyBorder="1" applyAlignment="1">
      <alignment horizontal="centerContinuous" vertical="center"/>
    </xf>
    <xf numFmtId="164" fontId="5" fillId="0" borderId="60" xfId="0" applyNumberFormat="1" applyFont="1" applyBorder="1" applyAlignment="1">
      <alignment horizontal="center" vertical="center"/>
    </xf>
    <xf numFmtId="0" fontId="5" fillId="0" borderId="10" xfId="0" applyFont="1" applyBorder="1" applyAlignment="1">
      <alignment horizontal="centerContinuous" vertical="center"/>
    </xf>
    <xf numFmtId="0" fontId="2" fillId="0" borderId="108" xfId="0" applyFont="1" applyBorder="1" applyAlignment="1">
      <alignment horizontal="centerContinuous" vertical="center"/>
    </xf>
    <xf numFmtId="0" fontId="5" fillId="0" borderId="116" xfId="0" applyFont="1" applyBorder="1" applyAlignment="1">
      <alignment horizontal="centerContinuous" vertical="center"/>
    </xf>
    <xf numFmtId="0" fontId="5" fillId="0" borderId="111" xfId="0" applyFont="1" applyBorder="1" applyAlignment="1">
      <alignment horizontal="centerContinuous" vertical="center"/>
    </xf>
    <xf numFmtId="164" fontId="5" fillId="0" borderId="110" xfId="0" applyNumberFormat="1" applyFont="1" applyBorder="1" applyAlignment="1">
      <alignment horizontal="center" vertical="center"/>
    </xf>
    <xf numFmtId="49" fontId="2" fillId="0" borderId="110" xfId="0" applyNumberFormat="1" applyFont="1" applyBorder="1" applyAlignment="1">
      <alignment horizontal="center" vertical="center"/>
    </xf>
    <xf numFmtId="49" fontId="2" fillId="0" borderId="111" xfId="0" applyNumberFormat="1" applyFont="1" applyBorder="1" applyAlignment="1">
      <alignment horizontal="centerContinuous" vertical="center"/>
    </xf>
    <xf numFmtId="49" fontId="2" fillId="0" borderId="109" xfId="0" applyNumberFormat="1" applyFont="1" applyBorder="1" applyAlignment="1">
      <alignment horizontal="centerContinuous" vertical="center"/>
    </xf>
    <xf numFmtId="0" fontId="5" fillId="0" borderId="112" xfId="0" applyFont="1" applyBorder="1" applyAlignment="1">
      <alignment horizontal="centerContinuous" vertical="center"/>
    </xf>
    <xf numFmtId="1" fontId="2" fillId="13" borderId="70" xfId="0" applyNumberFormat="1" applyFont="1" applyFill="1" applyBorder="1" applyAlignment="1">
      <alignment horizontal="center" vertical="center"/>
    </xf>
    <xf numFmtId="0" fontId="61" fillId="0" borderId="94" xfId="0" applyFont="1" applyBorder="1" applyAlignment="1">
      <alignment horizontal="center" vertical="center"/>
    </xf>
    <xf numFmtId="0" fontId="2" fillId="0" borderId="41" xfId="0" applyFont="1" applyBorder="1" applyAlignment="1">
      <alignment horizontal="centerContinuous" vertical="center"/>
    </xf>
    <xf numFmtId="0" fontId="5" fillId="0" borderId="117" xfId="0" applyFont="1" applyBorder="1" applyAlignment="1">
      <alignment horizontal="centerContinuous" vertical="center"/>
    </xf>
    <xf numFmtId="0" fontId="5" fillId="0" borderId="102" xfId="0" applyFont="1" applyBorder="1" applyAlignment="1">
      <alignment horizontal="centerContinuous" vertical="center"/>
    </xf>
    <xf numFmtId="164" fontId="5" fillId="0" borderId="94" xfId="0" applyNumberFormat="1" applyFont="1" applyBorder="1" applyAlignment="1">
      <alignment horizontal="center" vertical="center"/>
    </xf>
    <xf numFmtId="49" fontId="2" fillId="0" borderId="94" xfId="0" applyNumberFormat="1" applyFont="1" applyBorder="1" applyAlignment="1">
      <alignment horizontal="center" vertical="center"/>
    </xf>
    <xf numFmtId="49" fontId="2" fillId="0" borderId="102" xfId="0" applyNumberFormat="1" applyFont="1" applyBorder="1" applyAlignment="1">
      <alignment horizontal="centerContinuous" vertical="center"/>
    </xf>
    <xf numFmtId="49" fontId="2" fillId="0" borderId="113" xfId="0" applyNumberFormat="1" applyFont="1" applyBorder="1" applyAlignment="1">
      <alignment horizontal="centerContinuous" vertical="center"/>
    </xf>
    <xf numFmtId="0" fontId="5" fillId="0" borderId="114" xfId="0" applyFont="1" applyBorder="1" applyAlignment="1">
      <alignment horizontal="centerContinuous" vertical="center"/>
    </xf>
    <xf numFmtId="0" fontId="2" fillId="0" borderId="28" xfId="0" quotePrefix="1" applyFont="1" applyBorder="1" applyAlignment="1">
      <alignment horizontal="center" vertical="center" wrapText="1"/>
    </xf>
    <xf numFmtId="49" fontId="2" fillId="0" borderId="28" xfId="2" applyNumberFormat="1" applyFont="1" applyFill="1" applyBorder="1" applyAlignment="1">
      <alignment horizontal="center" vertical="center"/>
    </xf>
    <xf numFmtId="0" fontId="2" fillId="0" borderId="28" xfId="0" applyFont="1" applyBorder="1" applyAlignment="1">
      <alignment horizontal="center" vertical="center" shrinkToFit="1"/>
    </xf>
    <xf numFmtId="164" fontId="2" fillId="0" borderId="28" xfId="0" applyNumberFormat="1" applyFont="1" applyBorder="1" applyAlignment="1">
      <alignment horizontal="center" vertical="center"/>
    </xf>
    <xf numFmtId="1" fontId="2" fillId="0" borderId="29" xfId="0" applyNumberFormat="1" applyFont="1" applyBorder="1" applyAlignment="1">
      <alignment horizontal="center" vertical="center"/>
    </xf>
    <xf numFmtId="0" fontId="2" fillId="0" borderId="30" xfId="0" quotePrefix="1" applyFont="1" applyBorder="1" applyAlignment="1">
      <alignment horizontal="center" vertical="center"/>
    </xf>
    <xf numFmtId="1" fontId="2" fillId="0" borderId="118" xfId="0" applyNumberFormat="1" applyFont="1" applyBorder="1" applyAlignment="1">
      <alignment horizontal="center" vertical="center"/>
    </xf>
    <xf numFmtId="0" fontId="2" fillId="0" borderId="14" xfId="0" applyFont="1" applyBorder="1" applyAlignment="1">
      <alignment horizontal="center" vertical="center"/>
    </xf>
    <xf numFmtId="0" fontId="2" fillId="0" borderId="61" xfId="0" applyFont="1" applyBorder="1" applyAlignment="1">
      <alignment horizontal="center" vertical="center"/>
    </xf>
    <xf numFmtId="1" fontId="2" fillId="0" borderId="119" xfId="0" applyNumberFormat="1" applyFont="1" applyBorder="1" applyAlignment="1">
      <alignment horizontal="center" vertical="center"/>
    </xf>
    <xf numFmtId="0" fontId="2" fillId="0" borderId="61" xfId="0" applyFont="1" applyBorder="1" applyAlignment="1">
      <alignment horizontal="center" vertical="center" shrinkToFit="1"/>
    </xf>
    <xf numFmtId="0" fontId="2" fillId="0" borderId="13" xfId="0" quotePrefix="1" applyFont="1" applyBorder="1" applyAlignment="1">
      <alignment horizontal="center" vertical="center"/>
    </xf>
    <xf numFmtId="9" fontId="2" fillId="0" borderId="13" xfId="0" applyNumberFormat="1" applyFont="1" applyBorder="1" applyAlignment="1">
      <alignment horizontal="center" vertical="center"/>
    </xf>
    <xf numFmtId="164" fontId="2" fillId="0" borderId="13" xfId="0" quotePrefix="1" applyNumberFormat="1" applyFont="1" applyBorder="1" applyAlignment="1">
      <alignment horizontal="center" vertical="center"/>
    </xf>
    <xf numFmtId="1" fontId="54" fillId="11" borderId="29" xfId="0" applyNumberFormat="1" applyFont="1" applyFill="1" applyBorder="1" applyAlignment="1">
      <alignment horizontal="center" vertical="center"/>
    </xf>
    <xf numFmtId="1" fontId="21" fillId="3" borderId="34" xfId="0" applyNumberFormat="1" applyFont="1" applyFill="1" applyBorder="1" applyAlignment="1">
      <alignment horizontal="center" vertical="center"/>
    </xf>
    <xf numFmtId="1" fontId="2" fillId="0" borderId="70" xfId="0" applyNumberFormat="1" applyFont="1" applyBorder="1" applyAlignment="1">
      <alignment horizontal="center" vertical="center" shrinkToFit="1"/>
    </xf>
    <xf numFmtId="1" fontId="2" fillId="13" borderId="76" xfId="0" applyNumberFormat="1" applyFont="1" applyFill="1" applyBorder="1" applyAlignment="1">
      <alignment horizontal="center" vertical="center" shrinkToFit="1"/>
    </xf>
    <xf numFmtId="1" fontId="2" fillId="0" borderId="37" xfId="0" applyNumberFormat="1" applyFont="1" applyBorder="1" applyAlignment="1">
      <alignment horizontal="center" vertical="center" shrinkToFit="1"/>
    </xf>
    <xf numFmtId="1" fontId="2" fillId="13" borderId="37" xfId="0" applyNumberFormat="1" applyFont="1" applyFill="1" applyBorder="1" applyAlignment="1">
      <alignment horizontal="center" vertical="center" shrinkToFit="1"/>
    </xf>
    <xf numFmtId="1" fontId="2" fillId="13" borderId="63" xfId="0" applyNumberFormat="1" applyFont="1" applyFill="1" applyBorder="1" applyAlignment="1">
      <alignment horizontal="center" vertical="center" shrinkToFit="1"/>
    </xf>
    <xf numFmtId="1" fontId="2" fillId="13" borderId="70" xfId="0" applyNumberFormat="1" applyFont="1" applyFill="1" applyBorder="1" applyAlignment="1">
      <alignment horizontal="center" vertical="center" shrinkToFit="1"/>
    </xf>
    <xf numFmtId="1" fontId="2" fillId="0" borderId="63" xfId="0" applyNumberFormat="1" applyFont="1" applyBorder="1" applyAlignment="1">
      <alignment horizontal="center" vertical="center" shrinkToFit="1"/>
    </xf>
    <xf numFmtId="1" fontId="7" fillId="0" borderId="29" xfId="0" applyNumberFormat="1" applyFont="1" applyBorder="1" applyAlignment="1">
      <alignment horizontal="center" vertical="center"/>
    </xf>
    <xf numFmtId="1" fontId="7" fillId="7" borderId="29" xfId="0" applyNumberFormat="1" applyFont="1" applyFill="1" applyBorder="1" applyAlignment="1">
      <alignment horizontal="center" vertical="center"/>
    </xf>
    <xf numFmtId="1" fontId="7" fillId="10" borderId="29" xfId="0" applyNumberFormat="1" applyFont="1" applyFill="1" applyBorder="1" applyAlignment="1">
      <alignment horizontal="center" vertical="center"/>
    </xf>
    <xf numFmtId="1" fontId="7" fillId="0" borderId="62" xfId="0" applyNumberFormat="1" applyFont="1" applyBorder="1" applyAlignment="1">
      <alignment horizontal="center" vertical="center"/>
    </xf>
    <xf numFmtId="0" fontId="2" fillId="14" borderId="16" xfId="0" applyFont="1" applyFill="1" applyBorder="1" applyAlignment="1">
      <alignment horizontal="center" vertical="center"/>
    </xf>
    <xf numFmtId="0" fontId="2" fillId="14" borderId="60" xfId="0" applyFont="1" applyFill="1" applyBorder="1" applyAlignment="1">
      <alignment horizontal="center" vertical="center"/>
    </xf>
    <xf numFmtId="0" fontId="5" fillId="14" borderId="60" xfId="0" quotePrefix="1" applyFont="1" applyFill="1" applyBorder="1" applyAlignment="1">
      <alignment horizontal="center" vertical="center" wrapText="1"/>
    </xf>
    <xf numFmtId="49" fontId="2" fillId="14" borderId="60" xfId="2" applyNumberFormat="1" applyFont="1" applyFill="1" applyBorder="1" applyAlignment="1">
      <alignment horizontal="center" vertical="center"/>
    </xf>
    <xf numFmtId="0" fontId="2" fillId="14" borderId="60" xfId="0" applyFont="1" applyFill="1" applyBorder="1" applyAlignment="1">
      <alignment horizontal="center" vertical="center" shrinkToFit="1"/>
    </xf>
    <xf numFmtId="164" fontId="5" fillId="14" borderId="60" xfId="0" applyNumberFormat="1" applyFont="1" applyFill="1" applyBorder="1" applyAlignment="1">
      <alignment horizontal="center" vertical="center"/>
    </xf>
    <xf numFmtId="164" fontId="5" fillId="14" borderId="62" xfId="0" applyNumberFormat="1" applyFont="1" applyFill="1" applyBorder="1" applyAlignment="1">
      <alignment horizontal="center" vertical="center"/>
    </xf>
    <xf numFmtId="1" fontId="2" fillId="14" borderId="62" xfId="0" applyNumberFormat="1" applyFont="1" applyFill="1" applyBorder="1" applyAlignment="1">
      <alignment horizontal="center" vertical="center"/>
    </xf>
    <xf numFmtId="0" fontId="2" fillId="14" borderId="36" xfId="0" quotePrefix="1" applyFont="1" applyFill="1" applyBorder="1" applyAlignment="1">
      <alignment horizontal="center" vertical="center"/>
    </xf>
    <xf numFmtId="1" fontId="7" fillId="0" borderId="85" xfId="0" applyNumberFormat="1" applyFont="1" applyBorder="1" applyAlignment="1">
      <alignment horizontal="center" vertical="center"/>
    </xf>
    <xf numFmtId="0" fontId="2" fillId="0" borderId="46" xfId="0" applyFont="1" applyBorder="1" applyAlignment="1">
      <alignment horizontal="center" vertical="center" shrinkToFit="1"/>
    </xf>
    <xf numFmtId="164" fontId="2" fillId="0" borderId="46" xfId="0" applyNumberFormat="1" applyFont="1" applyBorder="1" applyAlignment="1">
      <alignment horizontal="center" vertical="center" shrinkToFit="1"/>
    </xf>
    <xf numFmtId="1" fontId="7" fillId="0" borderId="12" xfId="0" applyNumberFormat="1" applyFont="1" applyBorder="1" applyAlignment="1">
      <alignment horizontal="center" vertical="center"/>
    </xf>
    <xf numFmtId="0" fontId="2" fillId="0" borderId="97" xfId="0" quotePrefix="1" applyFont="1" applyBorder="1" applyAlignment="1">
      <alignment horizontal="center" vertical="center"/>
    </xf>
    <xf numFmtId="0" fontId="62" fillId="0" borderId="37" xfId="0" applyFont="1" applyBorder="1" applyAlignment="1">
      <alignment horizontal="centerContinuous" vertical="center"/>
    </xf>
    <xf numFmtId="0" fontId="41" fillId="0" borderId="76" xfId="0" applyFont="1" applyBorder="1" applyAlignment="1">
      <alignment horizontal="center" vertical="center" shrinkToFit="1"/>
    </xf>
    <xf numFmtId="0" fontId="2" fillId="0" borderId="28" xfId="0" applyFont="1" applyBorder="1" applyAlignment="1">
      <alignment horizontal="center" vertical="center"/>
    </xf>
    <xf numFmtId="164" fontId="5" fillId="0" borderId="29" xfId="0" applyNumberFormat="1" applyFont="1" applyBorder="1" applyAlignment="1">
      <alignment horizontal="center" vertical="center"/>
    </xf>
    <xf numFmtId="1" fontId="2" fillId="0" borderId="28" xfId="2" applyNumberFormat="1" applyFont="1" applyFill="1" applyBorder="1" applyAlignment="1">
      <alignment horizontal="center" vertical="center"/>
    </xf>
    <xf numFmtId="1" fontId="7" fillId="9" borderId="29" xfId="0" applyNumberFormat="1" applyFont="1" applyFill="1" applyBorder="1" applyAlignment="1">
      <alignment horizontal="center" vertical="center"/>
    </xf>
    <xf numFmtId="0" fontId="2" fillId="0" borderId="84" xfId="0" applyFont="1" applyBorder="1" applyAlignment="1">
      <alignment horizontal="centerContinuous" vertical="center"/>
    </xf>
    <xf numFmtId="0" fontId="7" fillId="0" borderId="83" xfId="0" applyFont="1" applyBorder="1" applyAlignment="1">
      <alignment horizontal="centerContinuous" vertical="center"/>
    </xf>
    <xf numFmtId="49" fontId="7" fillId="0" borderId="27" xfId="0" applyNumberFormat="1" applyFont="1" applyBorder="1" applyAlignment="1">
      <alignment horizontal="centerContinuous" vertical="center"/>
    </xf>
    <xf numFmtId="0" fontId="6" fillId="4" borderId="11" xfId="0" applyFont="1" applyFill="1" applyBorder="1" applyAlignment="1">
      <alignment horizontal="right" vertical="center"/>
    </xf>
    <xf numFmtId="0" fontId="2" fillId="0" borderId="122" xfId="0" applyFont="1" applyBorder="1" applyAlignment="1">
      <alignment horizontal="centerContinuous" vertical="center"/>
    </xf>
    <xf numFmtId="0" fontId="6" fillId="4" borderId="33" xfId="0" applyFont="1" applyFill="1" applyBorder="1" applyAlignment="1">
      <alignment horizontal="right" vertical="center"/>
    </xf>
    <xf numFmtId="49" fontId="7" fillId="0" borderId="12" xfId="0" applyNumberFormat="1" applyFont="1" applyBorder="1" applyAlignment="1">
      <alignment horizontal="center" vertical="center"/>
    </xf>
    <xf numFmtId="0" fontId="2" fillId="15" borderId="120" xfId="0" applyFont="1" applyFill="1" applyBorder="1" applyAlignment="1">
      <alignment horizontal="center" vertical="center"/>
    </xf>
    <xf numFmtId="0" fontId="2" fillId="15" borderId="110" xfId="0" applyFont="1" applyFill="1" applyBorder="1" applyAlignment="1">
      <alignment horizontal="center" vertical="center"/>
    </xf>
    <xf numFmtId="0" fontId="2" fillId="15" borderId="110" xfId="0" quotePrefix="1" applyFont="1" applyFill="1" applyBorder="1" applyAlignment="1">
      <alignment horizontal="center" vertical="center" wrapText="1"/>
    </xf>
    <xf numFmtId="1" fontId="2" fillId="15" borderId="110" xfId="2" applyNumberFormat="1" applyFont="1" applyFill="1" applyBorder="1" applyAlignment="1">
      <alignment horizontal="center" vertical="center"/>
    </xf>
    <xf numFmtId="49" fontId="2" fillId="15" borderId="110" xfId="2" applyNumberFormat="1" applyFont="1" applyFill="1" applyBorder="1" applyAlignment="1">
      <alignment horizontal="center" vertical="center"/>
    </xf>
    <xf numFmtId="0" fontId="2" fillId="15" borderId="110" xfId="0" applyFont="1" applyFill="1" applyBorder="1" applyAlignment="1">
      <alignment horizontal="center" vertical="center" shrinkToFit="1"/>
    </xf>
    <xf numFmtId="164" fontId="2" fillId="15" borderId="110" xfId="0" applyNumberFormat="1" applyFont="1" applyFill="1" applyBorder="1" applyAlignment="1">
      <alignment horizontal="center" vertical="center"/>
    </xf>
    <xf numFmtId="164" fontId="2" fillId="15" borderId="111" xfId="0" applyNumberFormat="1" applyFont="1" applyFill="1" applyBorder="1" applyAlignment="1">
      <alignment horizontal="center" vertical="center"/>
    </xf>
    <xf numFmtId="1" fontId="2" fillId="15" borderId="111" xfId="0" applyNumberFormat="1" applyFont="1" applyFill="1" applyBorder="1" applyAlignment="1">
      <alignment horizontal="center" vertical="center"/>
    </xf>
    <xf numFmtId="1" fontId="2" fillId="15" borderId="70" xfId="0" applyNumberFormat="1" applyFont="1" applyFill="1" applyBorder="1" applyAlignment="1">
      <alignment horizontal="center" vertical="center"/>
    </xf>
    <xf numFmtId="0" fontId="2" fillId="15" borderId="14" xfId="0" applyFont="1" applyFill="1" applyBorder="1" applyAlignment="1">
      <alignment horizontal="center" vertical="center"/>
    </xf>
    <xf numFmtId="0" fontId="2" fillId="15" borderId="28" xfId="0" applyFont="1" applyFill="1" applyBorder="1" applyAlignment="1">
      <alignment horizontal="center" vertical="center"/>
    </xf>
    <xf numFmtId="0" fontId="2" fillId="15" borderId="28" xfId="0" quotePrefix="1" applyFont="1" applyFill="1" applyBorder="1" applyAlignment="1">
      <alignment horizontal="center" vertical="center" wrapText="1"/>
    </xf>
    <xf numFmtId="49" fontId="2" fillId="15" borderId="28" xfId="2" applyNumberFormat="1" applyFont="1" applyFill="1" applyBorder="1" applyAlignment="1">
      <alignment horizontal="center" vertical="center"/>
    </xf>
    <xf numFmtId="0" fontId="2" fillId="15" borderId="28" xfId="0" applyFont="1" applyFill="1" applyBorder="1" applyAlignment="1">
      <alignment horizontal="center" vertical="center" shrinkToFit="1"/>
    </xf>
    <xf numFmtId="164" fontId="2" fillId="15" borderId="28" xfId="0" applyNumberFormat="1" applyFont="1" applyFill="1" applyBorder="1" applyAlignment="1">
      <alignment horizontal="center" vertical="center"/>
    </xf>
    <xf numFmtId="164" fontId="2" fillId="15" borderId="29" xfId="0" applyNumberFormat="1" applyFont="1" applyFill="1" applyBorder="1" applyAlignment="1">
      <alignment horizontal="center" vertical="center"/>
    </xf>
    <xf numFmtId="1" fontId="2" fillId="15" borderId="29" xfId="0" applyNumberFormat="1" applyFont="1" applyFill="1" applyBorder="1" applyAlignment="1">
      <alignment horizontal="center" vertical="center"/>
    </xf>
    <xf numFmtId="1" fontId="2" fillId="15" borderId="118" xfId="0" applyNumberFormat="1" applyFont="1" applyFill="1" applyBorder="1" applyAlignment="1">
      <alignment horizontal="center" vertical="center"/>
    </xf>
    <xf numFmtId="1" fontId="2" fillId="0" borderId="71" xfId="0" applyNumberFormat="1" applyFont="1" applyBorder="1" applyAlignment="1">
      <alignment horizontal="center" vertical="center"/>
    </xf>
    <xf numFmtId="0" fontId="2" fillId="0" borderId="95" xfId="0" quotePrefix="1" applyFont="1" applyBorder="1" applyAlignment="1">
      <alignment horizontal="center" vertical="center"/>
    </xf>
    <xf numFmtId="0" fontId="2" fillId="15" borderId="121" xfId="0" quotePrefix="1" applyFont="1" applyFill="1" applyBorder="1" applyAlignment="1">
      <alignment horizontal="center" vertical="center"/>
    </xf>
    <xf numFmtId="0" fontId="2" fillId="15" borderId="30" xfId="0" quotePrefix="1" applyFont="1" applyFill="1" applyBorder="1" applyAlignment="1">
      <alignment horizontal="center" vertical="center"/>
    </xf>
    <xf numFmtId="0" fontId="2" fillId="0" borderId="123" xfId="0" applyFont="1" applyBorder="1" applyAlignment="1">
      <alignment horizontal="center" vertical="center"/>
    </xf>
    <xf numFmtId="0" fontId="2" fillId="0" borderId="124" xfId="0" applyFont="1" applyBorder="1" applyAlignment="1">
      <alignment horizontal="center" vertical="center"/>
    </xf>
    <xf numFmtId="0" fontId="63" fillId="0" borderId="124" xfId="0" quotePrefix="1" applyFont="1" applyBorder="1" applyAlignment="1">
      <alignment horizontal="center" vertical="center" wrapText="1"/>
    </xf>
    <xf numFmtId="49" fontId="2" fillId="0" borderId="124" xfId="2" applyNumberFormat="1" applyFont="1" applyBorder="1" applyAlignment="1">
      <alignment horizontal="center" vertical="center"/>
    </xf>
    <xf numFmtId="0" fontId="2" fillId="0" borderId="124" xfId="0" applyFont="1" applyBorder="1" applyAlignment="1">
      <alignment horizontal="center" vertical="center" shrinkToFit="1"/>
    </xf>
    <xf numFmtId="164" fontId="2" fillId="0" borderId="124" xfId="0" applyNumberFormat="1" applyFont="1" applyBorder="1" applyAlignment="1">
      <alignment horizontal="center" vertical="center"/>
    </xf>
    <xf numFmtId="164" fontId="5" fillId="0" borderId="125" xfId="0" applyNumberFormat="1" applyFont="1" applyBorder="1" applyAlignment="1">
      <alignment horizontal="center" vertical="center"/>
    </xf>
    <xf numFmtId="1" fontId="54" fillId="11" borderId="125" xfId="0" applyNumberFormat="1" applyFont="1" applyFill="1" applyBorder="1" applyAlignment="1">
      <alignment horizontal="center" vertical="center"/>
    </xf>
    <xf numFmtId="1" fontId="2" fillId="0" borderId="125" xfId="0" applyNumberFormat="1" applyFont="1" applyBorder="1" applyAlignment="1">
      <alignment horizontal="center" vertical="center"/>
    </xf>
    <xf numFmtId="0" fontId="63" fillId="0" borderId="28" xfId="0" quotePrefix="1" applyFont="1" applyBorder="1" applyAlignment="1">
      <alignment horizontal="center" vertical="center" wrapText="1"/>
    </xf>
    <xf numFmtId="0" fontId="2" fillId="0" borderId="126" xfId="0" applyFont="1" applyBorder="1" applyAlignment="1">
      <alignment horizontal="center" vertical="center"/>
    </xf>
    <xf numFmtId="0" fontId="2" fillId="0" borderId="35" xfId="0" quotePrefix="1" applyFont="1" applyBorder="1" applyAlignment="1">
      <alignment horizontal="center" vertical="center"/>
    </xf>
    <xf numFmtId="0" fontId="62" fillId="0" borderId="63" xfId="0" applyFont="1" applyBorder="1" applyAlignment="1">
      <alignment horizontal="centerContinuous" vertical="center"/>
    </xf>
    <xf numFmtId="0" fontId="7" fillId="16" borderId="15" xfId="0" applyFont="1" applyFill="1" applyBorder="1" applyAlignment="1">
      <alignment horizontal="center" vertical="center"/>
    </xf>
    <xf numFmtId="0" fontId="9" fillId="16" borderId="3" xfId="0" applyFont="1" applyFill="1" applyBorder="1" applyAlignment="1">
      <alignment horizontal="center" vertical="center"/>
    </xf>
    <xf numFmtId="0" fontId="7" fillId="16" borderId="27" xfId="0" quotePrefix="1" applyFont="1" applyFill="1" applyBorder="1" applyAlignment="1">
      <alignment horizontal="center" vertical="center"/>
    </xf>
    <xf numFmtId="49" fontId="2" fillId="0" borderId="28" xfId="2" applyNumberFormat="1" applyFont="1" applyBorder="1" applyAlignment="1">
      <alignment horizontal="center" vertical="center"/>
    </xf>
    <xf numFmtId="0" fontId="2" fillId="0" borderId="30" xfId="0" applyFont="1" applyBorder="1" applyAlignment="1">
      <alignment horizontal="center" vertical="center"/>
    </xf>
    <xf numFmtId="0" fontId="2" fillId="0" borderId="127" xfId="0" applyFont="1" applyBorder="1" applyAlignment="1">
      <alignment horizontal="center" vertical="center"/>
    </xf>
    <xf numFmtId="0" fontId="2" fillId="0" borderId="80" xfId="0" quotePrefix="1" applyFont="1" applyBorder="1" applyAlignment="1">
      <alignment horizontal="center" vertical="center"/>
    </xf>
    <xf numFmtId="0" fontId="2" fillId="0" borderId="80" xfId="0" quotePrefix="1" applyFont="1" applyBorder="1" applyAlignment="1">
      <alignment horizontal="center" vertical="center" wrapText="1"/>
    </xf>
    <xf numFmtId="49" fontId="2" fillId="0" borderId="80" xfId="2" applyNumberFormat="1" applyFont="1" applyFill="1" applyBorder="1" applyAlignment="1">
      <alignment horizontal="center" vertical="center"/>
    </xf>
    <xf numFmtId="0" fontId="2" fillId="0" borderId="80" xfId="0" applyFont="1" applyBorder="1" applyAlignment="1">
      <alignment horizontal="center" vertical="center" shrinkToFit="1"/>
    </xf>
    <xf numFmtId="164" fontId="2" fillId="0" borderId="80" xfId="0" applyNumberFormat="1" applyFont="1" applyBorder="1" applyAlignment="1">
      <alignment horizontal="center" vertical="center"/>
    </xf>
    <xf numFmtId="164" fontId="2" fillId="0" borderId="15" xfId="0" applyNumberFormat="1" applyFont="1" applyBorder="1" applyAlignment="1">
      <alignment horizontal="center" vertical="center"/>
    </xf>
    <xf numFmtId="1" fontId="54" fillId="11" borderId="15" xfId="0" applyNumberFormat="1" applyFont="1" applyFill="1" applyBorder="1" applyAlignment="1">
      <alignment horizontal="center" vertical="center"/>
    </xf>
    <xf numFmtId="1" fontId="2" fillId="0" borderId="15" xfId="0" applyNumberFormat="1" applyFont="1" applyBorder="1" applyAlignment="1">
      <alignment horizontal="center" vertical="center"/>
    </xf>
    <xf numFmtId="0" fontId="2" fillId="14" borderId="14" xfId="0" applyFont="1" applyFill="1" applyBorder="1" applyAlignment="1">
      <alignment horizontal="center" vertical="center"/>
    </xf>
    <xf numFmtId="0" fontId="2" fillId="14" borderId="28" xfId="0" applyFont="1" applyFill="1" applyBorder="1" applyAlignment="1">
      <alignment horizontal="center" vertical="center"/>
    </xf>
    <xf numFmtId="0" fontId="5" fillId="14" borderId="28" xfId="0" quotePrefix="1" applyFont="1" applyFill="1" applyBorder="1" applyAlignment="1">
      <alignment horizontal="center" vertical="center" wrapText="1"/>
    </xf>
    <xf numFmtId="49" fontId="2" fillId="14" borderId="28" xfId="2" applyNumberFormat="1" applyFont="1" applyFill="1" applyBorder="1" applyAlignment="1">
      <alignment horizontal="center" vertical="center"/>
    </xf>
    <xf numFmtId="0" fontId="2" fillId="14" borderId="28" xfId="0" applyFont="1" applyFill="1" applyBorder="1" applyAlignment="1">
      <alignment horizontal="center" vertical="center" shrinkToFit="1"/>
    </xf>
    <xf numFmtId="164" fontId="5" fillId="14" borderId="28" xfId="0" applyNumberFormat="1" applyFont="1" applyFill="1" applyBorder="1" applyAlignment="1">
      <alignment horizontal="center" vertical="center"/>
    </xf>
    <xf numFmtId="164" fontId="5" fillId="14" borderId="29" xfId="0" applyNumberFormat="1" applyFont="1" applyFill="1" applyBorder="1" applyAlignment="1">
      <alignment horizontal="center" vertical="center"/>
    </xf>
    <xf numFmtId="1" fontId="2" fillId="14" borderId="29" xfId="0" applyNumberFormat="1" applyFont="1" applyFill="1" applyBorder="1" applyAlignment="1">
      <alignment horizontal="center" vertical="center"/>
    </xf>
    <xf numFmtId="0" fontId="2" fillId="14" borderId="30" xfId="0" quotePrefix="1" applyFont="1" applyFill="1" applyBorder="1" applyAlignment="1">
      <alignment horizontal="center" vertical="center"/>
    </xf>
    <xf numFmtId="1" fontId="2" fillId="13" borderId="71" xfId="0" applyNumberFormat="1" applyFont="1" applyFill="1" applyBorder="1" applyAlignment="1">
      <alignment horizontal="center" vertical="center"/>
    </xf>
    <xf numFmtId="1" fontId="2" fillId="13" borderId="118" xfId="0" applyNumberFormat="1" applyFont="1" applyFill="1" applyBorder="1" applyAlignment="1">
      <alignment horizontal="center" vertical="center"/>
    </xf>
    <xf numFmtId="1" fontId="2" fillId="0" borderId="128" xfId="0" applyNumberFormat="1" applyFont="1" applyBorder="1" applyAlignment="1">
      <alignment horizontal="center" vertical="center"/>
    </xf>
    <xf numFmtId="1" fontId="2" fillId="13" borderId="119" xfId="0" applyNumberFormat="1" applyFont="1" applyFill="1" applyBorder="1" applyAlignment="1">
      <alignment horizontal="center" vertical="center"/>
    </xf>
    <xf numFmtId="0" fontId="2" fillId="0" borderId="80" xfId="0" applyFont="1" applyBorder="1" applyAlignment="1">
      <alignment horizontal="center" vertical="center"/>
    </xf>
    <xf numFmtId="0" fontId="63" fillId="0" borderId="80" xfId="0" quotePrefix="1" applyFont="1" applyBorder="1" applyAlignment="1">
      <alignment horizontal="center" vertical="center" wrapText="1"/>
    </xf>
    <xf numFmtId="1" fontId="2" fillId="0" borderId="80" xfId="2" applyNumberFormat="1" applyFont="1" applyFill="1" applyBorder="1" applyAlignment="1">
      <alignment horizontal="center" vertical="center"/>
    </xf>
    <xf numFmtId="164" fontId="5" fillId="0" borderId="15" xfId="0" applyNumberFormat="1" applyFont="1" applyBorder="1" applyAlignment="1">
      <alignment horizontal="center" vertical="center"/>
    </xf>
  </cellXfs>
  <cellStyles count="11">
    <cellStyle name="Excel Built-in Normal" xfId="6" xr:uid="{00000000-0005-0000-0000-000000000000}"/>
    <cellStyle name="Hyperlink" xfId="1" builtinId="8"/>
    <cellStyle name="Normal" xfId="0" builtinId="0"/>
    <cellStyle name="Normal 2" xfId="4" xr:uid="{00000000-0005-0000-0000-000003000000}"/>
    <cellStyle name="Normal 2 2" xfId="5" xr:uid="{00000000-0005-0000-0000-000004000000}"/>
    <cellStyle name="Normal 3" xfId="7" xr:uid="{00000000-0005-0000-0000-000005000000}"/>
    <cellStyle name="Normal 4" xfId="8" xr:uid="{00000000-0005-0000-0000-000006000000}"/>
    <cellStyle name="Normal 5" xfId="9" xr:uid="{00000000-0005-0000-0000-000007000000}"/>
    <cellStyle name="Percent" xfId="2" builtinId="5"/>
    <cellStyle name="Percent 2" xfId="3" xr:uid="{00000000-0005-0000-0000-000009000000}"/>
    <cellStyle name="Percent 2 2" xfId="10" xr:uid="{00000000-0005-0000-0000-00000A000000}"/>
  </cellStyles>
  <dxfs count="7">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ill>
        <patternFill>
          <bgColor indexed="10"/>
        </patternFill>
      </fill>
    </dxf>
    <dxf>
      <font>
        <b/>
        <i val="0"/>
        <condense val="0"/>
        <extend val="0"/>
      </font>
      <fill>
        <patternFill>
          <bgColor indexed="51"/>
        </patternFill>
      </fill>
    </dxf>
    <dxf>
      <font>
        <b/>
        <i val="0"/>
        <condense val="0"/>
        <extend val="0"/>
      </font>
      <fill>
        <patternFill>
          <bgColor indexed="10"/>
        </patternFill>
      </fill>
    </dxf>
  </dxfs>
  <tableStyles count="0" defaultTableStyle="TableStyleMedium2" defaultPivotStyle="PivotStyleLight16"/>
  <colors>
    <mruColors>
      <color rgb="FF009900"/>
      <color rgb="FFCCFFCC"/>
      <color rgb="FF9966FF"/>
      <color rgb="FFFF0066"/>
      <color rgb="FF00FF00"/>
      <color rgb="FF0000FF"/>
      <color rgb="FF00CC66"/>
      <color rgb="FF00FF99"/>
      <color rgb="FF66FF99"/>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457200</xdr:colOff>
      <xdr:row>1</xdr:row>
      <xdr:rowOff>19050</xdr:rowOff>
    </xdr:from>
    <xdr:to>
      <xdr:col>6</xdr:col>
      <xdr:colOff>918483</xdr:colOff>
      <xdr:row>15</xdr:row>
      <xdr:rowOff>0</xdr:rowOff>
    </xdr:to>
    <xdr:pic>
      <xdr:nvPicPr>
        <xdr:cNvPr id="5" name="Picture 4" descr="C:\A\Jue\SoF\Images\NPC\Primes\Wee Folk\halfling f assassin.jpg">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05400" y="390525"/>
          <a:ext cx="1585233" cy="2962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57150</xdr:colOff>
      <xdr:row>17</xdr:row>
      <xdr:rowOff>57150</xdr:rowOff>
    </xdr:from>
    <xdr:to>
      <xdr:col>6</xdr:col>
      <xdr:colOff>1276350</xdr:colOff>
      <xdr:row>49</xdr:row>
      <xdr:rowOff>171450</xdr:rowOff>
    </xdr:to>
    <xdr:sp macro="" textlink="">
      <xdr:nvSpPr>
        <xdr:cNvPr id="4" name="Text 6">
          <a:extLst>
            <a:ext uri="{FF2B5EF4-FFF2-40B4-BE49-F238E27FC236}">
              <a16:creationId xmlns:a16="http://schemas.microsoft.com/office/drawing/2014/main" id="{00000000-0008-0000-0000-000004000000}"/>
            </a:ext>
          </a:extLst>
        </xdr:cNvPr>
        <xdr:cNvSpPr txBox="1">
          <a:spLocks noChangeArrowheads="1"/>
        </xdr:cNvSpPr>
      </xdr:nvSpPr>
      <xdr:spPr bwMode="auto">
        <a:xfrm>
          <a:off x="57150" y="3952875"/>
          <a:ext cx="6962775" cy="3057525"/>
        </a:xfrm>
        <a:prstGeom prst="rect">
          <a:avLst/>
        </a:prstGeom>
        <a:solidFill>
          <a:srgbClr val="FFFFFF"/>
        </a:solidFill>
        <a:ln w="9525">
          <a:noFill/>
          <a:miter lim="800000"/>
          <a:headEnd/>
          <a:tailEnd/>
        </a:ln>
      </xdr:spPr>
      <xdr:txBody>
        <a:bodyPr vertOverflow="clip" wrap="square" lIns="27432" tIns="27432" rIns="27432" bIns="0" anchor="t" upright="1"/>
        <a:lstStyle/>
        <a:p>
          <a:pPr algn="just"/>
          <a:r>
            <a:rPr lang="en-US" sz="1200" b="1">
              <a:effectLst/>
              <a:latin typeface="Times New Roman" pitchFamily="18" charset="0"/>
              <a:ea typeface="+mn-ea"/>
              <a:cs typeface="Times New Roman" pitchFamily="18" charset="0"/>
            </a:rPr>
            <a:t>Appearance:</a:t>
          </a:r>
          <a:r>
            <a:rPr lang="en-US" sz="1200">
              <a:effectLst/>
              <a:latin typeface="Times New Roman" pitchFamily="18" charset="0"/>
              <a:ea typeface="+mn-ea"/>
              <a:cs typeface="Times New Roman" pitchFamily="18" charset="0"/>
            </a:rPr>
            <a:t>  Willow is a female lightfoot halfling of mostly unremarkable appearance, apart from being somewhat tall as halflings go. While not a raving beauty by any means, her flashing green eyes are easily her best feature along with her close-cropped raven-black hair. It is only after a time in her presence that something seems...wrong...about her.  Particularly close observation will detect an occasional hint of a reddish glow to her eyes.</a:t>
          </a:r>
        </a:p>
        <a:p>
          <a:pPr algn="just"/>
          <a:r>
            <a:rPr lang="en-US" sz="1200">
              <a:effectLst/>
              <a:latin typeface="Times New Roman" pitchFamily="18" charset="0"/>
              <a:ea typeface="+mn-ea"/>
              <a:cs typeface="Times New Roman" pitchFamily="18" charset="0"/>
            </a:rPr>
            <a:t> </a:t>
          </a:r>
        </a:p>
        <a:p>
          <a:pPr algn="just"/>
          <a:r>
            <a:rPr lang="en-US" sz="1200" b="1">
              <a:effectLst/>
              <a:latin typeface="Times New Roman" pitchFamily="18" charset="0"/>
              <a:ea typeface="+mn-ea"/>
              <a:cs typeface="Times New Roman" pitchFamily="18" charset="0"/>
            </a:rPr>
            <a:t>History:  </a:t>
          </a:r>
          <a:r>
            <a:rPr lang="en-US" sz="1200">
              <a:effectLst/>
              <a:latin typeface="Times New Roman" pitchFamily="18" charset="0"/>
              <a:ea typeface="+mn-ea"/>
              <a:cs typeface="Times New Roman" pitchFamily="18" charset="0"/>
            </a:rPr>
            <a:t>Originally from Trail’s End in Damara, Willamina Mayfoot (her original name) led a fairly normal life until she reached puberty.  It was then that odd things began to happen around her from time to time.  Eventually, she discovered she was able to manifest a few magical effects. Seeking to apprentice herself to a wizard, she was turned down for having insufficient mental capacity for complex magic.  (While the wizard never said so, he also couldn’t get over a creepy feeling whenever she was around.) </a:t>
          </a:r>
        </a:p>
        <a:p>
          <a:pPr algn="just"/>
          <a:r>
            <a:rPr lang="en-US" sz="1200">
              <a:effectLst/>
              <a:latin typeface="Times New Roman" pitchFamily="18" charset="0"/>
              <a:ea typeface="+mn-ea"/>
              <a:cs typeface="Times New Roman" pitchFamily="18" charset="0"/>
            </a:rPr>
            <a:t> </a:t>
          </a:r>
        </a:p>
        <a:p>
          <a:pPr algn="just"/>
          <a:r>
            <a:rPr lang="en-US" sz="1200">
              <a:effectLst/>
              <a:latin typeface="Times New Roman" pitchFamily="18" charset="0"/>
              <a:ea typeface="+mn-ea"/>
              <a:cs typeface="Times New Roman" pitchFamily="18" charset="0"/>
            </a:rPr>
            <a:t>Stymied in that choice of career, she realized that her minor magical tricks could be useful in criminal enterprises.  With practice, she became a fairly successful thief until one night when she was surprised by a light-sleeping homeowner whose house she was robbing. Staring down the business end of a crossbow, she raised her hands when panic changed to shock as a dark beam shot out of her hand and struck him dead!</a:t>
          </a:r>
        </a:p>
        <a:p>
          <a:pPr algn="just"/>
          <a:r>
            <a:rPr lang="en-US" sz="1200">
              <a:effectLst/>
              <a:latin typeface="Times New Roman" pitchFamily="18" charset="0"/>
              <a:ea typeface="+mn-ea"/>
              <a:cs typeface="Times New Roman" pitchFamily="18" charset="0"/>
            </a:rPr>
            <a:t> </a:t>
          </a:r>
        </a:p>
        <a:p>
          <a:pPr algn="just"/>
          <a:r>
            <a:rPr lang="en-US" sz="1200">
              <a:effectLst/>
              <a:latin typeface="Times New Roman" pitchFamily="18" charset="0"/>
              <a:ea typeface="+mn-ea"/>
              <a:cs typeface="Times New Roman" pitchFamily="18" charset="0"/>
            </a:rPr>
            <a:t>Fearful that her part in the man’s death would be discovered and as much (if not more so) concerned about what was happening to her, Willamina decided it was a good time to go traveling... permanently.  Going now by the name Willow d’whisp, she has wandered the Realms trying to understand just what she is.  Eventually, she determined that somewhere in her ancestry was a demonic entity which was now manifesting itself in her.  Her wanders have now brought her to Waterdeep as she continues to try and master the strange powers that she now bears.</a:t>
          </a:r>
        </a:p>
        <a:p>
          <a:pPr algn="just"/>
          <a:r>
            <a:rPr lang="en-US" sz="1200">
              <a:effectLst/>
              <a:latin typeface="Times New Roman" pitchFamily="18" charset="0"/>
              <a:ea typeface="+mn-ea"/>
              <a:cs typeface="Times New Roman" pitchFamily="18" charset="0"/>
            </a:rPr>
            <a:t> </a:t>
          </a:r>
        </a:p>
        <a:p>
          <a:pPr algn="just"/>
          <a:r>
            <a:rPr lang="en-US" sz="1200" b="1">
              <a:effectLst/>
              <a:latin typeface="Times New Roman" pitchFamily="18" charset="0"/>
              <a:ea typeface="+mn-ea"/>
              <a:cs typeface="Times New Roman" pitchFamily="18" charset="0"/>
            </a:rPr>
            <a:t>Personality:  </a:t>
          </a:r>
          <a:r>
            <a:rPr lang="en-US" sz="1200">
              <a:effectLst/>
              <a:latin typeface="Times New Roman" pitchFamily="18" charset="0"/>
              <a:ea typeface="+mn-ea"/>
              <a:cs typeface="Times New Roman" pitchFamily="18" charset="0"/>
            </a:rPr>
            <a:t>Willow is a rather suspicious person (not surprising for someone on the lam) and tends to react poorly to those enquiring into her past.  While not cowardly by any means, she is not the sort to leap into doing something heroic without a reasonable expectation of profit.  She has a preference for green and usually wears clothing only of various hues of that color.  She adores emeralds and can seldom resist the urge to acquire any she might see.</a:t>
          </a:r>
        </a:p>
        <a:p>
          <a:pPr algn="just"/>
          <a:endParaRPr lang="en-US" sz="1200">
            <a:effectLst/>
            <a:latin typeface="Times New Roman" pitchFamily="18" charset="0"/>
            <a:ea typeface="+mn-ea"/>
            <a:cs typeface="Times New Roman" pitchFamily="18" charset="0"/>
          </a:endParaRPr>
        </a:p>
        <a:p>
          <a:pPr algn="just"/>
          <a:r>
            <a:rPr lang="en-US" sz="1200">
              <a:effectLst/>
              <a:latin typeface="Times New Roman" pitchFamily="18" charset="0"/>
              <a:ea typeface="+mn-ea"/>
              <a:cs typeface="Times New Roman" pitchFamily="18" charset="0"/>
            </a:rPr>
            <a:t>Willow's fears of demonic possession are closer to reality than she realizes. She is actually the alter ego of a young (as demons go) succubus, Isabeau D-Errik. About 20 years ago, Bo (as she's called, since such beings rarely reveal their true names willingly) rebuffed the advances of another, more powerful, demon. To punish her for the slight, the demon cursed her by trapping her in her alternate form (that of a nearly-adult halfling girl) and blocking memories of her demonic nature. It is only in the last couple of years that Bo's consciousness has begun to reassert itself, resulting in the emergence of her warlock powers and succubus abilities. For the present, this has caused a mental schism with the Willow and Bo personas beginning to conflict with each other for control of her physical being. Whether one identity will be victorious or the two reconcile themselves with each other remains to be seen.</a:t>
          </a:r>
        </a:p>
        <a:p>
          <a:pPr algn="just"/>
          <a:endParaRPr lang="en-US" sz="1200" b="0" i="0" u="none" strike="noStrike" baseline="0">
            <a:solidFill>
              <a:srgbClr val="000000"/>
            </a:solidFill>
            <a:latin typeface="Times New Roman" pitchFamily="18" charset="0"/>
            <a:cs typeface="Times New Roman" pitchFamily="18" charset="0"/>
          </a:endParaRPr>
        </a:p>
      </xdr:txBody>
    </xdr:sp>
    <xdr:clientData/>
  </xdr:twoCellAnchor>
  <xdr:twoCellAnchor>
    <xdr:from>
      <xdr:col>5</xdr:col>
      <xdr:colOff>66675</xdr:colOff>
      <xdr:row>14</xdr:row>
      <xdr:rowOff>38100</xdr:rowOff>
    </xdr:from>
    <xdr:to>
      <xdr:col>6</xdr:col>
      <xdr:colOff>1238250</xdr:colOff>
      <xdr:row>16</xdr:row>
      <xdr:rowOff>238124</xdr:rowOff>
    </xdr:to>
    <xdr:sp macro="" textlink="">
      <xdr:nvSpPr>
        <xdr:cNvPr id="1084" name="Text Box 60">
          <a:extLst>
            <a:ext uri="{FF2B5EF4-FFF2-40B4-BE49-F238E27FC236}">
              <a16:creationId xmlns:a16="http://schemas.microsoft.com/office/drawing/2014/main" id="{00000000-0008-0000-0000-00003C040000}"/>
            </a:ext>
          </a:extLst>
        </xdr:cNvPr>
        <xdr:cNvSpPr txBox="1">
          <a:spLocks noChangeArrowheads="1"/>
        </xdr:cNvSpPr>
      </xdr:nvSpPr>
      <xdr:spPr bwMode="auto">
        <a:xfrm>
          <a:off x="4714875" y="3600450"/>
          <a:ext cx="2295525" cy="628649"/>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FF00" mc:Ignorable="a14" a14:legacySpreadsheetColorIndex="11"/>
          </a:solidFill>
          <a:miter lim="800000"/>
          <a:headEnd/>
          <a:tailEnd/>
        </a:ln>
      </xdr:spPr>
      <xdr:txBody>
        <a:bodyPr vertOverflow="clip" wrap="square" lIns="27432" tIns="27432" rIns="27432" bIns="0" anchor="t" upright="1"/>
        <a:lstStyle/>
        <a:p>
          <a:pPr algn="just" rtl="0">
            <a:defRPr sz="1000"/>
          </a:pPr>
          <a:r>
            <a:rPr lang="en-US" sz="1200" b="0" i="1" u="none" strike="noStrike" baseline="0">
              <a:solidFill>
                <a:srgbClr val="7030A0"/>
              </a:solidFill>
              <a:latin typeface="Times New Roman"/>
              <a:cs typeface="Times New Roman"/>
            </a:rPr>
            <a:t>Detecting magic </a:t>
          </a:r>
          <a:r>
            <a:rPr lang="en-US" sz="1200" b="0" i="0" u="none" strike="noStrike" baseline="0">
              <a:solidFill>
                <a:srgbClr val="7030A0"/>
              </a:solidFill>
              <a:latin typeface="Times New Roman"/>
              <a:cs typeface="Times New Roman"/>
            </a:rPr>
            <a:t>and </a:t>
          </a:r>
          <a:r>
            <a:rPr lang="en-US" sz="1200" b="0" i="1" u="none" strike="noStrike" baseline="0">
              <a:solidFill>
                <a:srgbClr val="7030A0"/>
              </a:solidFill>
              <a:latin typeface="Times New Roman"/>
              <a:cs typeface="Times New Roman"/>
            </a:rPr>
            <a:t>Darkvision 60’ </a:t>
          </a:r>
          <a:r>
            <a:rPr lang="en-US" sz="1200" b="0" i="0" u="none" strike="noStrike" baseline="0">
              <a:solidFill>
                <a:srgbClr val="7030A0"/>
              </a:solidFill>
              <a:latin typeface="Times New Roman"/>
              <a:cs typeface="Times New Roman"/>
            </a:rPr>
            <a:t>at will.  Resistance 5 (acid, cold, electricity, fire); DR 1/cold iron</a:t>
          </a:r>
          <a:endParaRPr lang="en-US" sz="1200" b="1" i="0" u="none" strike="noStrike" baseline="0">
            <a:solidFill>
              <a:srgbClr val="FFC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228600</xdr:colOff>
      <xdr:row>0</xdr:row>
      <xdr:rowOff>0</xdr:rowOff>
    </xdr:from>
    <xdr:to>
      <xdr:col>10</xdr:col>
      <xdr:colOff>0</xdr:colOff>
      <xdr:row>0</xdr:row>
      <xdr:rowOff>0</xdr:rowOff>
    </xdr:to>
    <xdr:sp macro="" textlink="">
      <xdr:nvSpPr>
        <xdr:cNvPr id="13396" name="Rectangle 1">
          <a:extLst>
            <a:ext uri="{FF2B5EF4-FFF2-40B4-BE49-F238E27FC236}">
              <a16:creationId xmlns:a16="http://schemas.microsoft.com/office/drawing/2014/main" id="{00000000-0008-0000-0100-000054340000}"/>
            </a:ext>
          </a:extLst>
        </xdr:cNvPr>
        <xdr:cNvSpPr>
          <a:spLocks noChangeArrowheads="1"/>
        </xdr:cNvSpPr>
      </xdr:nvSpPr>
      <xdr:spPr bwMode="auto">
        <a:xfrm>
          <a:off x="4619625" y="0"/>
          <a:ext cx="286702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228600</xdr:colOff>
      <xdr:row>0</xdr:row>
      <xdr:rowOff>0</xdr:rowOff>
    </xdr:from>
    <xdr:to>
      <xdr:col>8</xdr:col>
      <xdr:colOff>0</xdr:colOff>
      <xdr:row>0</xdr:row>
      <xdr:rowOff>0</xdr:rowOff>
    </xdr:to>
    <xdr:sp macro="" textlink="">
      <xdr:nvSpPr>
        <xdr:cNvPr id="2" name="Rectangle 1">
          <a:extLst>
            <a:ext uri="{FF2B5EF4-FFF2-40B4-BE49-F238E27FC236}">
              <a16:creationId xmlns:a16="http://schemas.microsoft.com/office/drawing/2014/main" id="{00000000-0008-0000-0200-000002000000}"/>
            </a:ext>
          </a:extLst>
        </xdr:cNvPr>
        <xdr:cNvSpPr>
          <a:spLocks noChangeArrowheads="1"/>
        </xdr:cNvSpPr>
      </xdr:nvSpPr>
      <xdr:spPr bwMode="auto">
        <a:xfrm>
          <a:off x="6172200" y="0"/>
          <a:ext cx="76200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228600</xdr:colOff>
      <xdr:row>0</xdr:row>
      <xdr:rowOff>0</xdr:rowOff>
    </xdr:from>
    <xdr:to>
      <xdr:col>2</xdr:col>
      <xdr:colOff>0</xdr:colOff>
      <xdr:row>0</xdr:row>
      <xdr:rowOff>0</xdr:rowOff>
    </xdr:to>
    <xdr:sp macro="" textlink="">
      <xdr:nvSpPr>
        <xdr:cNvPr id="19460" name="Rectangle 1">
          <a:extLst>
            <a:ext uri="{FF2B5EF4-FFF2-40B4-BE49-F238E27FC236}">
              <a16:creationId xmlns:a16="http://schemas.microsoft.com/office/drawing/2014/main" id="{00000000-0008-0000-0300-0000044C0000}"/>
            </a:ext>
          </a:extLst>
        </xdr:cNvPr>
        <xdr:cNvSpPr>
          <a:spLocks noChangeArrowheads="1"/>
        </xdr:cNvSpPr>
      </xdr:nvSpPr>
      <xdr:spPr bwMode="auto">
        <a:xfrm>
          <a:off x="5000625"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1</xdr:col>
      <xdr:colOff>226695</xdr:colOff>
      <xdr:row>1</xdr:row>
      <xdr:rowOff>123825</xdr:rowOff>
    </xdr:from>
    <xdr:to>
      <xdr:col>2</xdr:col>
      <xdr:colOff>266700</xdr:colOff>
      <xdr:row>2</xdr:row>
      <xdr:rowOff>66675</xdr:rowOff>
    </xdr:to>
    <xdr:sp macro="" textlink="">
      <xdr:nvSpPr>
        <xdr:cNvPr id="3078" name="Text Box 6" hidden="1">
          <a:extLst>
            <a:ext uri="{FF2B5EF4-FFF2-40B4-BE49-F238E27FC236}">
              <a16:creationId xmlns:a16="http://schemas.microsoft.com/office/drawing/2014/main" id="{00000000-0008-0000-0400-0000060C0000}"/>
            </a:ext>
          </a:extLst>
        </xdr:cNvPr>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wner/AppData/Local/Microsoft/Windows/Temporary%20Internet%20Files/Content.IE5/1ZEGTV8N/SpellForge_3.5_4.5.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portSheet"/>
      <sheetName val="Notes"/>
      <sheetName val="Options"/>
      <sheetName val="Race &amp; Stats"/>
      <sheetName val="Classes"/>
      <sheetName val="Domain Select"/>
      <sheetName val="Prestige Classes"/>
      <sheetName val="Feats"/>
      <sheetName val="Archivist Spells"/>
      <sheetName val="Assassin Spells"/>
      <sheetName val="Bard Spells"/>
      <sheetName val="Cleric Spells"/>
      <sheetName val="Corrupt Avenger Spells"/>
      <sheetName val="Druid Spells"/>
      <sheetName val="Duskblade Spells"/>
      <sheetName val="Emissary Spells"/>
      <sheetName val="Favored Soul Spells"/>
      <sheetName val="Gnome Artificer Devices"/>
      <sheetName val="Hexblade Spells"/>
      <sheetName val="Shugenja Spells"/>
      <sheetName val="Sorcerer Spells"/>
      <sheetName val="Spellthief Spells"/>
      <sheetName val="Spirit Shaman Spells"/>
      <sheetName val="Sublime Chord Spells"/>
      <sheetName val="Suel Arcanamach Spells"/>
      <sheetName val="Universal Caster"/>
      <sheetName val="Vigilante Spells"/>
      <sheetName val="Warlock Invocations"/>
      <sheetName val="Wizard Spells"/>
      <sheetName val="Wu Jen Spells"/>
      <sheetName val="All Spells"/>
      <sheetName val="Fist of Zuoken Powers"/>
      <sheetName val="Psion Powers"/>
      <sheetName val="Psychic Warrior Powers"/>
      <sheetName val="War Mind Powers"/>
      <sheetName val="Wilder Powers"/>
      <sheetName val="Spell Sheet"/>
      <sheetName val="Power Sheet"/>
      <sheetName val="SpellList"/>
      <sheetName val="PowerList"/>
      <sheetName val="Class Info"/>
      <sheetName val="Class Info Aux"/>
      <sheetName val="Race Info"/>
      <sheetName val="Tables"/>
      <sheetName val="Deities"/>
      <sheetName val="Domains"/>
      <sheetName val="Spell Information"/>
      <sheetName val="Spells per Day"/>
      <sheetName val="Spells Known"/>
      <sheetName val="Psionic 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1">
          <cell r="FH1" t="b">
            <v>0</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51"/>
  <sheetViews>
    <sheetView showGridLines="0" tabSelected="1" zoomScaleNormal="100" workbookViewId="0"/>
  </sheetViews>
  <sheetFormatPr defaultColWidth="13" defaultRowHeight="15.6" x14ac:dyDescent="0.3"/>
  <cols>
    <col min="1" max="1" width="15.296875" style="73" customWidth="1"/>
    <col min="2" max="2" width="10" style="74" customWidth="1"/>
    <col min="3" max="3" width="6.296875" style="74" customWidth="1"/>
    <col min="4" max="4" width="13.69921875" style="73" bestFit="1" customWidth="1"/>
    <col min="5" max="5" width="10.59765625" style="74" bestFit="1" customWidth="1"/>
    <col min="6" max="6" width="14.69921875" style="73" customWidth="1"/>
    <col min="7" max="7" width="17.09765625" style="74" customWidth="1"/>
    <col min="8" max="16384" width="13" style="31"/>
  </cols>
  <sheetData>
    <row r="1" spans="1:7" ht="29.4" thickTop="1" thickBot="1" x14ac:dyDescent="0.35">
      <c r="A1" s="25" t="s">
        <v>119</v>
      </c>
      <c r="B1" s="26" t="s">
        <v>277</v>
      </c>
      <c r="C1" s="27"/>
      <c r="D1" s="28"/>
      <c r="E1" s="29"/>
      <c r="F1" s="28"/>
      <c r="G1" s="30" t="s">
        <v>278</v>
      </c>
    </row>
    <row r="2" spans="1:7" ht="17.399999999999999" thickTop="1" x14ac:dyDescent="0.3">
      <c r="A2" s="32" t="s">
        <v>0</v>
      </c>
      <c r="B2" s="309" t="s">
        <v>196</v>
      </c>
      <c r="C2" s="33"/>
      <c r="D2" s="34" t="s">
        <v>194</v>
      </c>
      <c r="E2" s="313" t="s">
        <v>202</v>
      </c>
      <c r="F2" s="36"/>
      <c r="G2" s="37"/>
    </row>
    <row r="3" spans="1:7" ht="16.8" x14ac:dyDescent="0.3">
      <c r="A3" s="32" t="s">
        <v>65</v>
      </c>
      <c r="B3" s="33" t="s">
        <v>195</v>
      </c>
      <c r="C3" s="33"/>
      <c r="D3" s="34" t="s">
        <v>66</v>
      </c>
      <c r="E3" s="35">
        <v>6</v>
      </c>
      <c r="F3" s="36"/>
      <c r="G3" s="37"/>
    </row>
    <row r="4" spans="1:7" ht="16.8" x14ac:dyDescent="0.3">
      <c r="A4" s="32" t="s">
        <v>65</v>
      </c>
      <c r="B4" s="33" t="s">
        <v>100</v>
      </c>
      <c r="C4" s="33"/>
      <c r="D4" s="34" t="s">
        <v>66</v>
      </c>
      <c r="E4" s="35">
        <v>3</v>
      </c>
      <c r="F4" s="34"/>
      <c r="G4" s="37"/>
    </row>
    <row r="5" spans="1:7" ht="16.8" x14ac:dyDescent="0.3">
      <c r="A5" s="32" t="s">
        <v>65</v>
      </c>
      <c r="B5" s="33" t="s">
        <v>121</v>
      </c>
      <c r="C5" s="33"/>
      <c r="D5" s="34" t="s">
        <v>66</v>
      </c>
      <c r="E5" s="35">
        <v>3</v>
      </c>
      <c r="F5" s="34"/>
      <c r="G5" s="37"/>
    </row>
    <row r="6" spans="1:7" ht="16.8" x14ac:dyDescent="0.3">
      <c r="A6" s="32" t="s">
        <v>87</v>
      </c>
      <c r="B6" s="33" t="s">
        <v>143</v>
      </c>
      <c r="C6" s="33"/>
      <c r="D6" s="34" t="s">
        <v>86</v>
      </c>
      <c r="E6" s="35" t="s">
        <v>229</v>
      </c>
      <c r="F6" s="34"/>
      <c r="G6" s="37"/>
    </row>
    <row r="7" spans="1:7" ht="16.8" x14ac:dyDescent="0.3">
      <c r="A7" s="32" t="s">
        <v>1</v>
      </c>
      <c r="B7" s="33" t="s">
        <v>120</v>
      </c>
      <c r="C7" s="33"/>
      <c r="D7" s="34" t="s">
        <v>2</v>
      </c>
      <c r="E7" s="35" t="s">
        <v>230</v>
      </c>
      <c r="F7" s="34"/>
      <c r="G7" s="37"/>
    </row>
    <row r="8" spans="1:7" ht="17.399999999999999" thickBot="1" x14ac:dyDescent="0.35">
      <c r="A8" s="32" t="s">
        <v>67</v>
      </c>
      <c r="B8" s="33" t="s">
        <v>279</v>
      </c>
      <c r="C8" s="33"/>
      <c r="D8" s="34" t="s">
        <v>3</v>
      </c>
      <c r="E8" s="35" t="s">
        <v>231</v>
      </c>
      <c r="F8" s="34"/>
      <c r="G8" s="37"/>
    </row>
    <row r="9" spans="1:7" ht="17.399999999999999" thickTop="1" x14ac:dyDescent="0.3">
      <c r="A9" s="38" t="s">
        <v>92</v>
      </c>
      <c r="B9" s="419">
        <f>4+2+2</f>
        <v>8</v>
      </c>
      <c r="C9" s="418"/>
      <c r="D9" s="39" t="s">
        <v>185</v>
      </c>
      <c r="E9" s="407">
        <f>B9+C11-4</f>
        <v>6</v>
      </c>
      <c r="F9" s="40"/>
      <c r="G9" s="37"/>
    </row>
    <row r="10" spans="1:7" ht="17.399999999999999" thickBot="1" x14ac:dyDescent="0.35">
      <c r="A10" s="421" t="s">
        <v>186</v>
      </c>
      <c r="B10" s="420" t="str">
        <f>C12</f>
        <v>+6</v>
      </c>
      <c r="C10" s="422"/>
      <c r="D10" s="423" t="s">
        <v>260</v>
      </c>
      <c r="E10" s="424" t="s">
        <v>165</v>
      </c>
      <c r="F10" s="40"/>
      <c r="G10" s="37"/>
    </row>
    <row r="11" spans="1:7" ht="17.399999999999999" thickTop="1" x14ac:dyDescent="0.3">
      <c r="A11" s="41" t="s">
        <v>4</v>
      </c>
      <c r="B11" s="461">
        <f>10+4</f>
        <v>14</v>
      </c>
      <c r="C11" s="42" t="str">
        <f t="shared" ref="C11:C16" si="0">IF(B11&gt;9.9,CONCATENATE("+",ROUNDDOWN((B11-10)/2,0)),ROUNDUP((B11-10)/2,0))</f>
        <v>+2</v>
      </c>
      <c r="D11" s="43" t="s">
        <v>75</v>
      </c>
      <c r="E11" s="44" t="s">
        <v>151</v>
      </c>
      <c r="F11" s="40"/>
      <c r="G11" s="37"/>
    </row>
    <row r="12" spans="1:7" ht="16.8" x14ac:dyDescent="0.3">
      <c r="A12" s="45" t="s">
        <v>5</v>
      </c>
      <c r="B12" s="46">
        <v>22</v>
      </c>
      <c r="C12" s="47" t="str">
        <f t="shared" si="0"/>
        <v>+6</v>
      </c>
      <c r="D12" s="48" t="s">
        <v>76</v>
      </c>
      <c r="E12" s="49">
        <f>SUM(Martial!G6:G30)+SUM(Equipment!C3:C27)</f>
        <v>49</v>
      </c>
      <c r="F12" s="40"/>
      <c r="G12" s="37"/>
    </row>
    <row r="13" spans="1:7" ht="16.8" x14ac:dyDescent="0.3">
      <c r="A13" s="50" t="s">
        <v>14</v>
      </c>
      <c r="B13" s="51">
        <v>12</v>
      </c>
      <c r="C13" s="52" t="str">
        <f t="shared" si="0"/>
        <v>+1</v>
      </c>
      <c r="D13" s="48" t="s">
        <v>16</v>
      </c>
      <c r="E13" s="53">
        <f>ROUNDUP(((4*8)*0.75)+((E4*6)*0.75)+((E5*6)*0.75)+(SUM(E3:E5)*C13),0)</f>
        <v>63</v>
      </c>
      <c r="F13" s="40"/>
      <c r="G13" s="37"/>
    </row>
    <row r="14" spans="1:7" ht="16.8" x14ac:dyDescent="0.3">
      <c r="A14" s="54" t="s">
        <v>15</v>
      </c>
      <c r="B14" s="51">
        <v>14</v>
      </c>
      <c r="C14" s="47" t="str">
        <f t="shared" si="0"/>
        <v>+2</v>
      </c>
      <c r="D14" s="55" t="s">
        <v>94</v>
      </c>
      <c r="E14" s="317">
        <f>10+1+1+C12+C15</f>
        <v>17</v>
      </c>
      <c r="F14" s="32"/>
      <c r="G14" s="37"/>
    </row>
    <row r="15" spans="1:7" ht="16.8" x14ac:dyDescent="0.3">
      <c r="A15" s="56" t="s">
        <v>17</v>
      </c>
      <c r="B15" s="462">
        <v>8</v>
      </c>
      <c r="C15" s="47">
        <f t="shared" si="0"/>
        <v>-1</v>
      </c>
      <c r="D15" s="55" t="s">
        <v>183</v>
      </c>
      <c r="E15" s="317">
        <f>LEFT(E16,2)-C12</f>
        <v>18</v>
      </c>
      <c r="F15" s="40"/>
      <c r="G15" s="37"/>
    </row>
    <row r="16" spans="1:7" ht="17.399999999999999" thickBot="1" x14ac:dyDescent="0.35">
      <c r="A16" s="57" t="s">
        <v>13</v>
      </c>
      <c r="B16" s="463">
        <f>20+4</f>
        <v>24</v>
      </c>
      <c r="C16" s="58" t="str">
        <f t="shared" si="0"/>
        <v>+7</v>
      </c>
      <c r="D16" s="59" t="s">
        <v>255</v>
      </c>
      <c r="E16" s="410" t="str">
        <f>CONCATENATE((E14+SUM(Martial!B26:B27,1)),"/",(E14+SUM(Martial!B26:B27,1)+5)," rngd")</f>
        <v>24/29 rngd</v>
      </c>
      <c r="F16" s="40"/>
      <c r="G16" s="37"/>
    </row>
    <row r="17" spans="1:7" ht="24" thickTop="1" thickBot="1" x14ac:dyDescent="0.35">
      <c r="A17" s="60" t="s">
        <v>27</v>
      </c>
      <c r="B17" s="61"/>
      <c r="C17" s="61"/>
      <c r="D17" s="62"/>
      <c r="E17" s="62"/>
      <c r="F17" s="62"/>
      <c r="G17" s="63"/>
    </row>
    <row r="18" spans="1:7" s="10" customFormat="1" ht="17.399999999999999" thickTop="1" x14ac:dyDescent="0.3">
      <c r="A18" s="64"/>
      <c r="B18" s="65"/>
      <c r="C18" s="65"/>
      <c r="D18" s="65"/>
      <c r="E18" s="65"/>
      <c r="F18" s="65"/>
      <c r="G18" s="66"/>
    </row>
    <row r="19" spans="1:7" s="10" customFormat="1" ht="16.8" x14ac:dyDescent="0.3">
      <c r="A19" s="67"/>
      <c r="B19" s="68"/>
      <c r="C19" s="68"/>
      <c r="D19" s="68"/>
      <c r="E19" s="68"/>
      <c r="F19" s="68"/>
      <c r="G19" s="69"/>
    </row>
    <row r="20" spans="1:7" s="10" customFormat="1" ht="16.8" x14ac:dyDescent="0.3">
      <c r="A20" s="67"/>
      <c r="B20" s="68"/>
      <c r="C20" s="68"/>
      <c r="D20" s="68"/>
      <c r="E20" s="68"/>
      <c r="F20" s="68"/>
      <c r="G20" s="69"/>
    </row>
    <row r="21" spans="1:7" s="10" customFormat="1" ht="16.8" x14ac:dyDescent="0.3">
      <c r="A21" s="67"/>
      <c r="B21" s="68"/>
      <c r="C21" s="68"/>
      <c r="D21" s="68"/>
      <c r="E21" s="68"/>
      <c r="F21" s="68"/>
      <c r="G21" s="69"/>
    </row>
    <row r="22" spans="1:7" s="10" customFormat="1" ht="16.8" x14ac:dyDescent="0.3">
      <c r="A22" s="67"/>
      <c r="B22" s="68"/>
      <c r="C22" s="68"/>
      <c r="D22" s="68"/>
      <c r="E22" s="68"/>
      <c r="F22" s="68"/>
      <c r="G22" s="69"/>
    </row>
    <row r="23" spans="1:7" s="10" customFormat="1" ht="16.8" x14ac:dyDescent="0.3">
      <c r="A23" s="67"/>
      <c r="B23" s="68"/>
      <c r="C23" s="68"/>
      <c r="D23" s="68"/>
      <c r="E23" s="68"/>
      <c r="F23" s="68"/>
      <c r="G23" s="69"/>
    </row>
    <row r="24" spans="1:7" s="10" customFormat="1" ht="16.8" x14ac:dyDescent="0.3">
      <c r="A24" s="67"/>
      <c r="B24" s="68"/>
      <c r="C24" s="68"/>
      <c r="D24" s="68"/>
      <c r="E24" s="68"/>
      <c r="F24" s="68"/>
      <c r="G24" s="69"/>
    </row>
    <row r="25" spans="1:7" s="10" customFormat="1" ht="16.8" x14ac:dyDescent="0.3">
      <c r="A25" s="67"/>
      <c r="B25" s="68"/>
      <c r="C25" s="68"/>
      <c r="D25" s="68"/>
      <c r="E25" s="68"/>
      <c r="F25" s="68"/>
      <c r="G25" s="69"/>
    </row>
    <row r="26" spans="1:7" s="10" customFormat="1" ht="16.8" x14ac:dyDescent="0.3">
      <c r="A26" s="67"/>
      <c r="B26" s="68"/>
      <c r="C26" s="68"/>
      <c r="D26" s="68"/>
      <c r="E26" s="68"/>
      <c r="F26" s="68"/>
      <c r="G26" s="69"/>
    </row>
    <row r="27" spans="1:7" s="10" customFormat="1" ht="16.8" x14ac:dyDescent="0.3">
      <c r="A27" s="67"/>
      <c r="B27" s="68"/>
      <c r="C27" s="68"/>
      <c r="D27" s="68"/>
      <c r="E27" s="68"/>
      <c r="F27" s="68"/>
      <c r="G27" s="69"/>
    </row>
    <row r="28" spans="1:7" s="10" customFormat="1" ht="16.8" x14ac:dyDescent="0.3">
      <c r="A28" s="67"/>
      <c r="B28" s="68"/>
      <c r="C28" s="68"/>
      <c r="D28" s="68"/>
      <c r="E28" s="68"/>
      <c r="F28" s="68"/>
      <c r="G28" s="69"/>
    </row>
    <row r="29" spans="1:7" s="10" customFormat="1" ht="16.8" x14ac:dyDescent="0.3">
      <c r="A29" s="67"/>
      <c r="B29" s="68"/>
      <c r="C29" s="68"/>
      <c r="D29" s="68"/>
      <c r="E29" s="68"/>
      <c r="F29" s="68"/>
      <c r="G29" s="69"/>
    </row>
    <row r="30" spans="1:7" s="10" customFormat="1" ht="16.8" x14ac:dyDescent="0.3">
      <c r="A30" s="67"/>
      <c r="B30" s="68"/>
      <c r="C30" s="68"/>
      <c r="D30" s="68"/>
      <c r="E30" s="68"/>
      <c r="F30" s="68"/>
      <c r="G30" s="69"/>
    </row>
    <row r="31" spans="1:7" s="10" customFormat="1" ht="16.8" x14ac:dyDescent="0.3">
      <c r="A31" s="67"/>
      <c r="B31" s="68"/>
      <c r="C31" s="68"/>
      <c r="D31" s="68"/>
      <c r="E31" s="68"/>
      <c r="F31" s="68"/>
      <c r="G31" s="69"/>
    </row>
    <row r="32" spans="1:7" s="10" customFormat="1" ht="16.8" x14ac:dyDescent="0.3">
      <c r="A32" s="67"/>
      <c r="B32" s="68"/>
      <c r="C32" s="68"/>
      <c r="D32" s="68"/>
      <c r="E32" s="68"/>
      <c r="F32" s="68"/>
      <c r="G32" s="69"/>
    </row>
    <row r="33" spans="1:7" s="10" customFormat="1" ht="16.8" x14ac:dyDescent="0.3">
      <c r="A33" s="67"/>
      <c r="B33" s="68"/>
      <c r="C33" s="68"/>
      <c r="D33" s="68"/>
      <c r="E33" s="68"/>
      <c r="F33" s="68"/>
      <c r="G33" s="69"/>
    </row>
    <row r="34" spans="1:7" s="10" customFormat="1" ht="16.8" x14ac:dyDescent="0.3">
      <c r="A34" s="67"/>
      <c r="B34" s="68"/>
      <c r="C34" s="68"/>
      <c r="D34" s="68"/>
      <c r="E34" s="68"/>
      <c r="F34" s="68"/>
      <c r="G34" s="69"/>
    </row>
    <row r="35" spans="1:7" s="10" customFormat="1" ht="16.8" x14ac:dyDescent="0.3">
      <c r="A35" s="67"/>
      <c r="B35" s="68"/>
      <c r="C35" s="68"/>
      <c r="D35" s="68"/>
      <c r="E35" s="68"/>
      <c r="F35" s="68"/>
      <c r="G35" s="69"/>
    </row>
    <row r="36" spans="1:7" s="10" customFormat="1" ht="16.8" x14ac:dyDescent="0.3">
      <c r="A36" s="67"/>
      <c r="B36" s="68"/>
      <c r="C36" s="68"/>
      <c r="D36" s="68"/>
      <c r="E36" s="68"/>
      <c r="F36" s="68"/>
      <c r="G36" s="69"/>
    </row>
    <row r="37" spans="1:7" s="10" customFormat="1" ht="16.8" x14ac:dyDescent="0.3">
      <c r="A37" s="67"/>
      <c r="B37" s="68"/>
      <c r="C37" s="68"/>
      <c r="D37" s="68"/>
      <c r="E37" s="68"/>
      <c r="F37" s="68"/>
      <c r="G37" s="69"/>
    </row>
    <row r="38" spans="1:7" s="10" customFormat="1" ht="16.8" x14ac:dyDescent="0.3">
      <c r="A38" s="67"/>
      <c r="B38" s="68"/>
      <c r="C38" s="68"/>
      <c r="D38" s="68"/>
      <c r="E38" s="68"/>
      <c r="F38" s="68"/>
      <c r="G38" s="69"/>
    </row>
    <row r="39" spans="1:7" s="10" customFormat="1" ht="16.8" x14ac:dyDescent="0.3">
      <c r="A39" s="67"/>
      <c r="B39" s="68"/>
      <c r="C39" s="68"/>
      <c r="D39" s="68"/>
      <c r="E39" s="68"/>
      <c r="F39" s="68"/>
      <c r="G39" s="69"/>
    </row>
    <row r="40" spans="1:7" s="10" customFormat="1" ht="16.8" x14ac:dyDescent="0.3">
      <c r="A40" s="67"/>
      <c r="B40" s="68"/>
      <c r="C40" s="68"/>
      <c r="D40" s="68"/>
      <c r="E40" s="68"/>
      <c r="F40" s="68"/>
      <c r="G40" s="69"/>
    </row>
    <row r="41" spans="1:7" s="10" customFormat="1" ht="16.8" x14ac:dyDescent="0.3">
      <c r="A41" s="67"/>
      <c r="B41" s="68"/>
      <c r="C41" s="68"/>
      <c r="D41" s="68"/>
      <c r="E41" s="68"/>
      <c r="F41" s="68"/>
      <c r="G41" s="69"/>
    </row>
    <row r="42" spans="1:7" s="10" customFormat="1" ht="16.8" x14ac:dyDescent="0.3">
      <c r="A42" s="67"/>
      <c r="B42" s="68"/>
      <c r="C42" s="68"/>
      <c r="D42" s="68"/>
      <c r="E42" s="68"/>
      <c r="F42" s="68"/>
      <c r="G42" s="69"/>
    </row>
    <row r="43" spans="1:7" s="10" customFormat="1" ht="16.8" x14ac:dyDescent="0.3">
      <c r="A43" s="67"/>
      <c r="B43" s="68"/>
      <c r="C43" s="68"/>
      <c r="D43" s="68"/>
      <c r="E43" s="68"/>
      <c r="F43" s="68"/>
      <c r="G43" s="69"/>
    </row>
    <row r="44" spans="1:7" s="10" customFormat="1" ht="16.8" x14ac:dyDescent="0.3">
      <c r="A44" s="67"/>
      <c r="B44" s="68"/>
      <c r="C44" s="68"/>
      <c r="D44" s="68"/>
      <c r="E44" s="68"/>
      <c r="F44" s="68"/>
      <c r="G44" s="69"/>
    </row>
    <row r="45" spans="1:7" s="10" customFormat="1" ht="16.8" x14ac:dyDescent="0.3">
      <c r="A45" s="67"/>
      <c r="B45" s="68"/>
      <c r="C45" s="68"/>
      <c r="D45" s="68"/>
      <c r="E45" s="68"/>
      <c r="F45" s="68"/>
      <c r="G45" s="69"/>
    </row>
    <row r="46" spans="1:7" s="10" customFormat="1" ht="16.8" x14ac:dyDescent="0.3">
      <c r="A46" s="67"/>
      <c r="B46" s="68"/>
      <c r="C46" s="68"/>
      <c r="D46" s="68"/>
      <c r="E46" s="68"/>
      <c r="F46" s="68"/>
      <c r="G46" s="69"/>
    </row>
    <row r="47" spans="1:7" s="10" customFormat="1" ht="16.8" x14ac:dyDescent="0.3">
      <c r="A47" s="67"/>
      <c r="B47" s="68"/>
      <c r="C47" s="68"/>
      <c r="D47" s="68"/>
      <c r="E47" s="68"/>
      <c r="F47" s="68"/>
      <c r="G47" s="69"/>
    </row>
    <row r="48" spans="1:7" s="10" customFormat="1" ht="16.8" x14ac:dyDescent="0.3">
      <c r="A48" s="67"/>
      <c r="B48" s="68"/>
      <c r="C48" s="68"/>
      <c r="D48" s="68"/>
      <c r="E48" s="68"/>
      <c r="F48" s="68"/>
      <c r="G48" s="69"/>
    </row>
    <row r="49" spans="1:7" s="10" customFormat="1" ht="16.8" x14ac:dyDescent="0.3">
      <c r="A49" s="67"/>
      <c r="B49" s="68"/>
      <c r="C49" s="68"/>
      <c r="D49" s="68"/>
      <c r="E49" s="68"/>
      <c r="F49" s="68"/>
      <c r="G49" s="69"/>
    </row>
    <row r="50" spans="1:7" ht="17.399999999999999" thickBot="1" x14ac:dyDescent="0.35">
      <c r="A50" s="70"/>
      <c r="B50" s="71"/>
      <c r="C50" s="71"/>
      <c r="D50" s="71"/>
      <c r="E50" s="71"/>
      <c r="F50" s="71"/>
      <c r="G50" s="72"/>
    </row>
    <row r="51" spans="1:7" ht="16.2" thickTop="1" x14ac:dyDescent="0.3"/>
  </sheetData>
  <phoneticPr fontId="0" type="noConversion"/>
  <conditionalFormatting sqref="E12">
    <cfRule type="cellIs" dxfId="6" priority="4" stopIfTrue="1" operator="greaterThan">
      <formula>50</formula>
    </cfRule>
    <cfRule type="cellIs" dxfId="5" priority="5" stopIfTrue="1" operator="between">
      <formula>25</formula>
      <formula>50</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6"/>
  <sheetViews>
    <sheetView showGridLines="0" workbookViewId="0"/>
  </sheetViews>
  <sheetFormatPr defaultColWidth="13" defaultRowHeight="15.6" x14ac:dyDescent="0.3"/>
  <cols>
    <col min="1" max="1" width="23.59765625" style="73" bestFit="1" customWidth="1"/>
    <col min="2" max="2" width="5.8984375" style="73" bestFit="1" customWidth="1"/>
    <col min="3" max="3" width="7.59765625" style="74" hidden="1" customWidth="1"/>
    <col min="4" max="4" width="5.8984375" style="74" hidden="1" customWidth="1"/>
    <col min="5" max="5" width="9.19921875" style="74" bestFit="1" customWidth="1"/>
    <col min="6" max="6" width="7.5" style="74" customWidth="1"/>
    <col min="7" max="7" width="6" style="74" bestFit="1" customWidth="1"/>
    <col min="8" max="8" width="5.19921875" style="74" bestFit="1" customWidth="1"/>
    <col min="9" max="9" width="6.8984375" style="74" bestFit="1" customWidth="1"/>
    <col min="10" max="10" width="34.59765625" style="73" bestFit="1" customWidth="1"/>
    <col min="11" max="16384" width="13" style="31"/>
  </cols>
  <sheetData>
    <row r="1" spans="1:10" ht="23.4" thickBot="1" x14ac:dyDescent="0.35">
      <c r="A1" s="75" t="s">
        <v>12</v>
      </c>
      <c r="B1" s="76"/>
      <c r="C1" s="76"/>
      <c r="D1" s="76"/>
      <c r="E1" s="76"/>
      <c r="F1" s="76"/>
      <c r="G1" s="76"/>
      <c r="H1" s="76"/>
      <c r="I1" s="76"/>
      <c r="J1" s="76"/>
    </row>
    <row r="2" spans="1:10" s="10" customFormat="1" ht="34.200000000000003" thickBot="1" x14ac:dyDescent="0.35">
      <c r="A2" s="6" t="s">
        <v>148</v>
      </c>
      <c r="B2" s="7" t="s">
        <v>149</v>
      </c>
      <c r="C2" s="7" t="s">
        <v>38</v>
      </c>
      <c r="D2" s="7" t="s">
        <v>31</v>
      </c>
      <c r="E2" s="8" t="s">
        <v>63</v>
      </c>
      <c r="F2" s="8" t="s">
        <v>39</v>
      </c>
      <c r="G2" s="8" t="s">
        <v>68</v>
      </c>
      <c r="H2" s="11" t="s">
        <v>118</v>
      </c>
      <c r="I2" s="7" t="s">
        <v>83</v>
      </c>
      <c r="J2" s="9" t="s">
        <v>81</v>
      </c>
    </row>
    <row r="3" spans="1:10" s="10" customFormat="1" ht="16.8" x14ac:dyDescent="0.3">
      <c r="A3" s="77" t="s">
        <v>70</v>
      </c>
      <c r="B3" s="78">
        <f>4+1+1</f>
        <v>6</v>
      </c>
      <c r="C3" s="78" t="s">
        <v>33</v>
      </c>
      <c r="D3" s="78" t="str">
        <f>IF(C3="Str",'Personal File'!$C$11,IF(C3="Dex",'Personal File'!$C$12,IF(C3="Con",'Personal File'!$C$13,IF(C3="Int",'Personal File'!$C$14,IF(C3="Wis",'Personal File'!$C$15,IF(C3="Cha",'Personal File'!$C$16))))))</f>
        <v>+1</v>
      </c>
      <c r="E3" s="79" t="str">
        <f t="shared" ref="E3:E5" si="0">CONCATENATE(C3," (",D3,")")</f>
        <v>Con (+1)</v>
      </c>
      <c r="F3" s="80">
        <v>0</v>
      </c>
      <c r="G3" s="80">
        <f t="shared" ref="G3:G43" si="1">B3+D3+F3</f>
        <v>7</v>
      </c>
      <c r="H3" s="81">
        <f t="shared" ref="H3:H5" ca="1" si="2">RANDBETWEEN(1,20)</f>
        <v>12</v>
      </c>
      <c r="I3" s="82">
        <f t="shared" ref="I3:I5" ca="1" si="3">SUM(G3:H3)</f>
        <v>19</v>
      </c>
      <c r="J3" s="83"/>
    </row>
    <row r="4" spans="1:10" s="10" customFormat="1" ht="16.8" x14ac:dyDescent="0.3">
      <c r="A4" s="84" t="s">
        <v>71</v>
      </c>
      <c r="B4" s="78">
        <f>4+3+1</f>
        <v>8</v>
      </c>
      <c r="C4" s="78" t="s">
        <v>36</v>
      </c>
      <c r="D4" s="78" t="str">
        <f>IF(C4="Str",'Personal File'!$C$11,IF(C4="Dex",'Personal File'!$C$12,IF(C4="Con",'Personal File'!$C$13,IF(C4="Int",'Personal File'!$C$14,IF(C4="Wis",'Personal File'!$C$15,IF(C4="Cha",'Personal File'!$C$16))))))</f>
        <v>+6</v>
      </c>
      <c r="E4" s="85" t="str">
        <f t="shared" si="0"/>
        <v>Dex (+6)</v>
      </c>
      <c r="F4" s="80">
        <v>0</v>
      </c>
      <c r="G4" s="80">
        <f t="shared" si="1"/>
        <v>14</v>
      </c>
      <c r="H4" s="81">
        <f t="shared" ca="1" si="2"/>
        <v>20</v>
      </c>
      <c r="I4" s="82">
        <f t="shared" ca="1" si="3"/>
        <v>34</v>
      </c>
      <c r="J4" s="83"/>
    </row>
    <row r="5" spans="1:10" s="10" customFormat="1" ht="16.8" x14ac:dyDescent="0.3">
      <c r="A5" s="86" t="s">
        <v>72</v>
      </c>
      <c r="B5" s="87">
        <f>4+1+3</f>
        <v>8</v>
      </c>
      <c r="C5" s="87" t="s">
        <v>35</v>
      </c>
      <c r="D5" s="87">
        <f>IF(C5="Str",'Personal File'!$C$11,IF(C5="Dex",'Personal File'!$C$12,IF(C5="Con",'Personal File'!$C$13,IF(C5="Int",'Personal File'!$C$14,IF(C5="Wis",'Personal File'!$C$15,IF(C5="Cha",'Personal File'!$C$16))))))</f>
        <v>-1</v>
      </c>
      <c r="E5" s="88" t="str">
        <f t="shared" si="0"/>
        <v>Wis (-1)</v>
      </c>
      <c r="F5" s="89">
        <v>0</v>
      </c>
      <c r="G5" s="89">
        <f t="shared" si="1"/>
        <v>7</v>
      </c>
      <c r="H5" s="90">
        <f t="shared" ca="1" si="2"/>
        <v>11</v>
      </c>
      <c r="I5" s="91">
        <f t="shared" ca="1" si="3"/>
        <v>18</v>
      </c>
      <c r="J5" s="92" t="s">
        <v>150</v>
      </c>
    </row>
    <row r="6" spans="1:10" s="99" customFormat="1" ht="16.8" x14ac:dyDescent="0.3">
      <c r="A6" s="93" t="s">
        <v>40</v>
      </c>
      <c r="B6" s="78">
        <v>0</v>
      </c>
      <c r="C6" s="94" t="s">
        <v>34</v>
      </c>
      <c r="D6" s="95" t="str">
        <f>IF(C6="Str",'Personal File'!$C$11,IF(C6="Dex",'Personal File'!$C$12,IF(C6="Con",'Personal File'!$C$13,IF(C6="Int",'Personal File'!$C$14,IF(C6="Wis",'Personal File'!$C$15,IF(C6="Cha",'Personal File'!$C$16))))))</f>
        <v>+2</v>
      </c>
      <c r="E6" s="96" t="str">
        <f t="shared" ref="E6:E43" si="4">CONCATENATE(C6," (",D6,")")</f>
        <v>Int (+2)</v>
      </c>
      <c r="F6" s="80">
        <v>0</v>
      </c>
      <c r="G6" s="394">
        <f t="shared" si="1"/>
        <v>2</v>
      </c>
      <c r="H6" s="81">
        <f ca="1">RANDBETWEEN(1,20)</f>
        <v>1</v>
      </c>
      <c r="I6" s="97">
        <f t="shared" ref="I6:I7" ca="1" si="5">SUM(G6:H6)</f>
        <v>3</v>
      </c>
      <c r="J6" s="98"/>
    </row>
    <row r="7" spans="1:10" s="104" customFormat="1" ht="16.8" x14ac:dyDescent="0.3">
      <c r="A7" s="100" t="s">
        <v>41</v>
      </c>
      <c r="B7" s="78">
        <v>0</v>
      </c>
      <c r="C7" s="101" t="s">
        <v>36</v>
      </c>
      <c r="D7" s="102" t="str">
        <f>IF(C7="Str",'Personal File'!$C$11,IF(C7="Dex",'Personal File'!$C$12,IF(C7="Con",'Personal File'!$C$13,IF(C7="Int",'Personal File'!$C$14,IF(C7="Wis",'Personal File'!$C$15,IF(C7="Cha",'Personal File'!$C$16))))))</f>
        <v>+6</v>
      </c>
      <c r="E7" s="85" t="str">
        <f t="shared" si="4"/>
        <v>Dex (+6)</v>
      </c>
      <c r="F7" s="394">
        <f>2+6</f>
        <v>8</v>
      </c>
      <c r="G7" s="394">
        <f t="shared" si="1"/>
        <v>14</v>
      </c>
      <c r="H7" s="81">
        <f t="shared" ref="H7:H43" ca="1" si="6">RANDBETWEEN(1,20)</f>
        <v>7</v>
      </c>
      <c r="I7" s="97">
        <f t="shared" ca="1" si="5"/>
        <v>21</v>
      </c>
      <c r="J7" s="103" t="s">
        <v>205</v>
      </c>
    </row>
    <row r="8" spans="1:10" s="109" customFormat="1" ht="16.8" x14ac:dyDescent="0.3">
      <c r="A8" s="134" t="s">
        <v>42</v>
      </c>
      <c r="B8" s="116">
        <v>12</v>
      </c>
      <c r="C8" s="135" t="s">
        <v>32</v>
      </c>
      <c r="D8" s="136" t="str">
        <f>IF(C8="Str",'Personal File'!$C$11,IF(C8="Dex",'Personal File'!$C$12,IF(C8="Con",'Personal File'!$C$13,IF(C8="Int",'Personal File'!$C$14,IF(C8="Wis",'Personal File'!$C$15,IF(C8="Cha",'Personal File'!$C$16))))))</f>
        <v>+7</v>
      </c>
      <c r="E8" s="137" t="str">
        <f t="shared" si="4"/>
        <v>Cha (+7)</v>
      </c>
      <c r="F8" s="395">
        <f>4+2</f>
        <v>6</v>
      </c>
      <c r="G8" s="395">
        <f t="shared" si="1"/>
        <v>25</v>
      </c>
      <c r="H8" s="81">
        <f t="shared" ca="1" si="6"/>
        <v>5</v>
      </c>
      <c r="I8" s="120">
        <f t="shared" ref="I8:I43" ca="1" si="7">SUM(G8:H8)</f>
        <v>30</v>
      </c>
      <c r="J8" s="121"/>
    </row>
    <row r="9" spans="1:10" s="114" customFormat="1" ht="16.8" x14ac:dyDescent="0.3">
      <c r="A9" s="110" t="s">
        <v>43</v>
      </c>
      <c r="B9" s="78">
        <v>0</v>
      </c>
      <c r="C9" s="111" t="s">
        <v>37</v>
      </c>
      <c r="D9" s="112" t="str">
        <f>IF(C9="Str",'Personal File'!$C$11,IF(C9="Dex",'Personal File'!$C$12,IF(C9="Con",'Personal File'!$C$13,IF(C9="Int",'Personal File'!$C$14,IF(C9="Wis",'Personal File'!$C$15,IF(C9="Cha",'Personal File'!$C$16))))))</f>
        <v>+2</v>
      </c>
      <c r="E9" s="113" t="str">
        <f t="shared" si="4"/>
        <v>Str (+2)</v>
      </c>
      <c r="F9" s="394">
        <f>2+2</f>
        <v>4</v>
      </c>
      <c r="G9" s="394">
        <f t="shared" si="1"/>
        <v>6</v>
      </c>
      <c r="H9" s="81">
        <f t="shared" ca="1" si="6"/>
        <v>1</v>
      </c>
      <c r="I9" s="97">
        <f t="shared" ca="1" si="7"/>
        <v>7</v>
      </c>
      <c r="J9" s="98"/>
    </row>
    <row r="10" spans="1:10" s="114" customFormat="1" ht="16.8" x14ac:dyDescent="0.3">
      <c r="A10" s="115" t="s">
        <v>18</v>
      </c>
      <c r="B10" s="116">
        <v>5</v>
      </c>
      <c r="C10" s="117" t="s">
        <v>33</v>
      </c>
      <c r="D10" s="118" t="str">
        <f>IF(C10="Str",'Personal File'!$C$11,IF(C10="Dex",'Personal File'!$C$12,IF(C10="Con",'Personal File'!$C$13,IF(C10="Int",'Personal File'!$C$14,IF(C10="Wis",'Personal File'!$C$15,IF(C10="Cha",'Personal File'!$C$16))))))</f>
        <v>+1</v>
      </c>
      <c r="E10" s="119" t="str">
        <f t="shared" si="4"/>
        <v>Con (+1)</v>
      </c>
      <c r="F10" s="395" t="s">
        <v>64</v>
      </c>
      <c r="G10" s="395">
        <f t="shared" si="1"/>
        <v>6</v>
      </c>
      <c r="H10" s="81">
        <f t="shared" ca="1" si="6"/>
        <v>3</v>
      </c>
      <c r="I10" s="120">
        <f t="shared" ca="1" si="7"/>
        <v>9</v>
      </c>
      <c r="J10" s="121"/>
    </row>
    <row r="11" spans="1:10" s="99" customFormat="1" ht="16.8" x14ac:dyDescent="0.3">
      <c r="A11" s="130" t="s">
        <v>203</v>
      </c>
      <c r="B11" s="116">
        <v>1</v>
      </c>
      <c r="C11" s="131" t="s">
        <v>34</v>
      </c>
      <c r="D11" s="132" t="str">
        <f>IF(C11="Str",'Personal File'!$C$11,IF(C11="Dex",'Personal File'!$C$12,IF(C11="Con",'Personal File'!$C$13,IF(C11="Int",'Personal File'!$C$14,IF(C11="Wis",'Personal File'!$C$15,IF(C11="Cha",'Personal File'!$C$16))))))</f>
        <v>+2</v>
      </c>
      <c r="E11" s="133" t="str">
        <f t="shared" si="4"/>
        <v>Int (+2)</v>
      </c>
      <c r="F11" s="395" t="s">
        <v>64</v>
      </c>
      <c r="G11" s="395">
        <f t="shared" si="1"/>
        <v>3</v>
      </c>
      <c r="H11" s="81">
        <f t="shared" ca="1" si="6"/>
        <v>7</v>
      </c>
      <c r="I11" s="120">
        <f t="shared" ca="1" si="7"/>
        <v>10</v>
      </c>
      <c r="J11" s="121"/>
    </row>
    <row r="12" spans="1:10" s="129" customFormat="1" ht="16.8" x14ac:dyDescent="0.3">
      <c r="A12" s="122" t="s">
        <v>44</v>
      </c>
      <c r="B12" s="123">
        <v>0</v>
      </c>
      <c r="C12" s="124" t="s">
        <v>34</v>
      </c>
      <c r="D12" s="125" t="str">
        <f>IF(C12="Str",'Personal File'!$C$11,IF(C12="Dex",'Personal File'!$C$12,IF(C12="Con",'Personal File'!$C$13,IF(C12="Int",'Personal File'!$C$14,IF(C12="Wis",'Personal File'!$C$15,IF(C12="Cha",'Personal File'!$C$16))))))</f>
        <v>+2</v>
      </c>
      <c r="E12" s="126" t="str">
        <f t="shared" si="4"/>
        <v>Int (+2)</v>
      </c>
      <c r="F12" s="396" t="s">
        <v>64</v>
      </c>
      <c r="G12" s="396">
        <f t="shared" si="1"/>
        <v>2</v>
      </c>
      <c r="H12" s="81">
        <f t="shared" ca="1" si="6"/>
        <v>3</v>
      </c>
      <c r="I12" s="127">
        <f t="shared" ca="1" si="7"/>
        <v>5</v>
      </c>
      <c r="J12" s="128"/>
    </row>
    <row r="13" spans="1:10" s="104" customFormat="1" ht="16.8" x14ac:dyDescent="0.3">
      <c r="A13" s="105" t="s">
        <v>45</v>
      </c>
      <c r="B13" s="78">
        <v>0</v>
      </c>
      <c r="C13" s="106" t="s">
        <v>32</v>
      </c>
      <c r="D13" s="107" t="str">
        <f>IF(C13="Str",'Personal File'!$C$11,IF(C13="Dex",'Personal File'!$C$12,IF(C13="Con",'Personal File'!$C$13,IF(C13="Int",'Personal File'!$C$14,IF(C13="Wis",'Personal File'!$C$15,IF(C13="Cha",'Personal File'!$C$16))))))</f>
        <v>+7</v>
      </c>
      <c r="E13" s="108" t="str">
        <f t="shared" si="4"/>
        <v>Cha (+7)</v>
      </c>
      <c r="F13" s="394" t="s">
        <v>108</v>
      </c>
      <c r="G13" s="394">
        <f t="shared" si="1"/>
        <v>9</v>
      </c>
      <c r="H13" s="81">
        <f t="shared" ca="1" si="6"/>
        <v>8</v>
      </c>
      <c r="I13" s="97">
        <f t="shared" ca="1" si="7"/>
        <v>17</v>
      </c>
      <c r="J13" s="98"/>
    </row>
    <row r="14" spans="1:10" s="104" customFormat="1" ht="16.8" x14ac:dyDescent="0.3">
      <c r="A14" s="130" t="s">
        <v>46</v>
      </c>
      <c r="B14" s="116">
        <v>7</v>
      </c>
      <c r="C14" s="131" t="s">
        <v>34</v>
      </c>
      <c r="D14" s="132" t="str">
        <f>IF(C14="Str",'Personal File'!$C$11,IF(C14="Dex",'Personal File'!$C$12,IF(C14="Con",'Personal File'!$C$13,IF(C14="Int",'Personal File'!$C$14,IF(C14="Wis",'Personal File'!$C$15,IF(C14="Cha",'Personal File'!$C$16))))))</f>
        <v>+2</v>
      </c>
      <c r="E14" s="133" t="str">
        <f t="shared" si="4"/>
        <v>Int (+2)</v>
      </c>
      <c r="F14" s="395" t="s">
        <v>108</v>
      </c>
      <c r="G14" s="395">
        <f t="shared" si="1"/>
        <v>11</v>
      </c>
      <c r="H14" s="81">
        <f t="shared" ca="1" si="6"/>
        <v>11</v>
      </c>
      <c r="I14" s="120">
        <f t="shared" ca="1" si="7"/>
        <v>22</v>
      </c>
      <c r="J14" s="121"/>
    </row>
    <row r="15" spans="1:10" s="104" customFormat="1" ht="16.8" x14ac:dyDescent="0.3">
      <c r="A15" s="105" t="s">
        <v>47</v>
      </c>
      <c r="B15" s="78">
        <v>0</v>
      </c>
      <c r="C15" s="106" t="s">
        <v>32</v>
      </c>
      <c r="D15" s="107" t="str">
        <f>IF(C15="Str",'Personal File'!$C$11,IF(C15="Dex",'Personal File'!$C$12,IF(C15="Con",'Personal File'!$C$13,IF(C15="Int",'Personal File'!$C$14,IF(C15="Wis",'Personal File'!$C$15,IF(C15="Cha",'Personal File'!$C$16))))))</f>
        <v>+7</v>
      </c>
      <c r="E15" s="108" t="str">
        <f t="shared" si="4"/>
        <v>Cha (+7)</v>
      </c>
      <c r="F15" s="394" t="s">
        <v>108</v>
      </c>
      <c r="G15" s="394">
        <f t="shared" si="1"/>
        <v>9</v>
      </c>
      <c r="H15" s="81">
        <f t="shared" ca="1" si="6"/>
        <v>9</v>
      </c>
      <c r="I15" s="97">
        <f t="shared" ca="1" si="7"/>
        <v>18</v>
      </c>
      <c r="J15" s="98"/>
    </row>
    <row r="16" spans="1:10" s="104" customFormat="1" ht="16.8" x14ac:dyDescent="0.3">
      <c r="A16" s="146" t="s">
        <v>48</v>
      </c>
      <c r="B16" s="116">
        <v>5</v>
      </c>
      <c r="C16" s="147" t="s">
        <v>36</v>
      </c>
      <c r="D16" s="148" t="str">
        <f>IF(C16="Str",'Personal File'!$C$11,IF(C16="Dex",'Personal File'!$C$12,IF(C16="Con",'Personal File'!$C$13,IF(C16="Int",'Personal File'!$C$14,IF(C16="Wis",'Personal File'!$C$15,IF(C16="Cha",'Personal File'!$C$16))))))</f>
        <v>+6</v>
      </c>
      <c r="E16" s="149" t="str">
        <f t="shared" si="4"/>
        <v>Dex (+6)</v>
      </c>
      <c r="F16" s="395" t="s">
        <v>64</v>
      </c>
      <c r="G16" s="395">
        <f t="shared" si="1"/>
        <v>11</v>
      </c>
      <c r="H16" s="81">
        <f t="shared" ca="1" si="6"/>
        <v>9</v>
      </c>
      <c r="I16" s="120">
        <f t="shared" ca="1" si="7"/>
        <v>20</v>
      </c>
      <c r="J16" s="121"/>
    </row>
    <row r="17" spans="1:10" s="104" customFormat="1" ht="16.8" x14ac:dyDescent="0.3">
      <c r="A17" s="93" t="s">
        <v>49</v>
      </c>
      <c r="B17" s="78">
        <v>0</v>
      </c>
      <c r="C17" s="94" t="s">
        <v>34</v>
      </c>
      <c r="D17" s="95" t="str">
        <f>IF(C17="Str",'Personal File'!$C$11,IF(C17="Dex",'Personal File'!$C$12,IF(C17="Con",'Personal File'!$C$13,IF(C17="Int",'Personal File'!$C$14,IF(C17="Wis",'Personal File'!$C$15,IF(C17="Cha",'Personal File'!$C$16))))))</f>
        <v>+2</v>
      </c>
      <c r="E17" s="96" t="str">
        <f t="shared" si="4"/>
        <v>Int (+2)</v>
      </c>
      <c r="F17" s="394" t="s">
        <v>64</v>
      </c>
      <c r="G17" s="394">
        <f t="shared" si="1"/>
        <v>2</v>
      </c>
      <c r="H17" s="81">
        <f t="shared" ca="1" si="6"/>
        <v>4</v>
      </c>
      <c r="I17" s="97">
        <f t="shared" ca="1" si="7"/>
        <v>6</v>
      </c>
      <c r="J17" s="98"/>
    </row>
    <row r="18" spans="1:10" s="104" customFormat="1" ht="16.8" x14ac:dyDescent="0.3">
      <c r="A18" s="134" t="s">
        <v>50</v>
      </c>
      <c r="B18" s="116">
        <v>1</v>
      </c>
      <c r="C18" s="135" t="s">
        <v>32</v>
      </c>
      <c r="D18" s="136" t="str">
        <f>IF(C18="Str",'Personal File'!$C$11,IF(C18="Dex",'Personal File'!$C$12,IF(C18="Con",'Personal File'!$C$13,IF(C18="Int",'Personal File'!$C$14,IF(C18="Wis",'Personal File'!$C$15,IF(C18="Cha",'Personal File'!$C$16))))))</f>
        <v>+7</v>
      </c>
      <c r="E18" s="137" t="str">
        <f t="shared" si="4"/>
        <v>Cha (+7)</v>
      </c>
      <c r="F18" s="395" t="s">
        <v>108</v>
      </c>
      <c r="G18" s="395">
        <f t="shared" si="1"/>
        <v>10</v>
      </c>
      <c r="H18" s="81">
        <f t="shared" ca="1" si="6"/>
        <v>2</v>
      </c>
      <c r="I18" s="120">
        <f t="shared" ca="1" si="7"/>
        <v>12</v>
      </c>
      <c r="J18" s="121"/>
    </row>
    <row r="19" spans="1:10" s="104" customFormat="1" ht="16.8" x14ac:dyDescent="0.3">
      <c r="A19" s="138" t="s">
        <v>20</v>
      </c>
      <c r="B19" s="123">
        <v>0</v>
      </c>
      <c r="C19" s="139" t="s">
        <v>32</v>
      </c>
      <c r="D19" s="140" t="str">
        <f>IF(C19="Str",'Personal File'!$C$11,IF(C19="Dex",'Personal File'!$C$12,IF(C19="Con",'Personal File'!$C$13,IF(C19="Int",'Personal File'!$C$14,IF(C19="Wis",'Personal File'!$C$15,IF(C19="Cha",'Personal File'!$C$16))))))</f>
        <v>+7</v>
      </c>
      <c r="E19" s="141" t="str">
        <f t="shared" si="4"/>
        <v>Cha (+7)</v>
      </c>
      <c r="F19" s="396" t="s">
        <v>64</v>
      </c>
      <c r="G19" s="396">
        <f t="shared" si="1"/>
        <v>7</v>
      </c>
      <c r="H19" s="81">
        <f t="shared" ca="1" si="6"/>
        <v>6</v>
      </c>
      <c r="I19" s="127">
        <f t="shared" ca="1" si="7"/>
        <v>13</v>
      </c>
      <c r="J19" s="128"/>
    </row>
    <row r="20" spans="1:10" s="104" customFormat="1" ht="16.8" x14ac:dyDescent="0.3">
      <c r="A20" s="142" t="s">
        <v>51</v>
      </c>
      <c r="B20" s="78">
        <v>0</v>
      </c>
      <c r="C20" s="143" t="s">
        <v>35</v>
      </c>
      <c r="D20" s="144">
        <f>IF(C20="Str",'Personal File'!$C$11,IF(C20="Dex",'Personal File'!$C$12,IF(C20="Con",'Personal File'!$C$13,IF(C20="Int",'Personal File'!$C$14,IF(C20="Wis",'Personal File'!$C$15,IF(C20="Cha",'Personal File'!$C$16))))))</f>
        <v>-1</v>
      </c>
      <c r="E20" s="145" t="str">
        <f t="shared" si="4"/>
        <v>Wis (-1)</v>
      </c>
      <c r="F20" s="394" t="s">
        <v>64</v>
      </c>
      <c r="G20" s="394">
        <f t="shared" si="1"/>
        <v>-1</v>
      </c>
      <c r="H20" s="81">
        <f t="shared" ca="1" si="6"/>
        <v>2</v>
      </c>
      <c r="I20" s="97">
        <f t="shared" ca="1" si="7"/>
        <v>1</v>
      </c>
      <c r="J20" s="98"/>
    </row>
    <row r="21" spans="1:10" s="104" customFormat="1" ht="16.8" x14ac:dyDescent="0.3">
      <c r="A21" s="146" t="s">
        <v>52</v>
      </c>
      <c r="B21" s="116">
        <v>12</v>
      </c>
      <c r="C21" s="147" t="s">
        <v>36</v>
      </c>
      <c r="D21" s="148" t="str">
        <f>IF(C21="Str",'Personal File'!$C$11,IF(C21="Dex",'Personal File'!$C$12,IF(C21="Con",'Personal File'!$C$13,IF(C21="Int",'Personal File'!$C$14,IF(C21="Wis",'Personal File'!$C$15,IF(C21="Cha",'Personal File'!$C$16))))))</f>
        <v>+6</v>
      </c>
      <c r="E21" s="149" t="str">
        <f t="shared" si="4"/>
        <v>Dex (+6)</v>
      </c>
      <c r="F21" s="395" t="s">
        <v>103</v>
      </c>
      <c r="G21" s="395">
        <f t="shared" si="1"/>
        <v>22</v>
      </c>
      <c r="H21" s="81">
        <f t="shared" ca="1" si="6"/>
        <v>2</v>
      </c>
      <c r="I21" s="120">
        <f t="shared" ca="1" si="7"/>
        <v>24</v>
      </c>
      <c r="J21" s="121"/>
    </row>
    <row r="22" spans="1:10" s="104" customFormat="1" ht="16.8" x14ac:dyDescent="0.3">
      <c r="A22" s="105" t="s">
        <v>53</v>
      </c>
      <c r="B22" s="78">
        <v>0</v>
      </c>
      <c r="C22" s="106" t="s">
        <v>32</v>
      </c>
      <c r="D22" s="107" t="str">
        <f>IF(C22="Str",'Personal File'!$C$11,IF(C22="Dex",'Personal File'!$C$12,IF(C22="Con",'Personal File'!$C$13,IF(C22="Int",'Personal File'!$C$14,IF(C22="Wis",'Personal File'!$C$15,IF(C22="Cha",'Personal File'!$C$16))))))</f>
        <v>+7</v>
      </c>
      <c r="E22" s="108" t="str">
        <f t="shared" si="4"/>
        <v>Cha (+7)</v>
      </c>
      <c r="F22" s="394" t="s">
        <v>64</v>
      </c>
      <c r="G22" s="394">
        <f t="shared" si="1"/>
        <v>7</v>
      </c>
      <c r="H22" s="81">
        <f t="shared" ca="1" si="6"/>
        <v>1</v>
      </c>
      <c r="I22" s="97">
        <f t="shared" ca="1" si="7"/>
        <v>8</v>
      </c>
      <c r="J22" s="98"/>
    </row>
    <row r="23" spans="1:10" s="104" customFormat="1" ht="16.8" x14ac:dyDescent="0.3">
      <c r="A23" s="110" t="s">
        <v>54</v>
      </c>
      <c r="B23" s="78">
        <v>0</v>
      </c>
      <c r="C23" s="111" t="s">
        <v>37</v>
      </c>
      <c r="D23" s="112" t="str">
        <f>IF(C23="Str",'Personal File'!$C$11,IF(C23="Dex",'Personal File'!$C$12,IF(C23="Con",'Personal File'!$C$13,IF(C23="Int",'Personal File'!$C$14,IF(C23="Wis",'Personal File'!$C$15,IF(C23="Cha",'Personal File'!$C$16))))))</f>
        <v>+2</v>
      </c>
      <c r="E23" s="113" t="str">
        <f t="shared" si="4"/>
        <v>Str (+2)</v>
      </c>
      <c r="F23" s="394">
        <f>4+6</f>
        <v>10</v>
      </c>
      <c r="G23" s="394">
        <f t="shared" si="1"/>
        <v>12</v>
      </c>
      <c r="H23" s="81">
        <f t="shared" ca="1" si="6"/>
        <v>15</v>
      </c>
      <c r="I23" s="97">
        <f t="shared" ca="1" si="7"/>
        <v>27</v>
      </c>
      <c r="J23" s="103" t="s">
        <v>205</v>
      </c>
    </row>
    <row r="24" spans="1:10" s="104" customFormat="1" ht="16.8" x14ac:dyDescent="0.3">
      <c r="A24" s="130" t="s">
        <v>89</v>
      </c>
      <c r="B24" s="116">
        <v>1</v>
      </c>
      <c r="C24" s="131" t="s">
        <v>34</v>
      </c>
      <c r="D24" s="132" t="str">
        <f>IF(C24="Str",'Personal File'!$C$11,IF(C24="Dex",'Personal File'!$C$12,IF(C24="Con",'Personal File'!$C$13,IF(C24="Int",'Personal File'!$C$14,IF(C24="Wis",'Personal File'!$C$15,IF(C24="Cha",'Personal File'!$C$16))))))</f>
        <v>+2</v>
      </c>
      <c r="E24" s="133" t="str">
        <f t="shared" si="4"/>
        <v>Int (+2)</v>
      </c>
      <c r="F24" s="395" t="s">
        <v>64</v>
      </c>
      <c r="G24" s="395">
        <f t="shared" si="1"/>
        <v>3</v>
      </c>
      <c r="H24" s="81">
        <f t="shared" ca="1" si="6"/>
        <v>4</v>
      </c>
      <c r="I24" s="120">
        <f t="shared" ca="1" si="7"/>
        <v>7</v>
      </c>
      <c r="J24" s="121"/>
    </row>
    <row r="25" spans="1:10" s="104" customFormat="1" ht="16.8" x14ac:dyDescent="0.3">
      <c r="A25" s="130" t="s">
        <v>101</v>
      </c>
      <c r="B25" s="116">
        <v>2</v>
      </c>
      <c r="C25" s="131" t="s">
        <v>34</v>
      </c>
      <c r="D25" s="132" t="str">
        <f>IF(C25="Str",'Personal File'!$C$11,IF(C25="Dex",'Personal File'!$C$12,IF(C25="Con",'Personal File'!$C$13,IF(C25="Int",'Personal File'!$C$14,IF(C25="Wis",'Personal File'!$C$15,IF(C25="Cha",'Personal File'!$C$16))))))</f>
        <v>+2</v>
      </c>
      <c r="E25" s="133" t="str">
        <f t="shared" ref="E25:E26" si="8">CONCATENATE(C25," (",D25,")")</f>
        <v>Int (+2)</v>
      </c>
      <c r="F25" s="395" t="s">
        <v>64</v>
      </c>
      <c r="G25" s="395">
        <f t="shared" si="1"/>
        <v>4</v>
      </c>
      <c r="H25" s="81">
        <f t="shared" ca="1" si="6"/>
        <v>13</v>
      </c>
      <c r="I25" s="120">
        <f t="shared" ca="1" si="7"/>
        <v>17</v>
      </c>
      <c r="J25" s="121"/>
    </row>
    <row r="26" spans="1:10" s="104" customFormat="1" ht="16.8" x14ac:dyDescent="0.3">
      <c r="A26" s="130" t="s">
        <v>102</v>
      </c>
      <c r="B26" s="116">
        <v>12</v>
      </c>
      <c r="C26" s="131" t="s">
        <v>34</v>
      </c>
      <c r="D26" s="132" t="str">
        <f>IF(C26="Str",'Personal File'!$C$11,IF(C26="Dex",'Personal File'!$C$12,IF(C26="Con",'Personal File'!$C$13,IF(C26="Int",'Personal File'!$C$14,IF(C26="Wis",'Personal File'!$C$15,IF(C26="Cha",'Personal File'!$C$16))))))</f>
        <v>+2</v>
      </c>
      <c r="E26" s="133" t="str">
        <f t="shared" si="8"/>
        <v>Int (+2)</v>
      </c>
      <c r="F26" s="395" t="s">
        <v>64</v>
      </c>
      <c r="G26" s="395">
        <f t="shared" si="1"/>
        <v>14</v>
      </c>
      <c r="H26" s="81">
        <f t="shared" ca="1" si="6"/>
        <v>19</v>
      </c>
      <c r="I26" s="120">
        <f t="shared" ca="1" si="7"/>
        <v>33</v>
      </c>
      <c r="J26" s="121"/>
    </row>
    <row r="27" spans="1:10" s="104" customFormat="1" ht="16.8" x14ac:dyDescent="0.3">
      <c r="A27" s="150" t="s">
        <v>55</v>
      </c>
      <c r="B27" s="116">
        <v>10</v>
      </c>
      <c r="C27" s="151" t="s">
        <v>35</v>
      </c>
      <c r="D27" s="152">
        <f>IF(C27="Str",'Personal File'!$C$11,IF(C27="Dex",'Personal File'!$C$12,IF(C27="Con",'Personal File'!$C$13,IF(C27="Int",'Personal File'!$C$14,IF(C27="Wis",'Personal File'!$C$15,IF(C27="Cha",'Personal File'!$C$16))))))</f>
        <v>-1</v>
      </c>
      <c r="E27" s="153" t="str">
        <f t="shared" si="4"/>
        <v>Wis (-1)</v>
      </c>
      <c r="F27" s="395">
        <f>2+8</f>
        <v>10</v>
      </c>
      <c r="G27" s="395">
        <f t="shared" si="1"/>
        <v>19</v>
      </c>
      <c r="H27" s="81">
        <f t="shared" ca="1" si="6"/>
        <v>7</v>
      </c>
      <c r="I27" s="120">
        <f t="shared" ca="1" si="7"/>
        <v>26</v>
      </c>
      <c r="J27" s="121"/>
    </row>
    <row r="28" spans="1:10" s="104" customFormat="1" ht="16.8" x14ac:dyDescent="0.3">
      <c r="A28" s="146" t="s">
        <v>21</v>
      </c>
      <c r="B28" s="116">
        <v>10</v>
      </c>
      <c r="C28" s="147" t="s">
        <v>36</v>
      </c>
      <c r="D28" s="148" t="str">
        <f>IF(C28="Str",'Personal File'!$C$11,IF(C28="Dex",'Personal File'!$C$12,IF(C28="Con",'Personal File'!$C$13,IF(C28="Int",'Personal File'!$C$14,IF(C28="Wis",'Personal File'!$C$15,IF(C28="Cha",'Personal File'!$C$16))))))</f>
        <v>+6</v>
      </c>
      <c r="E28" s="149" t="str">
        <f t="shared" si="4"/>
        <v>Dex (+6)</v>
      </c>
      <c r="F28" s="395" t="s">
        <v>108</v>
      </c>
      <c r="G28" s="395">
        <f t="shared" si="1"/>
        <v>18</v>
      </c>
      <c r="H28" s="81">
        <f t="shared" ca="1" si="6"/>
        <v>14</v>
      </c>
      <c r="I28" s="120">
        <f t="shared" ca="1" si="7"/>
        <v>32</v>
      </c>
      <c r="J28" s="121"/>
    </row>
    <row r="29" spans="1:10" s="104" customFormat="1" ht="16.8" x14ac:dyDescent="0.3">
      <c r="A29" s="146" t="s">
        <v>56</v>
      </c>
      <c r="B29" s="116">
        <v>5</v>
      </c>
      <c r="C29" s="147" t="s">
        <v>36</v>
      </c>
      <c r="D29" s="148" t="str">
        <f>IF(C29="Str",'Personal File'!$C$11,IF(C29="Dex",'Personal File'!$C$12,IF(C29="Con",'Personal File'!$C$13,IF(C29="Int",'Personal File'!$C$14,IF(C29="Wis",'Personal File'!$C$15,IF(C29="Cha",'Personal File'!$C$16))))))</f>
        <v>+6</v>
      </c>
      <c r="E29" s="149" t="str">
        <f t="shared" si="4"/>
        <v>Dex (+6)</v>
      </c>
      <c r="F29" s="395" t="s">
        <v>108</v>
      </c>
      <c r="G29" s="395">
        <f t="shared" si="1"/>
        <v>13</v>
      </c>
      <c r="H29" s="81">
        <f t="shared" ca="1" si="6"/>
        <v>1</v>
      </c>
      <c r="I29" s="120">
        <f t="shared" ca="1" si="7"/>
        <v>14</v>
      </c>
      <c r="J29" s="121"/>
    </row>
    <row r="30" spans="1:10" ht="16.8" x14ac:dyDescent="0.3">
      <c r="A30" s="105" t="s">
        <v>124</v>
      </c>
      <c r="B30" s="78">
        <v>0</v>
      </c>
      <c r="C30" s="106" t="s">
        <v>32</v>
      </c>
      <c r="D30" s="107" t="str">
        <f>IF(C30="Str",'Personal File'!$C$11,IF(C30="Dex",'Personal File'!$C$12,IF(C30="Con",'Personal File'!$C$13,IF(C30="Int",'Personal File'!$C$14,IF(C30="Wis",'Personal File'!$C$15,IF(C30="Cha",'Personal File'!$C$16))))))</f>
        <v>+7</v>
      </c>
      <c r="E30" s="108" t="str">
        <f t="shared" si="4"/>
        <v>Cha (+7)</v>
      </c>
      <c r="F30" s="394" t="s">
        <v>64</v>
      </c>
      <c r="G30" s="394">
        <f t="shared" si="1"/>
        <v>7</v>
      </c>
      <c r="H30" s="81">
        <f t="shared" ca="1" si="6"/>
        <v>9</v>
      </c>
      <c r="I30" s="97">
        <f t="shared" ca="1" si="7"/>
        <v>16</v>
      </c>
      <c r="J30" s="98"/>
    </row>
    <row r="31" spans="1:10" ht="16.8" x14ac:dyDescent="0.3">
      <c r="A31" s="154" t="s">
        <v>125</v>
      </c>
      <c r="B31" s="155">
        <v>0</v>
      </c>
      <c r="C31" s="156" t="s">
        <v>35</v>
      </c>
      <c r="D31" s="157">
        <f>IF(C31="Str",'Personal File'!$C$11,IF(C31="Dex",'Personal File'!$C$12,IF(C31="Con",'Personal File'!$C$13,IF(C31="Int",'Personal File'!$C$14,IF(C31="Wis",'Personal File'!$C$15,IF(C31="Cha",'Personal File'!$C$16))))))</f>
        <v>-1</v>
      </c>
      <c r="E31" s="158" t="str">
        <f t="shared" ref="E31" si="9">CONCATENATE(C31," (",D31,")")</f>
        <v>Wis (-1)</v>
      </c>
      <c r="F31" s="396" t="s">
        <v>64</v>
      </c>
      <c r="G31" s="417">
        <f t="shared" si="1"/>
        <v>-1</v>
      </c>
      <c r="H31" s="81">
        <f t="shared" ca="1" si="6"/>
        <v>9</v>
      </c>
      <c r="I31" s="159">
        <f t="shared" ca="1" si="7"/>
        <v>8</v>
      </c>
      <c r="J31" s="160"/>
    </row>
    <row r="32" spans="1:10" ht="16.8" x14ac:dyDescent="0.3">
      <c r="A32" s="100" t="s">
        <v>22</v>
      </c>
      <c r="B32" s="78">
        <v>0</v>
      </c>
      <c r="C32" s="101" t="s">
        <v>36</v>
      </c>
      <c r="D32" s="102" t="str">
        <f>IF(C32="Str",'Personal File'!$C$11,IF(C32="Dex",'Personal File'!$C$12,IF(C32="Con",'Personal File'!$C$13,IF(C32="Int",'Personal File'!$C$14,IF(C32="Wis",'Personal File'!$C$15,IF(C32="Cha",'Personal File'!$C$16))))))</f>
        <v>+6</v>
      </c>
      <c r="E32" s="85" t="str">
        <f t="shared" si="4"/>
        <v>Dex (+6)</v>
      </c>
      <c r="F32" s="394" t="s">
        <v>64</v>
      </c>
      <c r="G32" s="394">
        <f t="shared" si="1"/>
        <v>6</v>
      </c>
      <c r="H32" s="81">
        <f t="shared" ca="1" si="6"/>
        <v>1</v>
      </c>
      <c r="I32" s="97">
        <f t="shared" ca="1" si="7"/>
        <v>7</v>
      </c>
      <c r="J32" s="98"/>
    </row>
    <row r="33" spans="1:10" ht="16.8" x14ac:dyDescent="0.3">
      <c r="A33" s="93" t="s">
        <v>23</v>
      </c>
      <c r="B33" s="78">
        <v>0</v>
      </c>
      <c r="C33" s="94" t="s">
        <v>34</v>
      </c>
      <c r="D33" s="95" t="str">
        <f>IF(C33="Str",'Personal File'!$C$11,IF(C33="Dex",'Personal File'!$C$12,IF(C33="Con",'Personal File'!$C$13,IF(C33="Int",'Personal File'!$C$14,IF(C33="Wis",'Personal File'!$C$15,IF(C33="Cha",'Personal File'!$C$16))))))</f>
        <v>+2</v>
      </c>
      <c r="E33" s="96" t="str">
        <f t="shared" si="4"/>
        <v>Int (+2)</v>
      </c>
      <c r="F33" s="394" t="s">
        <v>64</v>
      </c>
      <c r="G33" s="394">
        <f t="shared" si="1"/>
        <v>2</v>
      </c>
      <c r="H33" s="81">
        <f t="shared" ca="1" si="6"/>
        <v>14</v>
      </c>
      <c r="I33" s="97">
        <f t="shared" ca="1" si="7"/>
        <v>16</v>
      </c>
      <c r="J33" s="98"/>
    </row>
    <row r="34" spans="1:10" ht="16.8" x14ac:dyDescent="0.3">
      <c r="A34" s="142" t="s">
        <v>57</v>
      </c>
      <c r="B34" s="78">
        <v>0</v>
      </c>
      <c r="C34" s="143" t="s">
        <v>35</v>
      </c>
      <c r="D34" s="144">
        <f>IF(C34="Str",'Personal File'!$C$11,IF(C34="Dex",'Personal File'!$C$12,IF(C34="Con",'Personal File'!$C$13,IF(C34="Int",'Personal File'!$C$14,IF(C34="Wis",'Personal File'!$C$15,IF(C34="Cha",'Personal File'!$C$16))))))</f>
        <v>-1</v>
      </c>
      <c r="E34" s="145" t="str">
        <f t="shared" si="4"/>
        <v>Wis (-1)</v>
      </c>
      <c r="F34" s="394" t="s">
        <v>64</v>
      </c>
      <c r="G34" s="394">
        <f t="shared" si="1"/>
        <v>-1</v>
      </c>
      <c r="H34" s="81">
        <f t="shared" ca="1" si="6"/>
        <v>4</v>
      </c>
      <c r="I34" s="97">
        <f t="shared" ca="1" si="7"/>
        <v>3</v>
      </c>
      <c r="J34" s="98"/>
    </row>
    <row r="35" spans="1:10" ht="16.8" x14ac:dyDescent="0.3">
      <c r="A35" s="161" t="s">
        <v>90</v>
      </c>
      <c r="B35" s="123">
        <v>0</v>
      </c>
      <c r="C35" s="162" t="s">
        <v>36</v>
      </c>
      <c r="D35" s="163" t="str">
        <f>IF(C35="Str",'Personal File'!$C$11,IF(C35="Dex",'Personal File'!$C$12,IF(C35="Con",'Personal File'!$C$13,IF(C35="Int",'Personal File'!$C$14,IF(C35="Wis",'Personal File'!$C$15,IF(C35="Cha",'Personal File'!$C$16))))))</f>
        <v>+6</v>
      </c>
      <c r="E35" s="164" t="str">
        <f t="shared" si="4"/>
        <v>Dex (+6)</v>
      </c>
      <c r="F35" s="396" t="s">
        <v>64</v>
      </c>
      <c r="G35" s="396">
        <f t="shared" si="1"/>
        <v>6</v>
      </c>
      <c r="H35" s="81">
        <f t="shared" ca="1" si="6"/>
        <v>14</v>
      </c>
      <c r="I35" s="127">
        <f t="shared" ca="1" si="7"/>
        <v>20</v>
      </c>
      <c r="J35" s="128"/>
    </row>
    <row r="36" spans="1:10" ht="16.8" x14ac:dyDescent="0.3">
      <c r="A36" s="122" t="s">
        <v>88</v>
      </c>
      <c r="B36" s="123">
        <v>0</v>
      </c>
      <c r="C36" s="124" t="s">
        <v>34</v>
      </c>
      <c r="D36" s="125" t="str">
        <f>IF(C36="Str",'Personal File'!$C$11,IF(C36="Dex",'Personal File'!$C$12,IF(C36="Con",'Personal File'!$C$13,IF(C36="Int",'Personal File'!$C$14,IF(C36="Wis",'Personal File'!$C$15,IF(C36="Cha",'Personal File'!$C$16))))))</f>
        <v>+2</v>
      </c>
      <c r="E36" s="126" t="str">
        <f t="shared" si="4"/>
        <v>Int (+2)</v>
      </c>
      <c r="F36" s="396" t="s">
        <v>64</v>
      </c>
      <c r="G36" s="396">
        <f t="shared" si="1"/>
        <v>2</v>
      </c>
      <c r="H36" s="81">
        <f t="shared" ca="1" si="6"/>
        <v>7</v>
      </c>
      <c r="I36" s="127">
        <f t="shared" ca="1" si="7"/>
        <v>9</v>
      </c>
      <c r="J36" s="165"/>
    </row>
    <row r="37" spans="1:10" ht="16.8" x14ac:dyDescent="0.3">
      <c r="A37" s="122" t="s">
        <v>58</v>
      </c>
      <c r="B37" s="123">
        <v>0</v>
      </c>
      <c r="C37" s="124" t="s">
        <v>34</v>
      </c>
      <c r="D37" s="125" t="str">
        <f>IF(C37="Str",'Personal File'!$C$11,IF(C37="Dex",'Personal File'!$C$12,IF(C37="Con",'Personal File'!$C$13,IF(C37="Int",'Personal File'!$C$14,IF(C37="Wis",'Personal File'!$C$15,IF(C37="Cha",'Personal File'!$C$16))))))</f>
        <v>+2</v>
      </c>
      <c r="E37" s="126" t="str">
        <f t="shared" si="4"/>
        <v>Int (+2)</v>
      </c>
      <c r="F37" s="396" t="s">
        <v>64</v>
      </c>
      <c r="G37" s="396">
        <f t="shared" si="1"/>
        <v>2</v>
      </c>
      <c r="H37" s="81">
        <f t="shared" ca="1" si="6"/>
        <v>10</v>
      </c>
      <c r="I37" s="127">
        <f t="shared" ca="1" si="7"/>
        <v>12</v>
      </c>
      <c r="J37" s="165"/>
    </row>
    <row r="38" spans="1:10" ht="16.8" x14ac:dyDescent="0.3">
      <c r="A38" s="150" t="s">
        <v>59</v>
      </c>
      <c r="B38" s="116">
        <v>12</v>
      </c>
      <c r="C38" s="151" t="s">
        <v>35</v>
      </c>
      <c r="D38" s="152">
        <f>IF(C38="Str",'Personal File'!$C$11,IF(C38="Dex",'Personal File'!$C$12,IF(C38="Con",'Personal File'!$C$13,IF(C38="Int",'Personal File'!$C$14,IF(C38="Wis",'Personal File'!$C$15,IF(C38="Cha",'Personal File'!$C$16))))))</f>
        <v>-1</v>
      </c>
      <c r="E38" s="153" t="str">
        <f t="shared" si="4"/>
        <v>Wis (-1)</v>
      </c>
      <c r="F38" s="395" t="s">
        <v>204</v>
      </c>
      <c r="G38" s="395">
        <f t="shared" si="1"/>
        <v>19</v>
      </c>
      <c r="H38" s="81">
        <f t="shared" ca="1" si="6"/>
        <v>15</v>
      </c>
      <c r="I38" s="120">
        <f t="shared" ca="1" si="7"/>
        <v>34</v>
      </c>
      <c r="J38" s="121"/>
    </row>
    <row r="39" spans="1:10" ht="16.8" x14ac:dyDescent="0.3">
      <c r="A39" s="142" t="s">
        <v>91</v>
      </c>
      <c r="B39" s="78">
        <v>0</v>
      </c>
      <c r="C39" s="143" t="s">
        <v>35</v>
      </c>
      <c r="D39" s="144">
        <f>IF(C39="Str",'Personal File'!$C$11,IF(C39="Dex",'Personal File'!$C$12,IF(C39="Con",'Personal File'!$C$13,IF(C39="Int",'Personal File'!$C$14,IF(C39="Wis",'Personal File'!$C$15,IF(C39="Cha",'Personal File'!$C$16))))))</f>
        <v>-1</v>
      </c>
      <c r="E39" s="145" t="str">
        <f t="shared" si="4"/>
        <v>Wis (-1)</v>
      </c>
      <c r="F39" s="394" t="s">
        <v>64</v>
      </c>
      <c r="G39" s="394">
        <f t="shared" si="1"/>
        <v>-1</v>
      </c>
      <c r="H39" s="81">
        <f t="shared" ca="1" si="6"/>
        <v>16</v>
      </c>
      <c r="I39" s="97">
        <f t="shared" ca="1" si="7"/>
        <v>15</v>
      </c>
      <c r="J39" s="98"/>
    </row>
    <row r="40" spans="1:10" ht="16.8" x14ac:dyDescent="0.3">
      <c r="A40" s="110" t="s">
        <v>24</v>
      </c>
      <c r="B40" s="78">
        <v>0</v>
      </c>
      <c r="C40" s="111" t="s">
        <v>37</v>
      </c>
      <c r="D40" s="112" t="str">
        <f>IF(C40="Str",'Personal File'!$C$11,IF(C40="Dex",'Personal File'!$C$12,IF(C40="Con",'Personal File'!$C$13,IF(C40="Int",'Personal File'!$C$14,IF(C40="Wis",'Personal File'!$C$15,IF(C40="Cha",'Personal File'!$C$16))))))</f>
        <v>+2</v>
      </c>
      <c r="E40" s="113" t="str">
        <f t="shared" si="4"/>
        <v>Str (+2)</v>
      </c>
      <c r="F40" s="394" t="s">
        <v>64</v>
      </c>
      <c r="G40" s="394">
        <f t="shared" si="1"/>
        <v>2</v>
      </c>
      <c r="H40" s="81">
        <f t="shared" ca="1" si="6"/>
        <v>11</v>
      </c>
      <c r="I40" s="97">
        <f t="shared" ca="1" si="7"/>
        <v>13</v>
      </c>
      <c r="J40" s="98"/>
    </row>
    <row r="41" spans="1:10" ht="16.8" x14ac:dyDescent="0.3">
      <c r="A41" s="146" t="s">
        <v>60</v>
      </c>
      <c r="B41" s="116">
        <v>6</v>
      </c>
      <c r="C41" s="147" t="s">
        <v>36</v>
      </c>
      <c r="D41" s="148" t="str">
        <f>IF(C41="Str",'Personal File'!$C$11,IF(C41="Dex",'Personal File'!$C$12,IF(C41="Con",'Personal File'!$C$13,IF(C41="Int",'Personal File'!$C$14,IF(C41="Wis",'Personal File'!$C$15,IF(C41="Cha",'Personal File'!$C$16))))))</f>
        <v>+6</v>
      </c>
      <c r="E41" s="149" t="str">
        <f t="shared" si="4"/>
        <v>Dex (+6)</v>
      </c>
      <c r="F41" s="395">
        <v>6</v>
      </c>
      <c r="G41" s="395">
        <f t="shared" si="1"/>
        <v>18</v>
      </c>
      <c r="H41" s="81">
        <f t="shared" ca="1" si="6"/>
        <v>10</v>
      </c>
      <c r="I41" s="120">
        <f t="shared" ca="1" si="7"/>
        <v>28</v>
      </c>
      <c r="J41" s="121" t="s">
        <v>205</v>
      </c>
    </row>
    <row r="42" spans="1:10" ht="16.8" x14ac:dyDescent="0.3">
      <c r="A42" s="134" t="s">
        <v>61</v>
      </c>
      <c r="B42" s="116">
        <v>11</v>
      </c>
      <c r="C42" s="135" t="s">
        <v>32</v>
      </c>
      <c r="D42" s="136" t="str">
        <f>IF(C42="Str",'Personal File'!$C$11,IF(C42="Dex",'Personal File'!$C$12,IF(C42="Con",'Personal File'!$C$13,IF(C42="Int",'Personal File'!$C$14,IF(C42="Wis",'Personal File'!$C$15,IF(C42="Cha",'Personal File'!$C$16))))))</f>
        <v>+7</v>
      </c>
      <c r="E42" s="137" t="str">
        <f t="shared" si="4"/>
        <v>Cha (+7)</v>
      </c>
      <c r="F42" s="395" t="s">
        <v>64</v>
      </c>
      <c r="G42" s="395">
        <f t="shared" si="1"/>
        <v>18</v>
      </c>
      <c r="H42" s="81">
        <f t="shared" ca="1" si="6"/>
        <v>19</v>
      </c>
      <c r="I42" s="120">
        <f t="shared" ca="1" si="7"/>
        <v>37</v>
      </c>
      <c r="J42" s="121"/>
    </row>
    <row r="43" spans="1:10" ht="17.399999999999999" thickBot="1" x14ac:dyDescent="0.35">
      <c r="A43" s="166" t="s">
        <v>62</v>
      </c>
      <c r="B43" s="167">
        <v>0</v>
      </c>
      <c r="C43" s="168" t="s">
        <v>36</v>
      </c>
      <c r="D43" s="169" t="str">
        <f>IF(C43="Str",'Personal File'!$C$11,IF(C43="Dex",'Personal File'!$C$12,IF(C43="Con",'Personal File'!$C$13,IF(C43="Int",'Personal File'!$C$14,IF(C43="Wis",'Personal File'!$C$15,IF(C43="Cha",'Personal File'!$C$16))))))</f>
        <v>+6</v>
      </c>
      <c r="E43" s="170" t="str">
        <f t="shared" si="4"/>
        <v>Dex (+6)</v>
      </c>
      <c r="F43" s="397" t="s">
        <v>64</v>
      </c>
      <c r="G43" s="397">
        <f t="shared" si="1"/>
        <v>6</v>
      </c>
      <c r="H43" s="172">
        <f t="shared" ca="1" si="6"/>
        <v>11</v>
      </c>
      <c r="I43" s="171">
        <f t="shared" ca="1" si="7"/>
        <v>17</v>
      </c>
      <c r="J43" s="173"/>
    </row>
    <row r="44" spans="1:10" ht="16.2" thickTop="1" x14ac:dyDescent="0.3">
      <c r="B44" s="174">
        <f>SUM(B6:B43)</f>
        <v>112</v>
      </c>
      <c r="E44" s="324">
        <f>SUM(E45:E58)</f>
        <v>112</v>
      </c>
    </row>
    <row r="45" spans="1:10" x14ac:dyDescent="0.3">
      <c r="B45" s="174"/>
      <c r="E45" s="326">
        <f>4*(8+'Personal File'!$C$14)</f>
        <v>40</v>
      </c>
      <c r="F45" s="176" t="s">
        <v>126</v>
      </c>
    </row>
    <row r="46" spans="1:10" x14ac:dyDescent="0.3">
      <c r="E46" s="326">
        <f>8+'Personal File'!$C$14</f>
        <v>10</v>
      </c>
      <c r="F46" s="176" t="s">
        <v>127</v>
      </c>
    </row>
    <row r="47" spans="1:10" x14ac:dyDescent="0.3">
      <c r="E47" s="325">
        <f>2+'Personal File'!$C$14</f>
        <v>4</v>
      </c>
      <c r="F47" s="176" t="s">
        <v>128</v>
      </c>
    </row>
    <row r="48" spans="1:10" x14ac:dyDescent="0.3">
      <c r="E48" s="325">
        <f>2+'Personal File'!$C$14</f>
        <v>4</v>
      </c>
      <c r="F48" s="176" t="s">
        <v>166</v>
      </c>
    </row>
    <row r="49" spans="5:6" x14ac:dyDescent="0.3">
      <c r="E49" s="326">
        <f>8+'Personal File'!$C$14</f>
        <v>10</v>
      </c>
      <c r="F49" s="176" t="s">
        <v>206</v>
      </c>
    </row>
    <row r="50" spans="5:6" x14ac:dyDescent="0.3">
      <c r="E50" s="326">
        <f>8+'Personal File'!$C$14</f>
        <v>10</v>
      </c>
      <c r="F50" s="176" t="s">
        <v>216</v>
      </c>
    </row>
    <row r="51" spans="5:6" x14ac:dyDescent="0.3">
      <c r="E51" s="325">
        <f>2+'Personal File'!$C$14</f>
        <v>4</v>
      </c>
      <c r="F51" s="176" t="s">
        <v>236</v>
      </c>
    </row>
    <row r="52" spans="5:6" x14ac:dyDescent="0.3">
      <c r="E52" s="326">
        <f>8+'Personal File'!$C$14</f>
        <v>10</v>
      </c>
      <c r="F52" s="176" t="s">
        <v>127</v>
      </c>
    </row>
    <row r="53" spans="5:6" x14ac:dyDescent="0.3">
      <c r="E53" s="326">
        <v>0</v>
      </c>
      <c r="F53" s="176" t="s">
        <v>256</v>
      </c>
    </row>
    <row r="54" spans="5:6" x14ac:dyDescent="0.3">
      <c r="E54" s="326">
        <f>8+'Personal File'!$C$14</f>
        <v>10</v>
      </c>
      <c r="F54" s="176" t="s">
        <v>257</v>
      </c>
    </row>
    <row r="55" spans="5:6" x14ac:dyDescent="0.3">
      <c r="E55" s="326">
        <v>0</v>
      </c>
      <c r="F55" s="176" t="s">
        <v>258</v>
      </c>
    </row>
    <row r="56" spans="5:6" x14ac:dyDescent="0.3">
      <c r="E56" s="326">
        <f>8+'Personal File'!$C$14</f>
        <v>10</v>
      </c>
      <c r="F56" s="176" t="s">
        <v>259</v>
      </c>
    </row>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6"/>
  <sheetViews>
    <sheetView showGridLines="0" workbookViewId="0">
      <pane ySplit="2" topLeftCell="A3" activePane="bottomLeft" state="frozen"/>
      <selection pane="bottomLeft" activeCell="A3" sqref="A3"/>
    </sheetView>
  </sheetViews>
  <sheetFormatPr defaultColWidth="13" defaultRowHeight="15.6" x14ac:dyDescent="0.3"/>
  <cols>
    <col min="1" max="1" width="17.19921875" style="303" bestFit="1" customWidth="1"/>
    <col min="2" max="2" width="7" style="303" bestFit="1" customWidth="1"/>
    <col min="3" max="3" width="5" style="304" bestFit="1" customWidth="1"/>
    <col min="4" max="4" width="11.19921875" style="304" bestFit="1" customWidth="1"/>
    <col min="5" max="5" width="7.19921875" style="304" bestFit="1" customWidth="1"/>
    <col min="6" max="6" width="8.59765625" style="304" bestFit="1" customWidth="1"/>
    <col min="7" max="7" width="9.5" style="304" bestFit="1" customWidth="1"/>
    <col min="8" max="8" width="23.8984375" style="303" customWidth="1"/>
    <col min="9" max="16384" width="13" style="281"/>
  </cols>
  <sheetData>
    <row r="1" spans="1:8" ht="23.4" thickBot="1" x14ac:dyDescent="0.35">
      <c r="A1" s="279" t="s">
        <v>140</v>
      </c>
      <c r="B1" s="280"/>
      <c r="C1" s="280"/>
      <c r="D1" s="280"/>
      <c r="E1" s="280"/>
      <c r="F1" s="280"/>
      <c r="G1" s="280"/>
      <c r="H1" s="280"/>
    </row>
    <row r="2" spans="1:8" s="286" customFormat="1" ht="31.2" x14ac:dyDescent="0.3">
      <c r="A2" s="282" t="s">
        <v>139</v>
      </c>
      <c r="B2" s="283" t="s">
        <v>138</v>
      </c>
      <c r="C2" s="283" t="s">
        <v>137</v>
      </c>
      <c r="D2" s="284" t="s">
        <v>168</v>
      </c>
      <c r="E2" s="284" t="s">
        <v>169</v>
      </c>
      <c r="F2" s="283" t="s">
        <v>136</v>
      </c>
      <c r="G2" s="283" t="s">
        <v>135</v>
      </c>
      <c r="H2" s="285" t="s">
        <v>81</v>
      </c>
    </row>
    <row r="3" spans="1:8" s="286" customFormat="1" ht="16.8" x14ac:dyDescent="0.3">
      <c r="A3" s="287" t="s">
        <v>134</v>
      </c>
      <c r="B3" s="288" t="s">
        <v>133</v>
      </c>
      <c r="C3" s="289">
        <v>1</v>
      </c>
      <c r="D3" s="290" t="s">
        <v>171</v>
      </c>
      <c r="E3" s="290" t="s">
        <v>170</v>
      </c>
      <c r="F3" s="291" t="s">
        <v>180</v>
      </c>
      <c r="G3" s="291" t="s">
        <v>132</v>
      </c>
      <c r="H3" s="292" t="s">
        <v>240</v>
      </c>
    </row>
    <row r="4" spans="1:8" s="286" customFormat="1" ht="16.8" x14ac:dyDescent="0.3">
      <c r="A4" s="287" t="s">
        <v>167</v>
      </c>
      <c r="B4" s="288" t="s">
        <v>131</v>
      </c>
      <c r="C4" s="289">
        <v>2</v>
      </c>
      <c r="D4" s="290" t="s">
        <v>171</v>
      </c>
      <c r="E4" s="290" t="s">
        <v>170</v>
      </c>
      <c r="F4" s="291" t="s">
        <v>130</v>
      </c>
      <c r="G4" s="291" t="s">
        <v>129</v>
      </c>
      <c r="H4" s="292" t="s">
        <v>172</v>
      </c>
    </row>
    <row r="5" spans="1:8" s="286" customFormat="1" ht="17.399999999999999" thickBot="1" x14ac:dyDescent="0.35">
      <c r="A5" s="293" t="s">
        <v>209</v>
      </c>
      <c r="B5" s="294" t="s">
        <v>131</v>
      </c>
      <c r="C5" s="295">
        <v>1</v>
      </c>
      <c r="D5" s="296" t="s">
        <v>171</v>
      </c>
      <c r="E5" s="296" t="s">
        <v>170</v>
      </c>
      <c r="F5" s="297" t="s">
        <v>130</v>
      </c>
      <c r="G5" s="297" t="s">
        <v>129</v>
      </c>
      <c r="H5" s="298" t="s">
        <v>210</v>
      </c>
    </row>
    <row r="6" spans="1:8" ht="17.399999999999999" thickTop="1" x14ac:dyDescent="0.3">
      <c r="A6" s="299"/>
      <c r="B6" s="300"/>
      <c r="C6" s="301"/>
      <c r="D6" s="301"/>
      <c r="E6" s="301"/>
      <c r="F6" s="301"/>
      <c r="G6" s="301"/>
      <c r="H6" s="302"/>
    </row>
    <row r="7" spans="1:8" ht="16.8" x14ac:dyDescent="0.3">
      <c r="A7" s="299"/>
      <c r="B7" s="300"/>
      <c r="C7" s="301"/>
      <c r="D7" s="301"/>
      <c r="E7" s="301"/>
      <c r="F7" s="301"/>
      <c r="G7" s="301"/>
      <c r="H7" s="302"/>
    </row>
    <row r="8" spans="1:8" x14ac:dyDescent="0.3">
      <c r="A8" s="281"/>
      <c r="B8" s="281"/>
      <c r="C8" s="281"/>
      <c r="D8" s="281"/>
      <c r="E8" s="281"/>
      <c r="F8" s="281"/>
      <c r="G8" s="281"/>
      <c r="H8" s="281"/>
    </row>
    <row r="9" spans="1:8" x14ac:dyDescent="0.3">
      <c r="A9" s="281"/>
      <c r="B9" s="281"/>
      <c r="C9" s="281"/>
      <c r="D9" s="281"/>
      <c r="E9" s="281"/>
      <c r="F9" s="281"/>
      <c r="G9" s="281"/>
      <c r="H9" s="281"/>
    </row>
    <row r="10" spans="1:8" x14ac:dyDescent="0.3">
      <c r="A10" s="281"/>
      <c r="B10" s="281"/>
      <c r="C10" s="281"/>
      <c r="D10" s="281"/>
      <c r="E10" s="281"/>
      <c r="F10" s="281"/>
      <c r="G10" s="281"/>
      <c r="H10" s="281"/>
    </row>
    <row r="11" spans="1:8" x14ac:dyDescent="0.3">
      <c r="A11" s="281"/>
      <c r="B11" s="281"/>
      <c r="C11" s="281"/>
      <c r="D11" s="281"/>
      <c r="E11" s="281"/>
      <c r="F11" s="281"/>
      <c r="G11" s="281"/>
      <c r="H11" s="281"/>
    </row>
    <row r="12" spans="1:8" x14ac:dyDescent="0.3">
      <c r="A12" s="281"/>
      <c r="B12" s="281"/>
      <c r="C12" s="281"/>
      <c r="D12" s="281"/>
      <c r="E12" s="281"/>
      <c r="F12" s="281"/>
      <c r="G12" s="281"/>
      <c r="H12" s="281"/>
    </row>
    <row r="13" spans="1:8" x14ac:dyDescent="0.3">
      <c r="A13" s="281"/>
      <c r="B13" s="281"/>
      <c r="C13" s="281"/>
      <c r="D13" s="281"/>
      <c r="E13" s="281"/>
      <c r="F13" s="281"/>
      <c r="G13" s="281"/>
      <c r="H13" s="281"/>
    </row>
    <row r="14" spans="1:8" x14ac:dyDescent="0.3">
      <c r="A14" s="281"/>
      <c r="B14" s="281"/>
      <c r="C14" s="281"/>
      <c r="D14" s="281"/>
      <c r="E14" s="281"/>
      <c r="F14" s="281"/>
      <c r="G14" s="281"/>
      <c r="H14" s="281"/>
    </row>
    <row r="15" spans="1:8" x14ac:dyDescent="0.3">
      <c r="A15" s="281"/>
      <c r="B15" s="281"/>
      <c r="C15" s="281"/>
      <c r="D15" s="281"/>
      <c r="E15" s="281"/>
      <c r="F15" s="281"/>
      <c r="G15" s="281"/>
      <c r="H15" s="281"/>
    </row>
    <row r="16" spans="1:8" x14ac:dyDescent="0.3">
      <c r="A16" s="281"/>
      <c r="B16" s="281"/>
      <c r="C16" s="281"/>
      <c r="D16" s="281"/>
      <c r="E16" s="281"/>
      <c r="F16" s="281"/>
      <c r="G16" s="281"/>
      <c r="H16" s="281"/>
    </row>
    <row r="17" spans="1:8" x14ac:dyDescent="0.3">
      <c r="A17" s="281"/>
      <c r="B17" s="281"/>
      <c r="C17" s="281"/>
      <c r="D17" s="281"/>
      <c r="E17" s="281"/>
      <c r="F17" s="281"/>
      <c r="G17" s="281"/>
      <c r="H17" s="281"/>
    </row>
    <row r="18" spans="1:8" x14ac:dyDescent="0.3">
      <c r="A18" s="281"/>
      <c r="B18" s="281"/>
      <c r="C18" s="281"/>
      <c r="D18" s="281"/>
      <c r="E18" s="281"/>
      <c r="F18" s="281"/>
      <c r="G18" s="281"/>
      <c r="H18" s="281"/>
    </row>
    <row r="19" spans="1:8" x14ac:dyDescent="0.3">
      <c r="A19" s="281"/>
      <c r="B19" s="281"/>
      <c r="C19" s="281"/>
      <c r="D19" s="281"/>
      <c r="E19" s="281"/>
      <c r="F19" s="281"/>
      <c r="G19" s="281"/>
      <c r="H19" s="281"/>
    </row>
    <row r="20" spans="1:8" x14ac:dyDescent="0.3">
      <c r="A20" s="281"/>
      <c r="B20" s="281"/>
      <c r="C20" s="281"/>
      <c r="D20" s="281"/>
      <c r="E20" s="281"/>
      <c r="F20" s="281"/>
      <c r="G20" s="281"/>
    </row>
    <row r="21" spans="1:8" x14ac:dyDescent="0.3">
      <c r="A21" s="281"/>
      <c r="B21" s="281"/>
      <c r="C21" s="281"/>
      <c r="D21" s="281"/>
      <c r="E21" s="281"/>
      <c r="F21" s="281"/>
      <c r="G21" s="281"/>
    </row>
    <row r="22" spans="1:8" x14ac:dyDescent="0.3">
      <c r="A22" s="281"/>
      <c r="B22" s="281"/>
      <c r="C22" s="281"/>
      <c r="D22" s="281"/>
      <c r="E22" s="281"/>
      <c r="F22" s="281"/>
      <c r="G22" s="281"/>
    </row>
    <row r="23" spans="1:8" x14ac:dyDescent="0.3">
      <c r="A23" s="281"/>
      <c r="B23" s="281"/>
      <c r="C23" s="281"/>
    </row>
    <row r="24" spans="1:8" x14ac:dyDescent="0.3">
      <c r="A24" s="281"/>
      <c r="B24" s="281"/>
      <c r="C24" s="281"/>
    </row>
    <row r="25" spans="1:8" x14ac:dyDescent="0.3">
      <c r="A25" s="281"/>
      <c r="B25" s="281"/>
      <c r="C25" s="281"/>
    </row>
    <row r="26" spans="1:8" x14ac:dyDescent="0.3">
      <c r="A26" s="281"/>
      <c r="B26" s="281"/>
      <c r="C26" s="281"/>
    </row>
  </sheetData>
  <printOptions gridLinesSet="0"/>
  <pageMargins left="0.62" right="0.33" top="0.5" bottom="0.63" header="0.5" footer="0.5"/>
  <pageSetup orientation="portrait" horizontalDpi="120" verticalDpi="144"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22"/>
  <sheetViews>
    <sheetView showGridLines="0" zoomScaleNormal="100" workbookViewId="0"/>
  </sheetViews>
  <sheetFormatPr defaultColWidth="10.8984375" defaultRowHeight="16.8" x14ac:dyDescent="0.3"/>
  <cols>
    <col min="1" max="1" width="28" style="195" bestFit="1" customWidth="1"/>
    <col min="2" max="2" width="2.09765625" style="205" customWidth="1"/>
    <col min="3" max="3" width="28.3984375" style="177" bestFit="1" customWidth="1"/>
    <col min="4" max="4" width="2.5" style="178" customWidth="1"/>
    <col min="5" max="5" width="20.59765625" style="177" bestFit="1" customWidth="1"/>
    <col min="6" max="6" width="6.19921875" style="177" bestFit="1" customWidth="1"/>
    <col min="7" max="7" width="4.09765625" style="177" bestFit="1" customWidth="1"/>
    <col min="8" max="8" width="6.3984375" style="177" bestFit="1" customWidth="1"/>
    <col min="9" max="16384" width="10.8984375" style="177"/>
  </cols>
  <sheetData>
    <row r="1" spans="1:8" ht="24" thickTop="1" thickBot="1" x14ac:dyDescent="0.35">
      <c r="A1" s="328" t="s">
        <v>99</v>
      </c>
      <c r="B1" s="177"/>
      <c r="C1" s="328" t="s">
        <v>93</v>
      </c>
      <c r="E1" s="179" t="s">
        <v>155</v>
      </c>
      <c r="F1" s="180"/>
      <c r="G1" s="180"/>
      <c r="H1" s="181"/>
    </row>
    <row r="2" spans="1:8" ht="17.399999999999999" thickTop="1" x14ac:dyDescent="0.3">
      <c r="A2" s="182" t="s">
        <v>232</v>
      </c>
      <c r="B2" s="177"/>
      <c r="C2" s="183" t="s">
        <v>104</v>
      </c>
      <c r="E2" s="184" t="s">
        <v>139</v>
      </c>
      <c r="F2" s="185" t="s">
        <v>152</v>
      </c>
      <c r="G2" s="186" t="s">
        <v>153</v>
      </c>
      <c r="H2" s="187" t="s">
        <v>154</v>
      </c>
    </row>
    <row r="3" spans="1:8" x14ac:dyDescent="0.3">
      <c r="A3" s="310" t="s">
        <v>233</v>
      </c>
      <c r="B3" s="177"/>
      <c r="C3" s="183" t="s">
        <v>247</v>
      </c>
      <c r="E3" s="188" t="s">
        <v>156</v>
      </c>
      <c r="F3" s="189">
        <v>0</v>
      </c>
      <c r="G3" s="190">
        <f>10+F3+'Personal File'!$C$16</f>
        <v>17</v>
      </c>
      <c r="H3" s="191" t="s">
        <v>276</v>
      </c>
    </row>
    <row r="4" spans="1:8" x14ac:dyDescent="0.3">
      <c r="A4" s="310" t="s">
        <v>234</v>
      </c>
      <c r="B4" s="177"/>
      <c r="C4" s="182" t="s">
        <v>271</v>
      </c>
      <c r="E4" s="192" t="s">
        <v>157</v>
      </c>
      <c r="F4" s="78">
        <v>0</v>
      </c>
      <c r="G4" s="193">
        <f>10+F4+'Personal File'!$C$16</f>
        <v>17</v>
      </c>
      <c r="H4" s="194" t="s">
        <v>276</v>
      </c>
    </row>
    <row r="5" spans="1:8" ht="17.399999999999999" thickBot="1" x14ac:dyDescent="0.35">
      <c r="A5" s="413" t="s">
        <v>248</v>
      </c>
      <c r="B5" s="177"/>
      <c r="C5" s="412" t="s">
        <v>261</v>
      </c>
      <c r="E5" s="197" t="s">
        <v>158</v>
      </c>
      <c r="F5" s="167">
        <v>0</v>
      </c>
      <c r="G5" s="198">
        <f>10+F5+'Personal File'!$C$16</f>
        <v>17</v>
      </c>
      <c r="H5" s="199" t="s">
        <v>276</v>
      </c>
    </row>
    <row r="6" spans="1:8" ht="18" thickTop="1" thickBot="1" x14ac:dyDescent="0.35">
      <c r="A6" s="182" t="s">
        <v>280</v>
      </c>
      <c r="B6" s="177"/>
      <c r="C6" s="196" t="s">
        <v>105</v>
      </c>
    </row>
    <row r="7" spans="1:8" ht="18" thickTop="1" thickBot="1" x14ac:dyDescent="0.35">
      <c r="A7" s="182" t="s">
        <v>282</v>
      </c>
      <c r="B7" s="177"/>
      <c r="C7" s="195"/>
    </row>
    <row r="8" spans="1:8" ht="22.2" thickTop="1" thickBot="1" x14ac:dyDescent="0.35">
      <c r="A8" s="460" t="s">
        <v>283</v>
      </c>
      <c r="B8" s="177"/>
      <c r="C8" s="311" t="s">
        <v>199</v>
      </c>
    </row>
    <row r="9" spans="1:8" ht="18" thickTop="1" thickBot="1" x14ac:dyDescent="0.35">
      <c r="B9" s="177"/>
      <c r="C9" s="201" t="s">
        <v>200</v>
      </c>
    </row>
    <row r="10" spans="1:8" ht="22.2" thickTop="1" thickBot="1" x14ac:dyDescent="0.35">
      <c r="A10" s="329" t="s">
        <v>219</v>
      </c>
      <c r="B10" s="177"/>
      <c r="C10" s="202" t="s">
        <v>239</v>
      </c>
      <c r="D10" s="68" t="s">
        <v>281</v>
      </c>
    </row>
    <row r="11" spans="1:8" x14ac:dyDescent="0.3">
      <c r="A11" s="202" t="s">
        <v>95</v>
      </c>
      <c r="B11" s="177"/>
      <c r="C11" s="202" t="s">
        <v>217</v>
      </c>
      <c r="D11" s="68" t="s">
        <v>281</v>
      </c>
    </row>
    <row r="12" spans="1:8" x14ac:dyDescent="0.3">
      <c r="A12" s="200" t="s">
        <v>178</v>
      </c>
      <c r="C12" s="202" t="s">
        <v>262</v>
      </c>
      <c r="D12" s="177"/>
    </row>
    <row r="13" spans="1:8" x14ac:dyDescent="0.3">
      <c r="A13" s="202" t="s">
        <v>123</v>
      </c>
      <c r="C13" s="202" t="s">
        <v>263</v>
      </c>
    </row>
    <row r="14" spans="1:8" ht="17.399999999999999" thickBot="1" x14ac:dyDescent="0.35">
      <c r="A14" s="204" t="s">
        <v>142</v>
      </c>
      <c r="C14" s="202" t="s">
        <v>264</v>
      </c>
    </row>
    <row r="15" spans="1:8" ht="18" thickTop="1" thickBot="1" x14ac:dyDescent="0.35">
      <c r="C15" s="202" t="s">
        <v>265</v>
      </c>
    </row>
    <row r="16" spans="1:8" ht="22.2" thickTop="1" thickBot="1" x14ac:dyDescent="0.35">
      <c r="A16" s="327" t="s">
        <v>77</v>
      </c>
      <c r="C16" s="202" t="s">
        <v>266</v>
      </c>
    </row>
    <row r="17" spans="1:4" x14ac:dyDescent="0.3">
      <c r="A17" s="201" t="s">
        <v>122</v>
      </c>
      <c r="C17" s="202" t="s">
        <v>267</v>
      </c>
    </row>
    <row r="18" spans="1:4" x14ac:dyDescent="0.3">
      <c r="A18" s="202" t="s">
        <v>272</v>
      </c>
      <c r="C18" s="202" t="s">
        <v>268</v>
      </c>
      <c r="D18" s="68" t="s">
        <v>281</v>
      </c>
    </row>
    <row r="19" spans="1:4" ht="17.399999999999999" thickBot="1" x14ac:dyDescent="0.35">
      <c r="A19" s="203" t="s">
        <v>270</v>
      </c>
      <c r="C19" s="202" t="s">
        <v>218</v>
      </c>
    </row>
    <row r="20" spans="1:4" ht="17.399999999999999" thickTop="1" x14ac:dyDescent="0.3">
      <c r="C20" s="202" t="str">
        <f>CONCATENATE("Spell Resistance ",6+SUM('Personal File'!E4:E5))</f>
        <v>Spell Resistance 12</v>
      </c>
    </row>
    <row r="21" spans="1:4" ht="17.399999999999999" thickBot="1" x14ac:dyDescent="0.35">
      <c r="C21" s="312" t="s">
        <v>201</v>
      </c>
    </row>
    <row r="22" spans="1:4" ht="17.399999999999999" thickTop="1" x14ac:dyDescent="0.3"/>
  </sheetData>
  <sortState xmlns:xlrd2="http://schemas.microsoft.com/office/spreadsheetml/2017/richdata2" ref="A2:A6">
    <sortCondition ref="A2:A6"/>
  </sortState>
  <phoneticPr fontId="0" type="noConversion"/>
  <conditionalFormatting sqref="G3:H5">
    <cfRule type="cellIs" dxfId="4" priority="5" stopIfTrue="1" operator="equal">
      <formula>"þ"</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39"/>
  <sheetViews>
    <sheetView showGridLines="0" zoomScaleNormal="100" workbookViewId="0"/>
  </sheetViews>
  <sheetFormatPr defaultColWidth="13" defaultRowHeight="15.6" x14ac:dyDescent="0.3"/>
  <cols>
    <col min="1" max="1" width="29.5" style="175" bestFit="1" customWidth="1"/>
    <col min="2" max="2" width="8.59765625" style="175" customWidth="1"/>
    <col min="3" max="3" width="6.59765625" style="175" bestFit="1" customWidth="1"/>
    <col min="4" max="4" width="7.5" style="175" customWidth="1"/>
    <col min="5" max="5" width="9" style="175" bestFit="1" customWidth="1"/>
    <col min="6" max="6" width="8.8984375" style="175" bestFit="1" customWidth="1"/>
    <col min="7" max="7" width="4.3984375" style="175" bestFit="1" customWidth="1"/>
    <col min="8" max="8" width="5.59765625" style="175" bestFit="1" customWidth="1"/>
    <col min="9" max="9" width="5.5" style="175" bestFit="1" customWidth="1"/>
    <col min="10" max="10" width="6.19921875" style="175" bestFit="1" customWidth="1"/>
    <col min="11" max="11" width="13.8984375" style="175" bestFit="1" customWidth="1"/>
    <col min="12" max="12" width="3" style="31" customWidth="1"/>
    <col min="13" max="13" width="6.3984375" style="31" bestFit="1" customWidth="1"/>
    <col min="14" max="16384" width="13" style="31"/>
  </cols>
  <sheetData>
    <row r="1" spans="1:13" ht="23.4" thickBot="1" x14ac:dyDescent="0.35">
      <c r="A1" s="206" t="s">
        <v>25</v>
      </c>
      <c r="B1" s="206"/>
      <c r="C1" s="206"/>
      <c r="D1" s="206"/>
      <c r="E1" s="206"/>
      <c r="F1" s="206"/>
      <c r="G1" s="206"/>
      <c r="H1" s="206"/>
      <c r="I1" s="206"/>
      <c r="J1" s="206"/>
      <c r="K1" s="206"/>
    </row>
    <row r="2" spans="1:13" ht="16.8" thickTop="1" thickBot="1" x14ac:dyDescent="0.35">
      <c r="A2" s="207" t="s">
        <v>6</v>
      </c>
      <c r="B2" s="208" t="s">
        <v>7</v>
      </c>
      <c r="C2" s="208" t="s">
        <v>28</v>
      </c>
      <c r="D2" s="208" t="s">
        <v>29</v>
      </c>
      <c r="E2" s="209" t="s">
        <v>69</v>
      </c>
      <c r="F2" s="208" t="s">
        <v>26</v>
      </c>
      <c r="G2" s="208" t="s">
        <v>30</v>
      </c>
      <c r="H2" s="210" t="s">
        <v>96</v>
      </c>
      <c r="I2" s="211" t="s">
        <v>118</v>
      </c>
      <c r="J2" s="210" t="s">
        <v>83</v>
      </c>
      <c r="K2" s="212" t="s">
        <v>81</v>
      </c>
      <c r="M2" s="213" t="s">
        <v>188</v>
      </c>
    </row>
    <row r="3" spans="1:13" x14ac:dyDescent="0.3">
      <c r="A3" s="448" t="s">
        <v>284</v>
      </c>
      <c r="B3" s="449" t="s">
        <v>285</v>
      </c>
      <c r="C3" s="450" t="s">
        <v>274</v>
      </c>
      <c r="D3" s="451" t="s">
        <v>108</v>
      </c>
      <c r="E3" s="451" t="s">
        <v>191</v>
      </c>
      <c r="F3" s="452" t="s">
        <v>275</v>
      </c>
      <c r="G3" s="453">
        <v>1</v>
      </c>
      <c r="H3" s="454" t="str">
        <f>CONCATENATE("+",RIGHT('Personal File'!$B$9,1)+RIGHT('Personal File'!$C$12)+D3)</f>
        <v>+16</v>
      </c>
      <c r="I3" s="455">
        <f t="shared" ref="I3:I5" ca="1" si="0">RANDBETWEEN(1,20)</f>
        <v>1</v>
      </c>
      <c r="J3" s="456">
        <f t="shared" ref="J3:J4" ca="1" si="1">I3+H3</f>
        <v>17</v>
      </c>
      <c r="K3" s="458" t="s">
        <v>291</v>
      </c>
      <c r="M3" s="319">
        <v>16000</v>
      </c>
    </row>
    <row r="4" spans="1:13" x14ac:dyDescent="0.3">
      <c r="A4" s="378" t="s">
        <v>249</v>
      </c>
      <c r="B4" s="414" t="s">
        <v>285</v>
      </c>
      <c r="C4" s="457" t="s">
        <v>274</v>
      </c>
      <c r="D4" s="416">
        <v>2</v>
      </c>
      <c r="E4" s="372" t="s">
        <v>191</v>
      </c>
      <c r="F4" s="373" t="s">
        <v>275</v>
      </c>
      <c r="G4" s="374" t="s">
        <v>141</v>
      </c>
      <c r="H4" s="415" t="str">
        <f>CONCATENATE("+",RIGHT('Personal File'!$B$9,1)+RIGHT('Personal File'!$C$12)+D3-5)</f>
        <v>+11</v>
      </c>
      <c r="I4" s="385">
        <f t="shared" ca="1" si="0"/>
        <v>14</v>
      </c>
      <c r="J4" s="375">
        <f t="shared" ca="1" si="1"/>
        <v>25</v>
      </c>
      <c r="K4" s="376"/>
      <c r="M4" s="377" t="s">
        <v>141</v>
      </c>
    </row>
    <row r="5" spans="1:13" x14ac:dyDescent="0.3">
      <c r="A5" s="378" t="s">
        <v>288</v>
      </c>
      <c r="B5" s="414" t="s">
        <v>285</v>
      </c>
      <c r="C5" s="457" t="s">
        <v>274</v>
      </c>
      <c r="D5" s="416">
        <v>2</v>
      </c>
      <c r="E5" s="372" t="s">
        <v>191</v>
      </c>
      <c r="F5" s="373" t="s">
        <v>275</v>
      </c>
      <c r="G5" s="374" t="s">
        <v>141</v>
      </c>
      <c r="H5" s="415" t="str">
        <f>CONCATENATE("+",RIGHT('Personal File'!$B$9,1)+RIGHT('Personal File'!$C$12)+D4)</f>
        <v>+16</v>
      </c>
      <c r="I5" s="385">
        <f t="shared" ca="1" si="0"/>
        <v>11</v>
      </c>
      <c r="J5" s="375">
        <f t="shared" ref="J5" ca="1" si="2">I5+H5</f>
        <v>27</v>
      </c>
      <c r="K5" s="376"/>
      <c r="M5" s="380" t="s">
        <v>141</v>
      </c>
    </row>
    <row r="6" spans="1:13" x14ac:dyDescent="0.3">
      <c r="A6" s="379" t="s">
        <v>197</v>
      </c>
      <c r="B6" s="1" t="s">
        <v>189</v>
      </c>
      <c r="C6" s="2">
        <f>'Personal File'!$C$11+1</f>
        <v>3</v>
      </c>
      <c r="D6" s="3" t="s">
        <v>97</v>
      </c>
      <c r="E6" s="3" t="s">
        <v>146</v>
      </c>
      <c r="F6" s="4" t="s">
        <v>147</v>
      </c>
      <c r="G6" s="5">
        <v>1</v>
      </c>
      <c r="H6" s="306" t="str">
        <f>CONCATENATE("+",RIGHT('Personal File'!$B$9,1)+RIGHT('Personal File'!$C$12)+D6)</f>
        <v>+15</v>
      </c>
      <c r="I6" s="12">
        <f t="shared" ref="I6:I8" ca="1" si="3">RANDBETWEEN(1,20)</f>
        <v>19</v>
      </c>
      <c r="J6" s="13">
        <f t="shared" ref="J6:J7" ca="1" si="4">I6+H6</f>
        <v>34</v>
      </c>
      <c r="K6" s="23"/>
      <c r="M6" s="377">
        <v>2300</v>
      </c>
    </row>
    <row r="7" spans="1:13" x14ac:dyDescent="0.3">
      <c r="A7" s="378" t="s">
        <v>249</v>
      </c>
      <c r="B7" s="414" t="s">
        <v>189</v>
      </c>
      <c r="C7" s="371">
        <v>1</v>
      </c>
      <c r="D7" s="372" t="s">
        <v>97</v>
      </c>
      <c r="E7" s="372" t="s">
        <v>146</v>
      </c>
      <c r="F7" s="373" t="s">
        <v>147</v>
      </c>
      <c r="G7" s="374" t="s">
        <v>141</v>
      </c>
      <c r="H7" s="415" t="str">
        <f>CONCATENATE("+",RIGHT('Personal File'!$B$9,1)+RIGHT('Personal File'!$C$12)+D7-5)</f>
        <v>+10</v>
      </c>
      <c r="I7" s="385">
        <f t="shared" ca="1" si="3"/>
        <v>19</v>
      </c>
      <c r="J7" s="375">
        <f t="shared" ca="1" si="4"/>
        <v>29</v>
      </c>
      <c r="K7" s="376"/>
      <c r="M7" s="377" t="s">
        <v>141</v>
      </c>
    </row>
    <row r="8" spans="1:13" x14ac:dyDescent="0.3">
      <c r="A8" s="378" t="s">
        <v>286</v>
      </c>
      <c r="B8" s="414" t="s">
        <v>189</v>
      </c>
      <c r="C8" s="371">
        <v>1</v>
      </c>
      <c r="D8" s="372" t="s">
        <v>97</v>
      </c>
      <c r="E8" s="372" t="s">
        <v>146</v>
      </c>
      <c r="F8" s="373" t="s">
        <v>147</v>
      </c>
      <c r="G8" s="374" t="s">
        <v>141</v>
      </c>
      <c r="H8" s="415" t="str">
        <f>CONCATENATE("+",RIGHT('Personal File'!$B$9,1)+RIGHT('Personal File'!$C$12)+D8)</f>
        <v>+15</v>
      </c>
      <c r="I8" s="385">
        <f t="shared" ca="1" si="3"/>
        <v>18</v>
      </c>
      <c r="J8" s="375">
        <f t="shared" ref="J8" ca="1" si="5">I8+H8</f>
        <v>33</v>
      </c>
      <c r="K8" s="376"/>
      <c r="M8" s="377" t="s">
        <v>141</v>
      </c>
    </row>
    <row r="9" spans="1:13" x14ac:dyDescent="0.3">
      <c r="A9" s="466" t="s">
        <v>251</v>
      </c>
      <c r="B9" s="467" t="s">
        <v>250</v>
      </c>
      <c r="C9" s="468" t="s">
        <v>141</v>
      </c>
      <c r="D9" s="469" t="s">
        <v>141</v>
      </c>
      <c r="E9" s="469" t="s">
        <v>141</v>
      </c>
      <c r="F9" s="470" t="s">
        <v>252</v>
      </c>
      <c r="G9" s="471" t="s">
        <v>141</v>
      </c>
      <c r="H9" s="472" t="s">
        <v>141</v>
      </c>
      <c r="I9" s="473" t="s">
        <v>141</v>
      </c>
      <c r="J9" s="474" t="s">
        <v>141</v>
      </c>
      <c r="K9" s="459"/>
      <c r="M9" s="380">
        <v>5000</v>
      </c>
    </row>
    <row r="10" spans="1:13" x14ac:dyDescent="0.3">
      <c r="A10" s="378" t="s">
        <v>207</v>
      </c>
      <c r="B10" s="414" t="s">
        <v>190</v>
      </c>
      <c r="C10" s="457" t="s">
        <v>162</v>
      </c>
      <c r="D10" s="464" t="s">
        <v>97</v>
      </c>
      <c r="E10" s="464" t="s">
        <v>160</v>
      </c>
      <c r="F10" s="373" t="s">
        <v>208</v>
      </c>
      <c r="G10" s="374">
        <v>1.5</v>
      </c>
      <c r="H10" s="415" t="str">
        <f>CONCATENATE("+",RIGHT('Personal File'!$B$9,1)+RIGHT('Personal File'!$C$12)+D10)</f>
        <v>+15</v>
      </c>
      <c r="I10" s="385">
        <f t="shared" ref="I10:I12" ca="1" si="6">RANDBETWEEN(1,20)</f>
        <v>2</v>
      </c>
      <c r="J10" s="375">
        <f t="shared" ref="J10:J13" ca="1" si="7">I10+H10</f>
        <v>17</v>
      </c>
      <c r="K10" s="465"/>
      <c r="M10" s="486">
        <v>300</v>
      </c>
    </row>
    <row r="11" spans="1:13" x14ac:dyDescent="0.3">
      <c r="A11" s="378" t="s">
        <v>249</v>
      </c>
      <c r="B11" s="414" t="s">
        <v>190</v>
      </c>
      <c r="C11" s="457" t="s">
        <v>162</v>
      </c>
      <c r="D11" s="416" t="s">
        <v>97</v>
      </c>
      <c r="E11" s="372" t="s">
        <v>160</v>
      </c>
      <c r="F11" s="373" t="s">
        <v>208</v>
      </c>
      <c r="G11" s="374">
        <v>1.5</v>
      </c>
      <c r="H11" s="415" t="str">
        <f>CONCATENATE("+",RIGHT('Personal File'!$B$9,1)+RIGHT('Personal File'!$C$12)+D11-5)</f>
        <v>+10</v>
      </c>
      <c r="I11" s="385">
        <f t="shared" ca="1" si="6"/>
        <v>10</v>
      </c>
      <c r="J11" s="375">
        <f t="shared" ref="J11:J12" ca="1" si="8">I11+H11</f>
        <v>20</v>
      </c>
      <c r="K11" s="376"/>
      <c r="M11" s="485" t="s">
        <v>141</v>
      </c>
    </row>
    <row r="12" spans="1:13" x14ac:dyDescent="0.3">
      <c r="A12" s="466" t="s">
        <v>289</v>
      </c>
      <c r="B12" s="488" t="s">
        <v>190</v>
      </c>
      <c r="C12" s="489" t="s">
        <v>162</v>
      </c>
      <c r="D12" s="490" t="s">
        <v>97</v>
      </c>
      <c r="E12" s="469" t="s">
        <v>160</v>
      </c>
      <c r="F12" s="470" t="s">
        <v>208</v>
      </c>
      <c r="G12" s="471">
        <v>1.5</v>
      </c>
      <c r="H12" s="491" t="str">
        <f>CONCATENATE("+",RIGHT('Personal File'!$B$9,1)+RIGHT('Personal File'!$C$12)+D12)</f>
        <v>+15</v>
      </c>
      <c r="I12" s="473">
        <f t="shared" ca="1" si="6"/>
        <v>9</v>
      </c>
      <c r="J12" s="474">
        <f t="shared" ca="1" si="8"/>
        <v>24</v>
      </c>
      <c r="K12" s="459"/>
      <c r="M12" s="487" t="s">
        <v>141</v>
      </c>
    </row>
    <row r="13" spans="1:13" x14ac:dyDescent="0.3">
      <c r="A13" s="475" t="s">
        <v>198</v>
      </c>
      <c r="B13" s="476" t="s">
        <v>190</v>
      </c>
      <c r="C13" s="477">
        <v>1</v>
      </c>
      <c r="D13" s="478" t="s">
        <v>64</v>
      </c>
      <c r="E13" s="478" t="s">
        <v>191</v>
      </c>
      <c r="F13" s="479" t="s">
        <v>192</v>
      </c>
      <c r="G13" s="480">
        <v>0</v>
      </c>
      <c r="H13" s="481" t="str">
        <f>CONCATENATE("+",RIGHT('Personal File'!$B$9,1)+RIGHT('Personal File'!$C$12)+D13)</f>
        <v>+14</v>
      </c>
      <c r="I13" s="385">
        <f ca="1">RANDBETWEEN(1,20)</f>
        <v>11</v>
      </c>
      <c r="J13" s="482">
        <f t="shared" ca="1" si="7"/>
        <v>25</v>
      </c>
      <c r="K13" s="483"/>
      <c r="M13" s="485" t="s">
        <v>141</v>
      </c>
    </row>
    <row r="14" spans="1:13" x14ac:dyDescent="0.3">
      <c r="A14" s="475" t="s">
        <v>249</v>
      </c>
      <c r="B14" s="476" t="s">
        <v>190</v>
      </c>
      <c r="C14" s="477">
        <v>1</v>
      </c>
      <c r="D14" s="478" t="s">
        <v>64</v>
      </c>
      <c r="E14" s="478" t="s">
        <v>191</v>
      </c>
      <c r="F14" s="479" t="s">
        <v>192</v>
      </c>
      <c r="G14" s="480">
        <v>0</v>
      </c>
      <c r="H14" s="481" t="str">
        <f>CONCATENATE("+",RIGHT('Personal File'!$B$9,1)+RIGHT('Personal File'!$C$12)+D14-5)</f>
        <v>+9</v>
      </c>
      <c r="I14" s="385">
        <f t="shared" ref="I14:I15" ca="1" si="9">RANDBETWEEN(1,20)</f>
        <v>15</v>
      </c>
      <c r="J14" s="482">
        <f t="shared" ref="J14:J15" ca="1" si="10">I14+H14</f>
        <v>24</v>
      </c>
      <c r="K14" s="483"/>
      <c r="M14" s="485" t="s">
        <v>141</v>
      </c>
    </row>
    <row r="15" spans="1:13" ht="16.2" thickBot="1" x14ac:dyDescent="0.35">
      <c r="A15" s="398" t="s">
        <v>290</v>
      </c>
      <c r="B15" s="399" t="s">
        <v>190</v>
      </c>
      <c r="C15" s="400">
        <v>1</v>
      </c>
      <c r="D15" s="401" t="s">
        <v>64</v>
      </c>
      <c r="E15" s="401" t="s">
        <v>191</v>
      </c>
      <c r="F15" s="402" t="s">
        <v>192</v>
      </c>
      <c r="G15" s="403">
        <v>0</v>
      </c>
      <c r="H15" s="404" t="str">
        <f>CONCATENATE("+",RIGHT('Personal File'!$B$9,1)+RIGHT('Personal File'!$C$12)+D15)</f>
        <v>+14</v>
      </c>
      <c r="I15" s="214">
        <f t="shared" ca="1" si="9"/>
        <v>18</v>
      </c>
      <c r="J15" s="405">
        <f t="shared" ca="1" si="10"/>
        <v>32</v>
      </c>
      <c r="K15" s="406"/>
      <c r="M15" s="484" t="s">
        <v>141</v>
      </c>
    </row>
    <row r="16" spans="1:13" ht="6" customHeight="1" thickTop="1" thickBot="1" x14ac:dyDescent="0.35">
      <c r="I16" s="216"/>
      <c r="J16" s="216"/>
    </row>
    <row r="17" spans="1:13" ht="16.8" thickTop="1" thickBot="1" x14ac:dyDescent="0.35">
      <c r="A17" s="207" t="s">
        <v>9</v>
      </c>
      <c r="B17" s="208" t="s">
        <v>10</v>
      </c>
      <c r="C17" s="208" t="s">
        <v>28</v>
      </c>
      <c r="D17" s="208" t="s">
        <v>29</v>
      </c>
      <c r="E17" s="209" t="s">
        <v>69</v>
      </c>
      <c r="F17" s="208" t="s">
        <v>11</v>
      </c>
      <c r="G17" s="208" t="s">
        <v>30</v>
      </c>
      <c r="H17" s="210" t="s">
        <v>96</v>
      </c>
      <c r="I17" s="211" t="s">
        <v>118</v>
      </c>
      <c r="J17" s="210" t="s">
        <v>83</v>
      </c>
      <c r="K17" s="212" t="s">
        <v>81</v>
      </c>
      <c r="M17" s="213" t="s">
        <v>188</v>
      </c>
    </row>
    <row r="18" spans="1:13" x14ac:dyDescent="0.3">
      <c r="A18" s="425" t="s">
        <v>269</v>
      </c>
      <c r="B18" s="426" t="s">
        <v>235</v>
      </c>
      <c r="C18" s="427" t="s">
        <v>241</v>
      </c>
      <c r="D18" s="428">
        <f>2</f>
        <v>2</v>
      </c>
      <c r="E18" s="429" t="s">
        <v>191</v>
      </c>
      <c r="F18" s="430" t="s">
        <v>211</v>
      </c>
      <c r="G18" s="431">
        <v>0</v>
      </c>
      <c r="H18" s="432" t="str">
        <f>CONCATENATE("+",RIGHT('Personal File'!$B$9,1)+RIGHT('Personal File'!$C$12)+D18+1)</f>
        <v>+17</v>
      </c>
      <c r="I18" s="22">
        <f t="shared" ref="I18:I22" ca="1" si="11">RANDBETWEEN(1,20)</f>
        <v>8</v>
      </c>
      <c r="J18" s="433">
        <f t="shared" ref="J18" ca="1" si="12">I18+H18</f>
        <v>25</v>
      </c>
      <c r="K18" s="446" t="s">
        <v>273</v>
      </c>
      <c r="M18" s="434" t="s">
        <v>141</v>
      </c>
    </row>
    <row r="19" spans="1:13" x14ac:dyDescent="0.3">
      <c r="A19" s="435" t="s">
        <v>134</v>
      </c>
      <c r="B19" s="436" t="s">
        <v>235</v>
      </c>
      <c r="C19" s="437">
        <v>0</v>
      </c>
      <c r="D19" s="438" t="s">
        <v>97</v>
      </c>
      <c r="E19" s="438" t="s">
        <v>191</v>
      </c>
      <c r="F19" s="439" t="s">
        <v>211</v>
      </c>
      <c r="G19" s="440">
        <v>0</v>
      </c>
      <c r="H19" s="441" t="str">
        <f>CONCATENATE("+",RIGHT('Personal File'!$B$9,1)+RIGHT('Personal File'!$C$12)+D19+1)</f>
        <v>+16</v>
      </c>
      <c r="I19" s="22">
        <f t="shared" ca="1" si="11"/>
        <v>3</v>
      </c>
      <c r="J19" s="442">
        <f t="shared" ref="J19:J23" ca="1" si="13">I19+H19</f>
        <v>19</v>
      </c>
      <c r="K19" s="447" t="s">
        <v>273</v>
      </c>
      <c r="M19" s="443" t="s">
        <v>141</v>
      </c>
    </row>
    <row r="20" spans="1:13" x14ac:dyDescent="0.3">
      <c r="A20" s="435" t="s">
        <v>287</v>
      </c>
      <c r="B20" s="436" t="s">
        <v>235</v>
      </c>
      <c r="C20" s="437">
        <v>0</v>
      </c>
      <c r="D20" s="438" t="s">
        <v>97</v>
      </c>
      <c r="E20" s="438" t="s">
        <v>191</v>
      </c>
      <c r="F20" s="439" t="s">
        <v>211</v>
      </c>
      <c r="G20" s="440">
        <v>0</v>
      </c>
      <c r="H20" s="441" t="str">
        <f>CONCATENATE("+",RIGHT('Personal File'!$B$9,1)+RIGHT('Personal File'!$C$12)+D20+1)</f>
        <v>+16</v>
      </c>
      <c r="I20" s="22">
        <f t="shared" ca="1" si="11"/>
        <v>14</v>
      </c>
      <c r="J20" s="442">
        <f t="shared" ref="J20" ca="1" si="14">I20+H20</f>
        <v>30</v>
      </c>
      <c r="K20" s="447" t="s">
        <v>273</v>
      </c>
      <c r="M20" s="443" t="s">
        <v>141</v>
      </c>
    </row>
    <row r="21" spans="1:13" x14ac:dyDescent="0.3">
      <c r="A21" s="16" t="s">
        <v>214</v>
      </c>
      <c r="B21" s="17" t="s">
        <v>189</v>
      </c>
      <c r="C21" s="18">
        <v>0</v>
      </c>
      <c r="D21" s="19" t="s">
        <v>97</v>
      </c>
      <c r="E21" s="19" t="s">
        <v>160</v>
      </c>
      <c r="F21" s="20" t="s">
        <v>177</v>
      </c>
      <c r="G21" s="21">
        <v>2</v>
      </c>
      <c r="H21" s="307" t="str">
        <f>CONCATENATE("+",RIGHT('Personal File'!$B$9,1)+RIGHT('Personal File'!$C$12)+D21)</f>
        <v>+15</v>
      </c>
      <c r="I21" s="22">
        <f t="shared" ca="1" si="11"/>
        <v>18</v>
      </c>
      <c r="J21" s="24">
        <f t="shared" ca="1" si="13"/>
        <v>33</v>
      </c>
      <c r="K21" s="445" t="s">
        <v>273</v>
      </c>
      <c r="M21" s="318">
        <v>2300</v>
      </c>
    </row>
    <row r="22" spans="1:13" x14ac:dyDescent="0.3">
      <c r="A22" s="16" t="s">
        <v>224</v>
      </c>
      <c r="B22" s="362" t="s">
        <v>212</v>
      </c>
      <c r="C22" s="19" t="s">
        <v>64</v>
      </c>
      <c r="D22" s="19" t="s">
        <v>103</v>
      </c>
      <c r="E22" s="19" t="s">
        <v>191</v>
      </c>
      <c r="F22" s="20" t="s">
        <v>225</v>
      </c>
      <c r="G22" s="21">
        <v>0.5</v>
      </c>
      <c r="H22" s="307" t="str">
        <f>CONCATENATE("+",RIGHT('Personal File'!$B$9,1)+RIGHT('Personal File'!$C$12)+D22)</f>
        <v>+18</v>
      </c>
      <c r="I22" s="22">
        <f t="shared" ca="1" si="11"/>
        <v>4</v>
      </c>
      <c r="J22" s="24">
        <f t="shared" ref="J22" ca="1" si="15">I22+H22</f>
        <v>22</v>
      </c>
      <c r="K22" s="445" t="s">
        <v>273</v>
      </c>
      <c r="M22" s="320" t="s">
        <v>141</v>
      </c>
    </row>
    <row r="23" spans="1:13" ht="16.2" thickBot="1" x14ac:dyDescent="0.35">
      <c r="A23" s="14" t="s">
        <v>179</v>
      </c>
      <c r="B23" s="15" t="s">
        <v>187</v>
      </c>
      <c r="C23" s="15" t="str">
        <f>'Personal File'!C11</f>
        <v>+2</v>
      </c>
      <c r="D23" s="217" t="s">
        <v>103</v>
      </c>
      <c r="E23" s="15" t="s">
        <v>187</v>
      </c>
      <c r="F23" s="217" t="s">
        <v>187</v>
      </c>
      <c r="G23" s="218" t="s">
        <v>141</v>
      </c>
      <c r="H23" s="308" t="str">
        <f>CONCATENATE("+",RIGHT('Personal File'!$B$9,1)+RIGHT('Personal File'!$C$12)+D23)</f>
        <v>+18</v>
      </c>
      <c r="I23" s="214">
        <f ca="1">RANDBETWEEN(1,20)</f>
        <v>8</v>
      </c>
      <c r="J23" s="215">
        <f t="shared" ca="1" si="13"/>
        <v>26</v>
      </c>
      <c r="K23" s="219" t="s">
        <v>273</v>
      </c>
      <c r="M23" s="321" t="s">
        <v>141</v>
      </c>
    </row>
    <row r="24" spans="1:13" ht="6" customHeight="1" thickTop="1" thickBot="1" x14ac:dyDescent="0.35">
      <c r="D24" s="220"/>
      <c r="E24" s="220"/>
      <c r="G24" s="221"/>
      <c r="H24" s="221"/>
      <c r="I24" s="221"/>
      <c r="J24" s="221"/>
    </row>
    <row r="25" spans="1:13" ht="16.8" thickTop="1" thickBot="1" x14ac:dyDescent="0.35">
      <c r="A25" s="207" t="s">
        <v>73</v>
      </c>
      <c r="B25" s="208" t="s">
        <v>19</v>
      </c>
      <c r="C25" s="208" t="s">
        <v>36</v>
      </c>
      <c r="D25" s="208" t="s">
        <v>83</v>
      </c>
      <c r="E25" s="208" t="s">
        <v>84</v>
      </c>
      <c r="F25" s="208" t="s">
        <v>85</v>
      </c>
      <c r="G25" s="208" t="s">
        <v>30</v>
      </c>
      <c r="H25" s="222" t="s">
        <v>81</v>
      </c>
      <c r="I25" s="223"/>
      <c r="J25" s="223"/>
      <c r="K25" s="224"/>
      <c r="M25" s="213" t="s">
        <v>188</v>
      </c>
    </row>
    <row r="26" spans="1:13" x14ac:dyDescent="0.3">
      <c r="A26" s="381" t="s">
        <v>254</v>
      </c>
      <c r="B26" s="1">
        <v>6</v>
      </c>
      <c r="C26" s="382">
        <v>8</v>
      </c>
      <c r="D26" s="1">
        <v>0</v>
      </c>
      <c r="E26" s="383">
        <v>0</v>
      </c>
      <c r="F26" s="382" t="s">
        <v>215</v>
      </c>
      <c r="G26" s="384">
        <v>25</v>
      </c>
      <c r="H26" s="225"/>
      <c r="I26" s="226"/>
      <c r="J26" s="226"/>
      <c r="K26" s="227"/>
      <c r="M26" s="319">
        <v>300</v>
      </c>
    </row>
    <row r="27" spans="1:13" ht="16.2" thickBot="1" x14ac:dyDescent="0.35">
      <c r="A27" s="228" t="s">
        <v>213</v>
      </c>
      <c r="B27" s="305" t="s">
        <v>244</v>
      </c>
      <c r="C27" s="411" t="s">
        <v>141</v>
      </c>
      <c r="D27" s="229" t="s">
        <v>141</v>
      </c>
      <c r="E27" s="230" t="s">
        <v>141</v>
      </c>
      <c r="F27" s="305" t="s">
        <v>141</v>
      </c>
      <c r="G27" s="231">
        <v>0</v>
      </c>
      <c r="H27" s="232"/>
      <c r="I27" s="233"/>
      <c r="J27" s="233"/>
      <c r="K27" s="234"/>
      <c r="M27" s="322">
        <v>2500</v>
      </c>
    </row>
    <row r="28" spans="1:13" ht="6.75" customHeight="1" thickTop="1" thickBot="1" x14ac:dyDescent="0.35">
      <c r="M28" s="323"/>
    </row>
    <row r="29" spans="1:13" ht="16.8" thickTop="1" thickBot="1" x14ac:dyDescent="0.35">
      <c r="A29" s="216"/>
      <c r="B29" s="216"/>
      <c r="D29" s="235" t="s">
        <v>74</v>
      </c>
      <c r="E29" s="236"/>
      <c r="F29" s="222" t="s">
        <v>8</v>
      </c>
      <c r="G29" s="208" t="s">
        <v>30</v>
      </c>
      <c r="H29" s="210" t="s">
        <v>96</v>
      </c>
      <c r="I29" s="222" t="s">
        <v>81</v>
      </c>
      <c r="J29" s="223"/>
      <c r="K29" s="224"/>
      <c r="M29" s="213" t="s">
        <v>188</v>
      </c>
    </row>
    <row r="30" spans="1:13" x14ac:dyDescent="0.3">
      <c r="A30" s="216"/>
      <c r="B30" s="216"/>
      <c r="D30" s="353" t="s">
        <v>161</v>
      </c>
      <c r="E30" s="354"/>
      <c r="F30" s="355">
        <v>10</v>
      </c>
      <c r="G30" s="356">
        <f t="shared" ref="G30:G31" si="16">F30*0.1</f>
        <v>1</v>
      </c>
      <c r="H30" s="357" t="s">
        <v>162</v>
      </c>
      <c r="I30" s="358"/>
      <c r="J30" s="359"/>
      <c r="K30" s="360"/>
      <c r="M30" s="361" t="s">
        <v>141</v>
      </c>
    </row>
    <row r="31" spans="1:13" x14ac:dyDescent="0.3">
      <c r="A31" s="216"/>
      <c r="B31" s="216"/>
      <c r="D31" s="363" t="s">
        <v>226</v>
      </c>
      <c r="E31" s="364"/>
      <c r="F31" s="365">
        <v>1</v>
      </c>
      <c r="G31" s="366">
        <f t="shared" si="16"/>
        <v>0.1</v>
      </c>
      <c r="H31" s="367" t="s">
        <v>227</v>
      </c>
      <c r="I31" s="368"/>
      <c r="J31" s="369"/>
      <c r="K31" s="370"/>
      <c r="M31" s="318" t="s">
        <v>193</v>
      </c>
    </row>
    <row r="32" spans="1:13" ht="16.2" thickBot="1" x14ac:dyDescent="0.35">
      <c r="A32" s="216"/>
      <c r="B32" s="216"/>
      <c r="D32" s="348" t="s">
        <v>223</v>
      </c>
      <c r="E32" s="349"/>
      <c r="F32" s="350">
        <v>2</v>
      </c>
      <c r="G32" s="351">
        <f>F32*0.1</f>
        <v>0.2</v>
      </c>
      <c r="H32" s="217" t="s">
        <v>162</v>
      </c>
      <c r="I32" s="237"/>
      <c r="J32" s="238"/>
      <c r="K32" s="352"/>
      <c r="M32" s="444" t="s">
        <v>193</v>
      </c>
    </row>
    <row r="33" spans="1:13" ht="16.8" thickTop="1" thickBot="1" x14ac:dyDescent="0.35">
      <c r="A33" s="216"/>
      <c r="B33" s="216"/>
    </row>
    <row r="34" spans="1:13" ht="16.8" thickTop="1" thickBot="1" x14ac:dyDescent="0.35">
      <c r="A34" s="216"/>
      <c r="B34" s="216"/>
      <c r="D34" s="235" t="s">
        <v>220</v>
      </c>
      <c r="E34" s="223"/>
      <c r="F34" s="223"/>
      <c r="G34" s="330" t="s">
        <v>8</v>
      </c>
      <c r="H34" s="330" t="s">
        <v>152</v>
      </c>
      <c r="I34" s="330" t="s">
        <v>221</v>
      </c>
      <c r="J34" s="331" t="s">
        <v>81</v>
      </c>
      <c r="K34" s="224"/>
      <c r="L34" s="332"/>
      <c r="M34" s="213" t="s">
        <v>188</v>
      </c>
    </row>
    <row r="35" spans="1:13" x14ac:dyDescent="0.3">
      <c r="A35" s="216"/>
      <c r="B35" s="216"/>
      <c r="D35" s="333"/>
      <c r="E35" s="334"/>
      <c r="F35" s="334"/>
      <c r="G35" s="335"/>
      <c r="H35" s="335"/>
      <c r="I35" s="335"/>
      <c r="J35" s="336"/>
      <c r="K35" s="337"/>
      <c r="L35" s="332"/>
      <c r="M35" s="338"/>
    </row>
    <row r="36" spans="1:13" x14ac:dyDescent="0.3">
      <c r="D36" s="339"/>
      <c r="E36" s="340"/>
      <c r="F36" s="340"/>
      <c r="G36" s="17"/>
      <c r="H36" s="17"/>
      <c r="I36" s="17"/>
      <c r="J36" s="341"/>
      <c r="K36" s="342"/>
      <c r="L36" s="332"/>
      <c r="M36" s="338"/>
    </row>
    <row r="37" spans="1:13" ht="16.2" thickBot="1" x14ac:dyDescent="0.35">
      <c r="D37" s="343"/>
      <c r="E37" s="344"/>
      <c r="F37" s="344"/>
      <c r="G37" s="305"/>
      <c r="H37" s="305"/>
      <c r="I37" s="305"/>
      <c r="J37" s="345"/>
      <c r="K37" s="346"/>
      <c r="L37" s="332"/>
      <c r="M37" s="347"/>
    </row>
    <row r="38" spans="1:13" ht="16.2" thickTop="1" x14ac:dyDescent="0.3"/>
    <row r="39" spans="1:13" x14ac:dyDescent="0.3">
      <c r="K39" s="73" t="s">
        <v>238</v>
      </c>
      <c r="M39" s="325">
        <f>SUM(M3:M37)</f>
        <v>28700</v>
      </c>
    </row>
  </sheetData>
  <phoneticPr fontId="0" type="noConversion"/>
  <conditionalFormatting sqref="I3:I15">
    <cfRule type="cellIs" dxfId="3" priority="1" operator="equal">
      <formula>20</formula>
    </cfRule>
    <cfRule type="cellIs" dxfId="2" priority="2" operator="equal">
      <formula>1</formula>
    </cfRule>
  </conditionalFormatting>
  <conditionalFormatting sqref="I18:I23">
    <cfRule type="cellIs" dxfId="1" priority="7" operator="equal">
      <formula>20</formula>
    </cfRule>
    <cfRule type="cellIs" dxfId="0" priority="8" operator="equal">
      <formula>1</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45"/>
  <sheetViews>
    <sheetView showGridLines="0" workbookViewId="0"/>
  </sheetViews>
  <sheetFormatPr defaultColWidth="13" defaultRowHeight="15.6" x14ac:dyDescent="0.3"/>
  <cols>
    <col min="1" max="1" width="32.3984375" style="175" bestFit="1" customWidth="1"/>
    <col min="2" max="2" width="4.5" style="175" bestFit="1" customWidth="1"/>
    <col min="3" max="3" width="5.59765625" style="221" bestFit="1" customWidth="1"/>
    <col min="4" max="5" width="26.59765625" style="31" customWidth="1"/>
    <col min="6" max="6" width="2.59765625" style="175" customWidth="1"/>
    <col min="7" max="7" width="5.69921875" style="323" bestFit="1" customWidth="1"/>
    <col min="8" max="16384" width="13" style="31"/>
  </cols>
  <sheetData>
    <row r="1" spans="1:7" ht="23.4" thickBot="1" x14ac:dyDescent="0.35">
      <c r="A1" s="206" t="s">
        <v>78</v>
      </c>
      <c r="B1" s="206"/>
      <c r="C1" s="239"/>
      <c r="D1" s="206"/>
      <c r="E1" s="206"/>
    </row>
    <row r="2" spans="1:7" s="175" customFormat="1" ht="16.8" thickTop="1" thickBot="1" x14ac:dyDescent="0.35">
      <c r="A2" s="240" t="s">
        <v>79</v>
      </c>
      <c r="B2" s="240" t="s">
        <v>8</v>
      </c>
      <c r="C2" s="241" t="s">
        <v>30</v>
      </c>
      <c r="D2" s="242" t="s">
        <v>80</v>
      </c>
      <c r="E2" s="243" t="s">
        <v>81</v>
      </c>
      <c r="G2" s="386" t="s">
        <v>188</v>
      </c>
    </row>
    <row r="3" spans="1:7" x14ac:dyDescent="0.3">
      <c r="A3" s="244" t="s">
        <v>106</v>
      </c>
      <c r="B3" s="245">
        <v>1</v>
      </c>
      <c r="C3" s="246">
        <v>0.5</v>
      </c>
      <c r="D3" s="247"/>
      <c r="E3" s="248"/>
      <c r="G3" s="387">
        <v>500</v>
      </c>
    </row>
    <row r="4" spans="1:7" x14ac:dyDescent="0.3">
      <c r="A4" s="244" t="s">
        <v>173</v>
      </c>
      <c r="B4" s="249">
        <v>1</v>
      </c>
      <c r="C4" s="250" t="s">
        <v>163</v>
      </c>
      <c r="D4" s="251"/>
      <c r="E4" s="248"/>
      <c r="G4" s="388"/>
    </row>
    <row r="5" spans="1:7" x14ac:dyDescent="0.3">
      <c r="A5" s="244" t="s">
        <v>242</v>
      </c>
      <c r="B5" s="249">
        <v>1</v>
      </c>
      <c r="C5" s="250">
        <v>0</v>
      </c>
      <c r="D5" s="251"/>
      <c r="E5" s="248"/>
      <c r="G5" s="389" t="s">
        <v>193</v>
      </c>
    </row>
    <row r="6" spans="1:7" x14ac:dyDescent="0.3">
      <c r="A6" s="244" t="s">
        <v>222</v>
      </c>
      <c r="B6" s="249">
        <v>1</v>
      </c>
      <c r="C6" s="250">
        <v>0</v>
      </c>
      <c r="D6" s="247"/>
      <c r="E6" s="248"/>
      <c r="G6" s="389">
        <v>100</v>
      </c>
    </row>
    <row r="7" spans="1:7" x14ac:dyDescent="0.3">
      <c r="A7" s="244" t="s">
        <v>111</v>
      </c>
      <c r="B7" s="249">
        <v>1</v>
      </c>
      <c r="C7" s="246">
        <v>0.5</v>
      </c>
      <c r="D7" s="247"/>
      <c r="E7" s="248"/>
      <c r="G7" s="390"/>
    </row>
    <row r="8" spans="1:7" x14ac:dyDescent="0.3">
      <c r="A8" s="260" t="s">
        <v>243</v>
      </c>
      <c r="B8" s="408">
        <v>1</v>
      </c>
      <c r="C8" s="409" t="s">
        <v>193</v>
      </c>
      <c r="D8" s="265"/>
      <c r="E8" s="264"/>
      <c r="G8" s="389" t="s">
        <v>193</v>
      </c>
    </row>
    <row r="9" spans="1:7" ht="16.2" thickBot="1" x14ac:dyDescent="0.35">
      <c r="A9" s="252" t="s">
        <v>115</v>
      </c>
      <c r="B9" s="253">
        <v>1</v>
      </c>
      <c r="C9" s="254">
        <v>0</v>
      </c>
      <c r="D9" s="255"/>
      <c r="E9" s="256"/>
      <c r="G9" s="391"/>
    </row>
    <row r="10" spans="1:7" ht="24" thickTop="1" thickBot="1" x14ac:dyDescent="0.35">
      <c r="A10" s="206" t="s">
        <v>82</v>
      </c>
      <c r="B10" s="206"/>
      <c r="C10" s="257"/>
      <c r="D10" s="206"/>
      <c r="E10" s="258"/>
    </row>
    <row r="11" spans="1:7" ht="16.8" thickTop="1" thickBot="1" x14ac:dyDescent="0.35">
      <c r="A11" s="240" t="s">
        <v>79</v>
      </c>
      <c r="B11" s="240" t="s">
        <v>8</v>
      </c>
      <c r="C11" s="241" t="s">
        <v>30</v>
      </c>
      <c r="D11" s="242" t="s">
        <v>80</v>
      </c>
      <c r="E11" s="243" t="s">
        <v>81</v>
      </c>
      <c r="G11" s="386" t="s">
        <v>188</v>
      </c>
    </row>
    <row r="12" spans="1:7" x14ac:dyDescent="0.3">
      <c r="A12" s="244" t="s">
        <v>159</v>
      </c>
      <c r="B12" s="245">
        <v>1</v>
      </c>
      <c r="C12" s="250">
        <v>1</v>
      </c>
      <c r="D12" s="314"/>
      <c r="E12" s="316"/>
      <c r="F12" s="216"/>
      <c r="G12" s="392"/>
    </row>
    <row r="13" spans="1:7" x14ac:dyDescent="0.3">
      <c r="A13" s="244" t="s">
        <v>144</v>
      </c>
      <c r="B13" s="249">
        <v>1</v>
      </c>
      <c r="C13" s="250">
        <v>2.5</v>
      </c>
      <c r="D13" s="251"/>
      <c r="E13" s="248"/>
      <c r="F13" s="216"/>
      <c r="G13" s="390"/>
    </row>
    <row r="14" spans="1:7" x14ac:dyDescent="0.3">
      <c r="A14" s="244" t="s">
        <v>181</v>
      </c>
      <c r="B14" s="249">
        <v>1</v>
      </c>
      <c r="C14" s="246">
        <v>0</v>
      </c>
      <c r="D14" s="247"/>
      <c r="E14" s="248"/>
      <c r="F14" s="216"/>
      <c r="G14" s="390"/>
    </row>
    <row r="15" spans="1:7" x14ac:dyDescent="0.3">
      <c r="A15" s="244" t="s">
        <v>174</v>
      </c>
      <c r="B15" s="249">
        <v>1</v>
      </c>
      <c r="C15" s="246">
        <v>2.5</v>
      </c>
      <c r="D15" s="259" t="s">
        <v>109</v>
      </c>
      <c r="E15" s="248"/>
      <c r="F15" s="216"/>
      <c r="G15" s="389">
        <v>80</v>
      </c>
    </row>
    <row r="16" spans="1:7" x14ac:dyDescent="0.3">
      <c r="A16" s="260" t="s">
        <v>116</v>
      </c>
      <c r="B16" s="249">
        <v>1</v>
      </c>
      <c r="C16" s="261">
        <v>0</v>
      </c>
      <c r="D16" s="265"/>
      <c r="E16" s="248"/>
      <c r="F16" s="216"/>
      <c r="G16" s="389">
        <v>200</v>
      </c>
    </row>
    <row r="17" spans="1:7" x14ac:dyDescent="0.3">
      <c r="A17" s="244" t="s">
        <v>117</v>
      </c>
      <c r="B17" s="249">
        <v>1</v>
      </c>
      <c r="C17" s="246">
        <v>0</v>
      </c>
      <c r="D17" s="265"/>
      <c r="E17" s="264"/>
      <c r="F17" s="216"/>
      <c r="G17" s="389">
        <v>350</v>
      </c>
    </row>
    <row r="18" spans="1:7" x14ac:dyDescent="0.3">
      <c r="A18" s="260" t="s">
        <v>164</v>
      </c>
      <c r="B18" s="249">
        <v>150</v>
      </c>
      <c r="C18" s="261">
        <f>B18/100</f>
        <v>1.5</v>
      </c>
      <c r="D18" s="265"/>
      <c r="E18" s="264"/>
      <c r="F18" s="216"/>
      <c r="G18" s="389">
        <f>B18</f>
        <v>150</v>
      </c>
    </row>
    <row r="19" spans="1:7" x14ac:dyDescent="0.3">
      <c r="A19" s="260" t="s">
        <v>228</v>
      </c>
      <c r="B19" s="249" t="s">
        <v>245</v>
      </c>
      <c r="C19" s="261">
        <v>2</v>
      </c>
      <c r="D19" s="265"/>
      <c r="E19" s="264"/>
      <c r="F19" s="216"/>
      <c r="G19" s="390"/>
    </row>
    <row r="20" spans="1:7" x14ac:dyDescent="0.3">
      <c r="A20" s="260" t="s">
        <v>253</v>
      </c>
      <c r="B20" s="249">
        <v>6</v>
      </c>
      <c r="C20" s="261">
        <v>0.5</v>
      </c>
      <c r="D20" s="265"/>
      <c r="E20" s="264"/>
      <c r="F20" s="216"/>
      <c r="G20" s="390"/>
    </row>
    <row r="21" spans="1:7" x14ac:dyDescent="0.3">
      <c r="A21" s="260" t="s">
        <v>112</v>
      </c>
      <c r="B21" s="249">
        <v>1</v>
      </c>
      <c r="C21" s="261">
        <v>0</v>
      </c>
      <c r="D21" s="265"/>
      <c r="E21" s="264"/>
      <c r="F21" s="216"/>
      <c r="G21" s="390"/>
    </row>
    <row r="22" spans="1:7" x14ac:dyDescent="0.3">
      <c r="A22" s="260" t="s">
        <v>113</v>
      </c>
      <c r="B22" s="249">
        <v>1</v>
      </c>
      <c r="C22" s="261">
        <v>0</v>
      </c>
      <c r="D22" s="265"/>
      <c r="E22" s="264"/>
      <c r="F22" s="216"/>
      <c r="G22" s="390"/>
    </row>
    <row r="23" spans="1:7" x14ac:dyDescent="0.3">
      <c r="A23" s="260" t="s">
        <v>175</v>
      </c>
      <c r="B23" s="249">
        <v>1</v>
      </c>
      <c r="C23" s="261">
        <v>1</v>
      </c>
      <c r="D23" s="262" t="s">
        <v>176</v>
      </c>
      <c r="E23" s="264"/>
      <c r="F23" s="216"/>
      <c r="G23" s="390"/>
    </row>
    <row r="24" spans="1:7" x14ac:dyDescent="0.3">
      <c r="A24" s="244" t="s">
        <v>145</v>
      </c>
      <c r="B24" s="249">
        <v>5</v>
      </c>
      <c r="C24" s="261">
        <v>0</v>
      </c>
      <c r="D24" s="262" t="s">
        <v>176</v>
      </c>
      <c r="E24" s="264"/>
      <c r="F24" s="216"/>
      <c r="G24" s="390"/>
    </row>
    <row r="25" spans="1:7" x14ac:dyDescent="0.3">
      <c r="A25" s="260" t="s">
        <v>114</v>
      </c>
      <c r="B25" s="249">
        <v>1</v>
      </c>
      <c r="C25" s="261">
        <v>1</v>
      </c>
      <c r="D25" s="262" t="s">
        <v>176</v>
      </c>
      <c r="E25" s="264"/>
      <c r="F25" s="216"/>
      <c r="G25" s="390"/>
    </row>
    <row r="26" spans="1:7" x14ac:dyDescent="0.3">
      <c r="A26" s="260" t="s">
        <v>184</v>
      </c>
      <c r="B26" s="249">
        <v>1</v>
      </c>
      <c r="C26" s="250">
        <f>B26</f>
        <v>1</v>
      </c>
      <c r="D26" s="263"/>
      <c r="E26" s="264"/>
      <c r="F26" s="216"/>
      <c r="G26" s="390"/>
    </row>
    <row r="27" spans="1:7" ht="16.2" thickBot="1" x14ac:dyDescent="0.35">
      <c r="A27" s="252" t="s">
        <v>107</v>
      </c>
      <c r="B27" s="253">
        <v>1</v>
      </c>
      <c r="C27" s="254">
        <v>1</v>
      </c>
      <c r="D27" s="315" t="s">
        <v>110</v>
      </c>
      <c r="E27" s="256"/>
      <c r="F27" s="216"/>
      <c r="G27" s="393">
        <v>100</v>
      </c>
    </row>
    <row r="28" spans="1:7" ht="24" thickTop="1" thickBot="1" x14ac:dyDescent="0.35">
      <c r="A28" s="73"/>
      <c r="B28" s="73"/>
      <c r="D28" s="266" t="s">
        <v>98</v>
      </c>
      <c r="E28" s="258"/>
    </row>
    <row r="29" spans="1:7" ht="16.8" thickTop="1" thickBot="1" x14ac:dyDescent="0.35">
      <c r="A29" s="240" t="s">
        <v>79</v>
      </c>
      <c r="B29" s="240" t="s">
        <v>8</v>
      </c>
      <c r="C29" s="241" t="s">
        <v>30</v>
      </c>
      <c r="D29" s="242" t="s">
        <v>80</v>
      </c>
      <c r="E29" s="243" t="s">
        <v>81</v>
      </c>
      <c r="G29" s="386" t="s">
        <v>188</v>
      </c>
    </row>
    <row r="30" spans="1:7" x14ac:dyDescent="0.3">
      <c r="A30" s="267"/>
      <c r="B30" s="268"/>
      <c r="C30" s="269"/>
      <c r="D30" s="270"/>
      <c r="E30" s="271"/>
      <c r="G30" s="387"/>
    </row>
    <row r="31" spans="1:7" x14ac:dyDescent="0.3">
      <c r="A31" s="267"/>
      <c r="B31" s="272"/>
      <c r="C31" s="273"/>
      <c r="D31" s="274"/>
      <c r="E31" s="275"/>
      <c r="G31" s="389"/>
    </row>
    <row r="32" spans="1:7" x14ac:dyDescent="0.3">
      <c r="A32" s="267"/>
      <c r="B32" s="272"/>
      <c r="C32" s="273"/>
      <c r="D32" s="274"/>
      <c r="E32" s="275"/>
      <c r="G32" s="389"/>
    </row>
    <row r="33" spans="1:7" x14ac:dyDescent="0.3">
      <c r="A33" s="267"/>
      <c r="B33" s="272"/>
      <c r="C33" s="273"/>
      <c r="D33" s="274"/>
      <c r="E33" s="275"/>
      <c r="G33" s="389"/>
    </row>
    <row r="34" spans="1:7" ht="16.2" thickBot="1" x14ac:dyDescent="0.35">
      <c r="A34" s="276"/>
      <c r="B34" s="277"/>
      <c r="C34" s="254"/>
      <c r="D34" s="278"/>
      <c r="E34" s="256"/>
      <c r="G34" s="393"/>
    </row>
    <row r="35" spans="1:7" ht="24" thickTop="1" thickBot="1" x14ac:dyDescent="0.35">
      <c r="A35" s="73" t="s">
        <v>182</v>
      </c>
      <c r="B35" s="73"/>
      <c r="C35" s="221">
        <f>SUM(C30:C34)</f>
        <v>0</v>
      </c>
      <c r="D35" s="266" t="s">
        <v>246</v>
      </c>
      <c r="E35" s="258"/>
    </row>
    <row r="36" spans="1:7" s="175" customFormat="1" ht="16.8" thickTop="1" thickBot="1" x14ac:dyDescent="0.35">
      <c r="A36" s="240" t="s">
        <v>79</v>
      </c>
      <c r="B36" s="240" t="s">
        <v>8</v>
      </c>
      <c r="C36" s="241" t="s">
        <v>30</v>
      </c>
      <c r="D36" s="242" t="s">
        <v>80</v>
      </c>
      <c r="E36" s="243" t="s">
        <v>81</v>
      </c>
      <c r="G36" s="386" t="s">
        <v>188</v>
      </c>
    </row>
    <row r="37" spans="1:7" x14ac:dyDescent="0.3">
      <c r="A37" s="244" t="s">
        <v>106</v>
      </c>
      <c r="B37" s="245">
        <v>1</v>
      </c>
      <c r="C37" s="246">
        <v>0.5</v>
      </c>
      <c r="D37" s="247"/>
      <c r="E37" s="248"/>
      <c r="G37" s="387">
        <v>500</v>
      </c>
    </row>
    <row r="38" spans="1:7" x14ac:dyDescent="0.3">
      <c r="A38" s="267"/>
      <c r="B38" s="272"/>
      <c r="C38" s="273"/>
      <c r="D38" s="274"/>
      <c r="E38" s="275"/>
      <c r="G38" s="389"/>
    </row>
    <row r="39" spans="1:7" x14ac:dyDescent="0.3">
      <c r="A39" s="267"/>
      <c r="B39" s="272"/>
      <c r="C39" s="273"/>
      <c r="D39" s="274"/>
      <c r="E39" s="275"/>
      <c r="G39" s="389"/>
    </row>
    <row r="40" spans="1:7" x14ac:dyDescent="0.3">
      <c r="A40" s="267"/>
      <c r="B40" s="272"/>
      <c r="C40" s="273"/>
      <c r="D40" s="274"/>
      <c r="E40" s="275"/>
      <c r="G40" s="389"/>
    </row>
    <row r="41" spans="1:7" x14ac:dyDescent="0.3">
      <c r="A41" s="267"/>
      <c r="B41" s="272"/>
      <c r="C41" s="273"/>
      <c r="D41" s="274"/>
      <c r="E41" s="275"/>
      <c r="G41" s="389"/>
    </row>
    <row r="42" spans="1:7" ht="16.2" thickBot="1" x14ac:dyDescent="0.35">
      <c r="A42" s="276"/>
      <c r="B42" s="277"/>
      <c r="C42" s="254"/>
      <c r="D42" s="278"/>
      <c r="E42" s="256"/>
      <c r="G42" s="393"/>
    </row>
    <row r="43" spans="1:7" ht="16.2" thickTop="1" x14ac:dyDescent="0.3"/>
    <row r="44" spans="1:7" x14ac:dyDescent="0.3">
      <c r="A44" s="31"/>
      <c r="B44" s="31"/>
      <c r="E44" s="73" t="s">
        <v>238</v>
      </c>
      <c r="G44" s="325">
        <f>SUM(G3:G42)</f>
        <v>1980</v>
      </c>
    </row>
    <row r="45" spans="1:7" x14ac:dyDescent="0.3">
      <c r="E45" s="73" t="s">
        <v>237</v>
      </c>
      <c r="G45" s="325">
        <f>G44+Martial!M39</f>
        <v>30680</v>
      </c>
    </row>
  </sheetData>
  <sortState xmlns:xlrd2="http://schemas.microsoft.com/office/spreadsheetml/2017/richdata2" ref="A9:E22">
    <sortCondition ref="A9:A22"/>
  </sortState>
  <phoneticPr fontId="0" type="noConversion"/>
  <printOptions gridLinesSet="0"/>
  <pageMargins left="0.62" right="0.33" top="0.5" bottom="0.63" header="0.5" footer="0.5"/>
  <pageSetup orientation="portrait" horizontalDpi="120" verticalDpi="144"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Personal File</vt:lpstr>
      <vt:lpstr>Skills</vt:lpstr>
      <vt:lpstr>Invocations</vt:lpstr>
      <vt:lpstr>Feats</vt:lpstr>
      <vt:lpstr>Martial</vt:lpstr>
      <vt:lpstr>Equipment</vt:lpstr>
      <vt:lpstr>Invocations!Print_Area</vt:lpstr>
      <vt:lpstr>'Personal File'!Print_Area</vt:lpstr>
      <vt:lpstr>Skills!Print_Area</vt:lpstr>
    </vt:vector>
  </TitlesOfParts>
  <LinksUpToDate>false</LinksUpToDate>
  <SharedDoc>false</SharedDoc>
  <HyperlinkBase>http://www.alexisalvarez.org/RPG/sof/</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Dungeons of Waterdeep PC file</dc:title>
  <dc:creator>© Alexis A. Álvarez 2007</dc:creator>
  <cp:lastModifiedBy>Alexis Álvarez</cp:lastModifiedBy>
  <cp:lastPrinted>2012-10-13T20:58:41Z</cp:lastPrinted>
  <dcterms:created xsi:type="dcterms:W3CDTF">2000-10-24T15:39:59Z</dcterms:created>
  <dcterms:modified xsi:type="dcterms:W3CDTF">2023-11-04T13:42:14Z</dcterms:modified>
</cp:coreProperties>
</file>