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43506576-0472-49DB-B1CB-5BB97B7836EF}"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2"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2">Invocations!$A$1:$I$6</definedName>
    <definedName name="_xlnm.Print_Area" localSheetId="4">Martial!#REF!</definedName>
    <definedName name="_xlnm.Print_Area" localSheetId="0">'Personal File'!$A$1:$H$50</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14" i="6"/>
  <c r="I12" i="6"/>
  <c r="I11" i="6"/>
  <c r="I5" i="6"/>
  <c r="I8" i="6"/>
  <c r="I20" i="6"/>
  <c r="B16" i="4" l="1"/>
  <c r="B11" i="4" l="1"/>
  <c r="F9" i="15" l="1"/>
  <c r="F8" i="15"/>
  <c r="C20" i="20" l="1"/>
  <c r="H16" i="15"/>
  <c r="I19" i="6" l="1"/>
  <c r="I18" i="6"/>
  <c r="B5" i="15"/>
  <c r="B4" i="15"/>
  <c r="B3" i="15"/>
  <c r="B9" i="4"/>
  <c r="F23" i="15" l="1"/>
  <c r="F7" i="15"/>
  <c r="D18" i="6" l="1"/>
  <c r="I6" i="6" l="1"/>
  <c r="I7" i="6"/>
  <c r="I3" i="6"/>
  <c r="I4" i="6"/>
  <c r="G18" i="19" l="1"/>
  <c r="I13" i="6" l="1"/>
  <c r="F27" i="15"/>
  <c r="G44" i="19" l="1"/>
  <c r="M39" i="6"/>
  <c r="G45" i="19" l="1"/>
  <c r="H42" i="15"/>
  <c r="I10" i="6" l="1"/>
  <c r="G30" i="6" l="1"/>
  <c r="G31" i="6"/>
  <c r="I22" i="6" l="1"/>
  <c r="G32" i="6" l="1"/>
  <c r="C16" i="4" l="1"/>
  <c r="H3" i="15" l="1"/>
  <c r="H4" i="15"/>
  <c r="H5" i="15"/>
  <c r="H6" i="15"/>
  <c r="H7" i="15"/>
  <c r="D8" i="15"/>
  <c r="G8" i="15" s="1"/>
  <c r="H8" i="15"/>
  <c r="H9" i="15"/>
  <c r="H10" i="15"/>
  <c r="H11" i="15"/>
  <c r="H12" i="15"/>
  <c r="D13" i="15"/>
  <c r="G13" i="15" s="1"/>
  <c r="H13" i="15"/>
  <c r="H14" i="15"/>
  <c r="D15" i="15"/>
  <c r="G15" i="15" s="1"/>
  <c r="H15" i="15"/>
  <c r="H17" i="15"/>
  <c r="D18" i="15"/>
  <c r="G18" i="15" s="1"/>
  <c r="H18" i="15"/>
  <c r="D19" i="15"/>
  <c r="G19" i="15" s="1"/>
  <c r="H19" i="15"/>
  <c r="H20" i="15"/>
  <c r="H21" i="15"/>
  <c r="D22" i="15"/>
  <c r="G22" i="15" s="1"/>
  <c r="H22" i="15"/>
  <c r="E22" i="15" l="1"/>
  <c r="E13" i="15"/>
  <c r="E15" i="15"/>
  <c r="E18" i="15"/>
  <c r="I13" i="15"/>
  <c r="E8" i="15"/>
  <c r="I8" i="15"/>
  <c r="I22" i="15"/>
  <c r="I18" i="15"/>
  <c r="I19" i="15"/>
  <c r="I15" i="15"/>
  <c r="E19" i="15"/>
  <c r="C26" i="19" l="1"/>
  <c r="C18" i="19" l="1"/>
  <c r="E12" i="4" l="1"/>
  <c r="I21" i="6" l="1"/>
  <c r="I23" i="6" l="1"/>
  <c r="H23" i="15" l="1"/>
  <c r="C13" i="4" l="1"/>
  <c r="E13" i="4" s="1"/>
  <c r="D3" i="15" l="1"/>
  <c r="G3" i="15" s="1"/>
  <c r="D10" i="15"/>
  <c r="G10" i="15" s="1"/>
  <c r="H26" i="15"/>
  <c r="E10" i="15" l="1"/>
  <c r="I10" i="15"/>
  <c r="E3" i="15"/>
  <c r="I3" i="15"/>
  <c r="C11" i="4"/>
  <c r="E9" i="4" s="1"/>
  <c r="C12" i="4"/>
  <c r="C14" i="4"/>
  <c r="E49" i="15" s="1"/>
  <c r="C15" i="4"/>
  <c r="H14" i="6" l="1"/>
  <c r="J14" i="6" s="1"/>
  <c r="H12" i="6"/>
  <c r="J12" i="6" s="1"/>
  <c r="H5" i="6"/>
  <c r="J5" i="6" s="1"/>
  <c r="H20" i="6"/>
  <c r="J20" i="6" s="1"/>
  <c r="H8" i="6"/>
  <c r="J8" i="6" s="1"/>
  <c r="H15" i="6"/>
  <c r="J15" i="6" s="1"/>
  <c r="H11" i="6"/>
  <c r="J11" i="6" s="1"/>
  <c r="E56" i="15"/>
  <c r="E54" i="15"/>
  <c r="E52" i="15"/>
  <c r="H7" i="6"/>
  <c r="J7" i="6" s="1"/>
  <c r="H4" i="6"/>
  <c r="J4" i="6" s="1"/>
  <c r="H6" i="6"/>
  <c r="J6" i="6" s="1"/>
  <c r="E51" i="15"/>
  <c r="E50" i="15"/>
  <c r="E48" i="15"/>
  <c r="E47" i="15"/>
  <c r="E45" i="15"/>
  <c r="E46" i="15"/>
  <c r="H10" i="6"/>
  <c r="J10" i="6" s="1"/>
  <c r="H18" i="6"/>
  <c r="J18" i="6" s="1"/>
  <c r="H3" i="6"/>
  <c r="J3" i="6" s="1"/>
  <c r="H23" i="6"/>
  <c r="J23" i="6" s="1"/>
  <c r="H22" i="6"/>
  <c r="J22" i="6" s="1"/>
  <c r="H19" i="6"/>
  <c r="J19" i="6" s="1"/>
  <c r="H13" i="6"/>
  <c r="J13" i="6" s="1"/>
  <c r="E14" i="4"/>
  <c r="E16" i="4" s="1"/>
  <c r="E15" i="4" s="1"/>
  <c r="D17" i="15"/>
  <c r="G17" i="15" s="1"/>
  <c r="D12" i="15"/>
  <c r="G12" i="15" s="1"/>
  <c r="D14" i="15"/>
  <c r="G14" i="15" s="1"/>
  <c r="D6" i="15"/>
  <c r="G6" i="15" s="1"/>
  <c r="D11" i="15"/>
  <c r="G11" i="15" s="1"/>
  <c r="D5" i="15"/>
  <c r="G5" i="15" s="1"/>
  <c r="D20" i="15"/>
  <c r="G20" i="15" s="1"/>
  <c r="D7" i="15"/>
  <c r="G7" i="15" s="1"/>
  <c r="D21" i="15"/>
  <c r="G21" i="15" s="1"/>
  <c r="D4" i="15"/>
  <c r="G4" i="15" s="1"/>
  <c r="D16" i="15"/>
  <c r="G16" i="15" s="1"/>
  <c r="C23" i="6"/>
  <c r="D9" i="15"/>
  <c r="G9" i="15" s="1"/>
  <c r="H21" i="6"/>
  <c r="J21" i="6" s="1"/>
  <c r="B10" i="4"/>
  <c r="G4" i="20"/>
  <c r="G5" i="20"/>
  <c r="G3" i="20"/>
  <c r="D26" i="15"/>
  <c r="G26" i="15" s="1"/>
  <c r="C6" i="6"/>
  <c r="H43" i="15"/>
  <c r="E44" i="15" l="1"/>
  <c r="E16" i="15"/>
  <c r="I16" i="15"/>
  <c r="E6" i="15"/>
  <c r="I6" i="15"/>
  <c r="I4" i="15"/>
  <c r="E4" i="15"/>
  <c r="E20" i="15"/>
  <c r="I20" i="15"/>
  <c r="E14" i="15"/>
  <c r="I14" i="15"/>
  <c r="E9" i="15"/>
  <c r="I9" i="15"/>
  <c r="E21" i="15"/>
  <c r="I21" i="15"/>
  <c r="E5" i="15"/>
  <c r="I5" i="15"/>
  <c r="I12" i="15"/>
  <c r="E12" i="15"/>
  <c r="E7" i="15"/>
  <c r="I7" i="15"/>
  <c r="E11" i="15"/>
  <c r="I11" i="15"/>
  <c r="E17" i="15"/>
  <c r="I17" i="15"/>
  <c r="E26" i="15"/>
  <c r="I26" i="15"/>
  <c r="H41" i="15"/>
  <c r="H40" i="15"/>
  <c r="H39" i="15"/>
  <c r="H38" i="15"/>
  <c r="H37" i="15"/>
  <c r="H36" i="15"/>
  <c r="H35" i="15"/>
  <c r="H34" i="15"/>
  <c r="H33" i="15"/>
  <c r="H32" i="15"/>
  <c r="H31" i="15"/>
  <c r="H30" i="15"/>
  <c r="H29" i="15"/>
  <c r="H28" i="15"/>
  <c r="H27" i="15"/>
  <c r="H25" i="15"/>
  <c r="H24" i="15"/>
  <c r="D25" i="15" l="1"/>
  <c r="G25" i="15" s="1"/>
  <c r="E25" i="15" l="1"/>
  <c r="B44" i="15"/>
  <c r="I25" i="15" l="1"/>
  <c r="D31" i="15" l="1"/>
  <c r="G31" i="15" s="1"/>
  <c r="E31" i="15" l="1"/>
  <c r="D37" i="15"/>
  <c r="G37" i="15" s="1"/>
  <c r="D24" i="15"/>
  <c r="G24" i="15" s="1"/>
  <c r="D39" i="15"/>
  <c r="G39" i="15" s="1"/>
  <c r="D36" i="15"/>
  <c r="G36" i="15" s="1"/>
  <c r="C35" i="19"/>
  <c r="D41" i="15"/>
  <c r="G41" i="15" s="1"/>
  <c r="D38" i="15"/>
  <c r="G38" i="15" s="1"/>
  <c r="D40" i="15"/>
  <c r="G40" i="15" s="1"/>
  <c r="D33" i="15"/>
  <c r="G33" i="15" s="1"/>
  <c r="D42" i="15"/>
  <c r="G42" i="15" s="1"/>
  <c r="D29" i="15"/>
  <c r="G29" i="15" s="1"/>
  <c r="D35" i="15"/>
  <c r="G35" i="15" s="1"/>
  <c r="D43" i="15"/>
  <c r="G43" i="15" s="1"/>
  <c r="D34" i="15"/>
  <c r="G34" i="15" s="1"/>
  <c r="D32" i="15"/>
  <c r="G32" i="15" s="1"/>
  <c r="D30" i="15"/>
  <c r="G30" i="15" s="1"/>
  <c r="D28" i="15"/>
  <c r="G28" i="15" s="1"/>
  <c r="D27" i="15"/>
  <c r="G27" i="15" s="1"/>
  <c r="D23" i="15"/>
  <c r="G23" i="15" s="1"/>
  <c r="I31" i="15" l="1"/>
  <c r="E27" i="15"/>
  <c r="E30" i="15"/>
  <c r="E34" i="15"/>
  <c r="E35" i="15"/>
  <c r="E42" i="15"/>
  <c r="E40" i="15"/>
  <c r="E41" i="15"/>
  <c r="E36" i="15"/>
  <c r="E24" i="15"/>
  <c r="E37" i="15"/>
  <c r="E23" i="15"/>
  <c r="E28" i="15"/>
  <c r="E32" i="15"/>
  <c r="E43" i="15"/>
  <c r="E29" i="15"/>
  <c r="E33" i="15"/>
  <c r="E38" i="15"/>
  <c r="E39" i="15"/>
  <c r="I37" i="15" l="1"/>
  <c r="I24" i="15"/>
  <c r="I36" i="15"/>
  <c r="I40" i="15"/>
  <c r="I42" i="15"/>
  <c r="I35" i="15"/>
  <c r="I34" i="15"/>
  <c r="I30" i="15"/>
  <c r="I27" i="15"/>
  <c r="I41" i="15"/>
  <c r="I39" i="15"/>
  <c r="I38" i="15"/>
  <c r="I33" i="15"/>
  <c r="I29" i="15"/>
  <c r="I43" i="15"/>
  <c r="I32" i="15"/>
  <c r="I28" i="15"/>
  <c r="I2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11" authorId="0" shapeId="0" xr:uid="{00000000-0006-0000-0000-000001000000}">
      <text>
        <r>
          <rPr>
            <i/>
            <sz val="12"/>
            <color indexed="81"/>
            <rFont val="Times New Roman"/>
            <family val="1"/>
          </rPr>
          <t>bull’s strength +4</t>
        </r>
      </text>
    </comment>
    <comment ref="E13" authorId="0" shapeId="0" xr:uid="{00000000-0006-0000-0000-000002000000}">
      <text>
        <r>
          <rPr>
            <sz val="12"/>
            <color indexed="81"/>
            <rFont val="Times New Roman"/>
            <family val="1"/>
          </rPr>
          <t>[(4 * 8 Succubus) * 75%]
+ [(3 * 6 Rogue) * 75%]
+ [(3 * 6 Warlock) * 75%]
+ (12 * 1 Con)</t>
        </r>
      </text>
    </comment>
    <comment ref="E14" authorId="0" shapeId="0" xr:uid="{00000000-0006-0000-0000-000003000000}">
      <text>
        <r>
          <rPr>
            <sz val="12"/>
            <color indexed="81"/>
            <rFont val="Times New Roman"/>
            <family val="1"/>
          </rPr>
          <t xml:space="preserve">+1 natural armor
+1 size bonus
+2 </t>
        </r>
        <r>
          <rPr>
            <i/>
            <sz val="12"/>
            <color indexed="81"/>
            <rFont val="Times New Roman"/>
            <family val="1"/>
          </rPr>
          <t>shield of faith</t>
        </r>
      </text>
    </comment>
    <comment ref="B15" authorId="0" shapeId="0" xr:uid="{00000000-0006-0000-0000-000004000000}">
      <text>
        <r>
          <rPr>
            <i/>
            <sz val="12"/>
            <color indexed="81"/>
            <rFont val="Times New Roman"/>
            <family val="1"/>
          </rPr>
          <t>owl’s wisdom +4</t>
        </r>
      </text>
    </comment>
    <comment ref="B16" authorId="0" shapeId="0" xr:uid="{00000000-0006-0000-0000-000005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sz val="12"/>
            <color indexed="81"/>
            <rFont val="Times New Roman"/>
            <family val="1"/>
          </rPr>
          <t>Tumble synergy +2
Leaps &amp; Bounds +6</t>
        </r>
      </text>
    </comment>
    <comment ref="F8" authorId="0" shapeId="0" xr:uid="{00000000-0006-0000-0100-000002000000}">
      <text>
        <r>
          <rPr>
            <sz val="12"/>
            <color indexed="81"/>
            <rFont val="Times New Roman"/>
            <family val="1"/>
          </rPr>
          <t>Succubus +4
Charlatan +2</t>
        </r>
      </text>
    </comment>
    <comment ref="F9" authorId="0" shapeId="0" xr:uid="{00000000-0006-0000-0100-000003000000}">
      <text>
        <r>
          <rPr>
            <sz val="12"/>
            <color indexed="81"/>
            <rFont val="Times New Roman"/>
            <family val="1"/>
          </rPr>
          <t>Halfing +2
Climber’s Kit +2</t>
        </r>
      </text>
    </comment>
    <comment ref="F13" authorId="0" shapeId="0" xr:uid="{00000000-0006-0000-0100-000004000000}">
      <text>
        <r>
          <rPr>
            <sz val="12"/>
            <color indexed="81"/>
            <rFont val="Times New Roman"/>
            <family val="1"/>
          </rPr>
          <t>Alluring +2</t>
        </r>
      </text>
    </comment>
    <comment ref="F14" authorId="0" shapeId="0" xr:uid="{00000000-0006-0000-0100-000005000000}">
      <text>
        <r>
          <rPr>
            <sz val="12"/>
            <color indexed="81"/>
            <rFont val="Times New Roman"/>
            <family val="1"/>
          </rPr>
          <t>MW lockpick</t>
        </r>
      </text>
    </comment>
    <comment ref="F15" authorId="0" shapeId="0" xr:uid="{00000000-0006-0000-0100-000006000000}">
      <text>
        <r>
          <rPr>
            <sz val="12"/>
            <color indexed="81"/>
            <rFont val="Times New Roman"/>
            <family val="1"/>
          </rPr>
          <t>Charlatan +2</t>
        </r>
      </text>
    </comment>
    <comment ref="F18" authorId="0" shapeId="0" xr:uid="{00000000-0006-0000-0100-000007000000}">
      <text>
        <r>
          <rPr>
            <sz val="12"/>
            <color indexed="81"/>
            <rFont val="Times New Roman"/>
            <family val="1"/>
          </rPr>
          <t>K: Local synergy +2</t>
        </r>
      </text>
    </comment>
    <comment ref="F21" authorId="0" shapeId="0" xr:uid="{00000000-0006-0000-0100-000008000000}">
      <text>
        <r>
          <rPr>
            <sz val="12"/>
            <color indexed="81"/>
            <rFont val="Times New Roman"/>
            <family val="1"/>
          </rPr>
          <t>Halfling (Small) +4</t>
        </r>
      </text>
    </comment>
    <comment ref="F23" authorId="0" shapeId="0" xr:uid="{00000000-0006-0000-0100-000009000000}">
      <text>
        <r>
          <rPr>
            <sz val="12"/>
            <color indexed="81"/>
            <rFont val="Times New Roman"/>
            <family val="1"/>
          </rPr>
          <t>Halfling +2
Tumble synergy +2
Leaps &amp; Bounds +6</t>
        </r>
      </text>
    </comment>
    <comment ref="F27" authorId="0" shapeId="0" xr:uid="{00000000-0006-0000-0100-00000A000000}">
      <text>
        <r>
          <rPr>
            <sz val="12"/>
            <color indexed="81"/>
            <rFont val="Times New Roman"/>
            <family val="1"/>
          </rPr>
          <t>Halfling +2
Succubus +8</t>
        </r>
      </text>
    </comment>
    <comment ref="F28" authorId="0" shapeId="0" xr:uid="{00000000-0006-0000-0100-00000B000000}">
      <text>
        <r>
          <rPr>
            <sz val="12"/>
            <color indexed="81"/>
            <rFont val="Times New Roman"/>
            <family val="1"/>
          </rPr>
          <t>Halfling +2</t>
        </r>
      </text>
    </comment>
    <comment ref="F29" authorId="0" shapeId="0" xr:uid="{00000000-0006-0000-0100-00000C000000}">
      <text>
        <r>
          <rPr>
            <sz val="12"/>
            <color indexed="81"/>
            <rFont val="Times New Roman"/>
            <family val="1"/>
          </rPr>
          <t>MW lockpick</t>
        </r>
      </text>
    </comment>
    <comment ref="F38" authorId="0" shapeId="0" xr:uid="{00000000-0006-0000-0100-00000D000000}">
      <text>
        <r>
          <rPr>
            <sz val="12"/>
            <color indexed="81"/>
            <rFont val="Times New Roman"/>
            <family val="1"/>
          </rPr>
          <t>Succubus +8</t>
        </r>
      </text>
    </comment>
    <comment ref="F41" authorId="0" shapeId="0" xr:uid="{00000000-0006-0000-0100-00000E000000}">
      <text>
        <r>
          <rPr>
            <sz val="12"/>
            <color indexed="81"/>
            <rFont val="Times New Roman"/>
            <family val="1"/>
          </rPr>
          <t>Leaps &amp; Bounds +6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possess a magical understanding of the manipulation of force.
</t>
        </r>
        <r>
          <rPr>
            <b/>
            <sz val="12"/>
            <color indexed="81"/>
            <rFont val="Times New Roman"/>
            <family val="1"/>
          </rPr>
          <t xml:space="preserve">Benefit:  </t>
        </r>
        <r>
          <rPr>
            <sz val="12"/>
            <color indexed="81"/>
            <rFont val="Times New Roman"/>
            <family val="1"/>
          </rPr>
          <t>An innate talent for magic grants you the following spell-like abilities as a 1st-level caster: 1/day—mage hand, open/close, Tenser’s floating disk.
Save DC 10 + spell level + your Cha modifier.
Feat Bible 56</t>
        </r>
      </text>
    </comment>
    <comment ref="C2" authorId="0" shapeId="0" xr:uid="{00000000-0006-0000-03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300-000003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C3" authorId="0" shapeId="0" xr:uid="{00000000-0006-0000-0300-000004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shapeId="0" xr:uid="{00000000-0006-0000-03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300-000006000000}">
      <text>
        <r>
          <rPr>
            <sz val="12"/>
            <color indexed="81"/>
            <rFont val="Times New Roman"/>
            <family val="1"/>
          </rPr>
          <t>Beginning at 2nd level, a warlock can use detect magic as the spell at will. His caster level equals his class level.
Complete Arcane 8</t>
        </r>
      </text>
    </comment>
    <comment ref="A5" authorId="0" shapeId="0" xr:uid="{00000000-0006-0000-0300-000007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6" authorId="0" shapeId="0" xr:uid="{00000000-0006-0000-0300-000008000000}">
      <text>
        <r>
          <rPr>
            <sz val="12"/>
            <color indexed="81"/>
            <rFont val="Times New Roman"/>
            <family val="1"/>
          </rPr>
          <t>+2 to Diplomacy and DCs to mind-affecting language-dependent spells.
Song and Silence 38</t>
        </r>
      </text>
    </comment>
    <comment ref="C6" authorId="0" shapeId="0" xr:uid="{00000000-0006-0000-0300-000009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00000000-0006-0000-0300-00000A000000}">
      <text>
        <r>
          <rPr>
            <sz val="12"/>
            <color indexed="81"/>
            <rFont val="Times New Roman"/>
            <family val="1"/>
          </rPr>
          <t>+2 to Bluff and Disguise.
Song and Silence 38</t>
        </r>
      </text>
    </comment>
    <comment ref="A8" authorId="0" shapeId="0" xr:uid="{00000000-0006-0000-0300-00000B000000}">
      <text>
        <r>
          <rPr>
            <sz val="12"/>
            <color indexed="81"/>
            <rFont val="Times New Roman"/>
            <family val="1"/>
          </rPr>
          <t>+2 to Hide and Spot when following a specific target.
Song and Silence 40</t>
        </r>
      </text>
    </comment>
    <comment ref="A12" authorId="0" shapeId="0" xr:uid="{00000000-0006-0000-0300-00000C000000}">
      <text>
        <r>
          <rPr>
            <sz val="12"/>
            <color indexed="81"/>
            <rFont val="Times New Roman"/>
            <family val="1"/>
          </rPr>
          <t>Hand crossbow, rapier, sap, shortbow, and short sword.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and free (command)
This weapon has a blood-red tint.
Every time a bloodfeeding weapon deals damage to a living creature, it gains 1 “blood point,” which it can store for up to 1 hour.  The weapon can store a maximum of 10 blood points.  This effect is continuous and requires no activation.
When you deal damage to a creature while wielding a bloodfeeding weapon, you can activate the weapon to spend up to 5 stored blood points.  Each blood point you spend in this way deals an extra 2 points of damage to that creature.  The weapon doesn’t gain any blood points from a strike on which you use this ability.
Magic Item Compendium 29</t>
        </r>
      </text>
    </comment>
    <comment ref="A9" authorId="0" shapeId="0" xr:uid="{00000000-0006-0000-0400-000002000000}">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amethyst is carved in the shape of a humanoid skull.
Clerics craft truedeath crystals to aid themselves and others in sending undead to their final rest.
</t>
        </r>
        <r>
          <rPr>
            <b/>
            <sz val="12"/>
            <color indexed="81"/>
            <rFont val="Times New Roman"/>
            <family val="1"/>
          </rPr>
          <t xml:space="preserve">Least:  </t>
        </r>
        <r>
          <rPr>
            <sz val="12"/>
            <color indexed="81"/>
            <rFont val="Times New Roman"/>
            <family val="1"/>
          </rPr>
          <t xml:space="preserve">A weapon with this crystal attached deals an extra 1d6 points of damage to undead.
</t>
        </r>
        <r>
          <rPr>
            <b/>
            <sz val="12"/>
            <color indexed="81"/>
            <rFont val="Times New Roman"/>
            <family val="1"/>
          </rPr>
          <t xml:space="preserve">Lesser:  </t>
        </r>
        <r>
          <rPr>
            <sz val="12"/>
            <color indexed="81"/>
            <rFont val="Times New Roman"/>
            <family val="1"/>
          </rPr>
          <t xml:space="preserve">As the least crystal, and the weapon also functions as a ghost touch weapon (DMG 224).
</t>
        </r>
        <r>
          <rPr>
            <b/>
            <sz val="12"/>
            <color indexed="81"/>
            <rFont val="Times New Roman"/>
            <family val="1"/>
          </rPr>
          <t xml:space="preserve">Greater:  </t>
        </r>
        <r>
          <rPr>
            <sz val="12"/>
            <color indexed="81"/>
            <rFont val="Times New Roman"/>
            <family val="1"/>
          </rPr>
          <t xml:space="preserve">As the lesser crystal, and the weapon can deliver sneak attacks and critical hits against undead as if they were living creatures.
</t>
        </r>
        <r>
          <rPr>
            <b/>
            <sz val="12"/>
            <color indexed="81"/>
            <rFont val="Times New Roman"/>
            <family val="1"/>
          </rPr>
          <t xml:space="preserve">Prerequisites:  </t>
        </r>
        <r>
          <rPr>
            <sz val="12"/>
            <color indexed="81"/>
            <rFont val="Times New Roman"/>
            <family val="1"/>
          </rPr>
          <t xml:space="preserve">Craft Magic Arms and Armor, consecrate.
</t>
        </r>
        <r>
          <rPr>
            <b/>
            <sz val="12"/>
            <color indexed="81"/>
            <rFont val="Times New Roman"/>
            <family val="1"/>
          </rPr>
          <t xml:space="preserve">Cost to Create:  </t>
        </r>
        <r>
          <rPr>
            <sz val="12"/>
            <color indexed="81"/>
            <rFont val="Times New Roman"/>
            <family val="1"/>
          </rPr>
          <t>500 gp, 40 XP, 1 day (least); 2,500 gp, 200 XP, 5 days (lesser);
5,000 gp, 400 XP, 10 days (greater)
MIC 66</t>
        </r>
      </text>
    </comment>
    <comment ref="D18" authorId="0" shapeId="0" xr:uid="{00000000-0006-0000-0400-000003000000}">
      <text>
        <r>
          <rPr>
            <i/>
            <sz val="12"/>
            <color indexed="81"/>
            <rFont val="Times New Roman"/>
            <family val="1"/>
          </rPr>
          <t>Weapon Focus + 1
Profane Bonus +1</t>
        </r>
      </text>
    </comment>
    <comment ref="D19" authorId="0" shapeId="0" xr:uid="{00000000-0006-0000-0400-000004000000}">
      <text>
        <r>
          <rPr>
            <i/>
            <sz val="12"/>
            <color indexed="81"/>
            <rFont val="Times New Roman"/>
            <family val="1"/>
          </rPr>
          <t>Weapon Focus +1</t>
        </r>
      </text>
    </comment>
    <comment ref="D20" authorId="0" shapeId="0" xr:uid="{00000000-0006-0000-0400-000005000000}">
      <text>
        <r>
          <rPr>
            <i/>
            <sz val="12"/>
            <color indexed="81"/>
            <rFont val="Times New Roman"/>
            <family val="1"/>
          </rPr>
          <t>Weapon Focus +1</t>
        </r>
      </text>
    </comment>
    <comment ref="D25" authorId="0" shapeId="0" xr:uid="{00000000-0006-0000-0400-000006000000}">
      <text>
        <r>
          <rPr>
            <sz val="12"/>
            <color indexed="81"/>
            <rFont val="Times New Roman"/>
            <family val="1"/>
          </rPr>
          <t>Balance, Climb, Escape Artist, Hide, Jump, Move Silently, Sleight of Hand, Tumble.</t>
        </r>
      </text>
    </comment>
    <comment ref="K26" authorId="0" shapeId="0" xr:uid="{00000000-0006-0000-0400-000007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A27" authorId="0" shapeId="0" xr:uid="{00000000-0006-0000-0400-000008000000}">
      <text>
        <r>
          <rPr>
            <b/>
            <sz val="12"/>
            <color indexed="81"/>
            <rFont val="Times New Roman"/>
            <family val="1"/>
          </rPr>
          <t xml:space="preserve">Price (Item Level):  </t>
        </r>
        <r>
          <rPr>
            <sz val="12"/>
            <color indexed="81"/>
            <rFont val="Times New Roman"/>
            <family val="1"/>
          </rPr>
          <t xml:space="preserve">500 gp (3rd) (least), 2,500 gp (7th) (lesser), or 5,000 gp (9th) (greater)
</t>
        </r>
        <r>
          <rPr>
            <b/>
            <sz val="12"/>
            <color indexed="81"/>
            <rFont val="Times New Roman"/>
            <family val="1"/>
          </rPr>
          <t xml:space="preserve">Body Slot:  </t>
        </r>
        <r>
          <rPr>
            <sz val="12"/>
            <color indexed="81"/>
            <rFont val="Times New Roman"/>
            <family val="1"/>
          </rPr>
          <t xml:space="preserve">— (shield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 sapphire is cut into a large cabochon.  It contains a small flint arrowhead in its center.
A crystal of arrow deflection protects you from ranged weapon attacks.
</t>
        </r>
        <r>
          <rPr>
            <b/>
            <sz val="12"/>
            <color indexed="81"/>
            <rFont val="Times New Roman"/>
            <family val="1"/>
          </rPr>
          <t xml:space="preserve">Least:  </t>
        </r>
        <r>
          <rPr>
            <sz val="12"/>
            <color indexed="81"/>
            <rFont val="Times New Roman"/>
            <family val="1"/>
          </rPr>
          <t xml:space="preserve">This augment crystal grants you a +2 bonus to AC against ranged attacks.
</t>
        </r>
        <r>
          <rPr>
            <b/>
            <sz val="12"/>
            <color indexed="81"/>
            <rFont val="Times New Roman"/>
            <family val="1"/>
          </rPr>
          <t xml:space="preserve">Lesser:  </t>
        </r>
        <r>
          <rPr>
            <sz val="12"/>
            <color indexed="81"/>
            <rFont val="Times New Roman"/>
            <family val="1"/>
          </rPr>
          <t xml:space="preserve">As the least crystal, except the bonus is +5.
</t>
        </r>
        <r>
          <rPr>
            <b/>
            <sz val="12"/>
            <color indexed="81"/>
            <rFont val="Times New Roman"/>
            <family val="1"/>
          </rPr>
          <t xml:space="preserve">Greater:  </t>
        </r>
        <r>
          <rPr>
            <sz val="12"/>
            <color indexed="81"/>
            <rFont val="Times New Roman"/>
            <family val="1"/>
          </rPr>
          <t xml:space="preserve">As the least crystal, and you can deflect one ranged attack per round as if you had the Deflect Arrows feat.
</t>
        </r>
        <r>
          <rPr>
            <b/>
            <sz val="12"/>
            <color indexed="81"/>
            <rFont val="Times New Roman"/>
            <family val="1"/>
          </rPr>
          <t xml:space="preserve">Prerequisites:  </t>
        </r>
        <r>
          <rPr>
            <sz val="12"/>
            <color indexed="81"/>
            <rFont val="Times New Roman"/>
            <family val="1"/>
          </rPr>
          <t xml:space="preserve">Craft Magic Arms and Armor, </t>
        </r>
        <r>
          <rPr>
            <i/>
            <sz val="12"/>
            <color indexed="81"/>
            <rFont val="Times New Roman"/>
            <family val="1"/>
          </rPr>
          <t>shield</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250 gp, 20 XP, 1 day (least); 1,250 gp, 100 XP, 3 days (lesser); 2,500 gp, 200 XP, 5 days (greater).
MIC 25</t>
        </r>
      </text>
    </comment>
    <comment ref="E31" authorId="0" shapeId="0" xr:uid="{00000000-0006-0000-0400-000009000000}">
      <text>
        <r>
          <rPr>
            <b/>
            <sz val="12"/>
            <color indexed="81"/>
            <rFont val="Times New Roman"/>
            <family val="1"/>
          </rPr>
          <t xml:space="preserve">Special properties:
Silver weapon </t>
        </r>
        <r>
          <rPr>
            <sz val="12"/>
            <color indexed="81"/>
            <rFont val="Times New Roman"/>
            <family val="1"/>
          </rPr>
          <t xml:space="preserve">(adds 50% to original damage against taint elementals).
</t>
        </r>
        <r>
          <rPr>
            <b/>
            <sz val="12"/>
            <color indexed="81"/>
            <rFont val="Times New Roman"/>
            <family val="1"/>
          </rPr>
          <t xml:space="preserve">Taintslayer </t>
        </r>
        <r>
          <rPr>
            <sz val="12"/>
            <color indexed="81"/>
            <rFont val="Times New Roman"/>
            <family val="1"/>
          </rPr>
          <t xml:space="preserve">(doubles damage inflicted against taint elemental or tainted creature [stacks with critical hits and silver bonus])
</t>
        </r>
        <r>
          <rPr>
            <b/>
            <sz val="12"/>
            <color indexed="81"/>
            <rFont val="Times New Roman"/>
            <family val="1"/>
          </rPr>
          <t xml:space="preserve">Mulligan </t>
        </r>
        <r>
          <rPr>
            <sz val="12"/>
            <color indexed="81"/>
            <rFont val="Times New Roman"/>
            <family val="1"/>
          </rPr>
          <t>(can be fired a 2nd time if the first shot misses; must be picked up [move action]).
Campaign item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These light blue leather boots have very thick soles. Walking in them is like dancing in clouds.
While wearing boots of landing, you land on your feet no matter how far you fall, and you take 2 fewer dice of damage from the fall than normal (thus, a fall of 20 feet or less deals you no damage).
</t>
        </r>
        <r>
          <rPr>
            <b/>
            <sz val="12"/>
            <color indexed="81"/>
            <rFont val="Times New Roman"/>
            <family val="1"/>
          </rPr>
          <t xml:space="preserve">Prerequisites:  </t>
        </r>
        <r>
          <rPr>
            <sz val="12"/>
            <color indexed="81"/>
            <rFont val="Times New Roman"/>
            <family val="1"/>
          </rPr>
          <t xml:space="preserve">Craft Wondrous Item, feather fall or catfall (EPH 82).
</t>
        </r>
        <r>
          <rPr>
            <b/>
            <sz val="12"/>
            <color indexed="81"/>
            <rFont val="Times New Roman"/>
            <family val="1"/>
          </rPr>
          <t xml:space="preserve">Cost to Create:  </t>
        </r>
        <r>
          <rPr>
            <sz val="12"/>
            <color indexed="81"/>
            <rFont val="Times New Roman"/>
            <family val="1"/>
          </rPr>
          <t>250 gp, 20 XP, 1 day.
MIC 77 - 78</t>
        </r>
      </text>
    </comment>
    <comment ref="A16" authorId="0" shapeId="0" xr:uid="{00000000-0006-0000-0500-000002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17" authorId="0" shapeId="0" xr:uid="{00000000-0006-0000-0500-000003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37" authorId="0" shapeId="0" xr:uid="{00000000-0006-0000-05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These light blue leather boots have very thick soles. Walking in them is like dancing in clouds.
While wearing boots of landing, you land on your feet no matter how far you fall, and you take 2 fewer dice of damage from the fall than normal (thus, a fall of 20 feet or less deals you no damage).
</t>
        </r>
        <r>
          <rPr>
            <b/>
            <sz val="12"/>
            <color indexed="81"/>
            <rFont val="Times New Roman"/>
            <family val="1"/>
          </rPr>
          <t xml:space="preserve">Prerequisites:  </t>
        </r>
        <r>
          <rPr>
            <sz val="12"/>
            <color indexed="81"/>
            <rFont val="Times New Roman"/>
            <family val="1"/>
          </rPr>
          <t xml:space="preserve">Craft Wondrous Item, feather fall or catfall (EPH 82).
</t>
        </r>
        <r>
          <rPr>
            <b/>
            <sz val="12"/>
            <color indexed="81"/>
            <rFont val="Times New Roman"/>
            <family val="1"/>
          </rPr>
          <t xml:space="preserve">Cost to Create:  </t>
        </r>
        <r>
          <rPr>
            <sz val="12"/>
            <color indexed="81"/>
            <rFont val="Times New Roman"/>
            <family val="1"/>
          </rPr>
          <t>250 gp, 20 XP, 1 day.
MIC 77 - 78</t>
        </r>
      </text>
    </comment>
  </commentList>
</comments>
</file>

<file path=xl/sharedStrings.xml><?xml version="1.0" encoding="utf-8"?>
<sst xmlns="http://schemas.openxmlformats.org/spreadsheetml/2006/main" count="527" uniqueCount="292">
  <si>
    <t>Race:</t>
  </si>
  <si>
    <t>Sex:</t>
  </si>
  <si>
    <t>Height:</t>
  </si>
  <si>
    <t>Weight:</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</si>
  <si>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</si>
  <si>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</si>
  <si>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</si>
  <si>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</si>
  <si>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</si>
  <si>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</si>
  <si>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</si>
  <si>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</si>
  <si>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</si>
  <si>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</si>
  <si>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</si>
  <si>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</si>
  <si>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</si>
  <si>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</si>
  <si>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</si>
  <si>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</si>
  <si>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</si>
  <si>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</si>
  <si>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</si>
  <si>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</si>
  <si>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</si>
  <si>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</si>
  <si>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</si>
  <si>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</si>
  <si>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</si>
  <si>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</si>
  <si>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</si>
  <si>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</si>
  <si>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</si>
  <si>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</si>
  <si>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</si>
  <si>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</si>
  <si>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</si>
  <si>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</si>
  <si>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</si>
  <si>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</si>
  <si>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</si>
  <si>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</si>
  <si>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</si>
  <si>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</si>
  <si>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</si>
  <si>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</si>
  <si>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</si>
  <si>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</si>
  <si>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</si>
  <si>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</si>
  <si>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</si>
  <si>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</si>
  <si>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</si>
  <si>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</si>
  <si>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</si>
  <si>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</si>
  <si>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</si>
  <si>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</si>
  <si>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</si>
  <si>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</si>
  <si>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</si>
  <si>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</si>
  <si>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</si>
  <si>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</si>
  <si>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</si>
  <si>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</si>
  <si>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</si>
  <si>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</si>
  <si>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</si>
  <si>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</si>
  <si>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</si>
  <si>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</si>
  <si>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</si>
  <si>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</si>
  <si>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</si>
  <si>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</si>
  <si>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</si>
  <si>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Languages</t>
  </si>
  <si>
    <t>Equipment Worn</t>
  </si>
  <si>
    <t>Item</t>
  </si>
  <si>
    <t>Effects/</t>
  </si>
  <si>
    <t>Notes</t>
  </si>
  <si>
    <t>Equipment Carried</t>
  </si>
  <si>
    <t>Check</t>
  </si>
  <si>
    <t>Arcane</t>
  </si>
  <si>
    <t>Speed</t>
  </si>
  <si>
    <t>Age:</t>
  </si>
  <si>
    <t>Region:</t>
  </si>
  <si>
    <t>Speak Language</t>
  </si>
  <si>
    <t>Knowledge:  Arcana</t>
  </si>
  <si>
    <t>Sleight of Hand</t>
  </si>
  <si>
    <t>Survival</t>
  </si>
  <si>
    <t>Attack Bonus:</t>
  </si>
  <si>
    <t>Class Features</t>
  </si>
  <si>
    <t>Touch AC:</t>
  </si>
  <si>
    <t>Shields (not tower)</t>
  </si>
  <si>
    <t>Atk</t>
  </si>
  <si>
    <t>1</t>
  </si>
  <si>
    <t>Mount:  not available</t>
  </si>
  <si>
    <t>Feats</t>
  </si>
  <si>
    <t>Rogue</t>
  </si>
  <si>
    <t>Knowledge:  Local</t>
  </si>
  <si>
    <t>Knowledge:  The Planes</t>
  </si>
  <si>
    <t>4</t>
  </si>
  <si>
    <t>Evasion</t>
  </si>
  <si>
    <t>Trapfinding</t>
  </si>
  <si>
    <t>Boots of Landing</t>
  </si>
  <si>
    <t>Thieves Tools, Masterwork</t>
  </si>
  <si>
    <t>2</t>
  </si>
  <si>
    <t>+2 to Climb</t>
  </si>
  <si>
    <t>+2 to Disable Device &amp; Open Locks</t>
  </si>
  <si>
    <t>Belt Pouch</t>
  </si>
  <si>
    <t>Ink (1 oz. vial)</t>
  </si>
  <si>
    <t>Inkpen</t>
  </si>
  <si>
    <t>Sealing Wax</t>
  </si>
  <si>
    <t>Signet Ring</t>
  </si>
  <si>
    <t>Everful Mug</t>
  </si>
  <si>
    <t>Everlasting Rations</t>
  </si>
  <si>
    <t>Roll</t>
  </si>
  <si>
    <t>Willow</t>
  </si>
  <si>
    <t>Female</t>
  </si>
  <si>
    <t>Warlock</t>
  </si>
  <si>
    <t>Common, Halfling</t>
  </si>
  <si>
    <t>Simple Weapons</t>
  </si>
  <si>
    <t>Perform:  (type)</t>
  </si>
  <si>
    <t>Profession:  (type)</t>
  </si>
  <si>
    <t>Rogue 1</t>
  </si>
  <si>
    <t>Rogue 2</t>
  </si>
  <si>
    <t>Warlock 1</t>
  </si>
  <si>
    <t>24 hours</t>
  </si>
  <si>
    <t>Personal</t>
  </si>
  <si>
    <t>Least</t>
  </si>
  <si>
    <t>Instant</t>
  </si>
  <si>
    <t>n/a</t>
  </si>
  <si>
    <t>Eldritch Blast</t>
  </si>
  <si>
    <t>Duration</t>
  </si>
  <si>
    <t>Range</t>
  </si>
  <si>
    <t>ESP</t>
  </si>
  <si>
    <t>Grade</t>
  </si>
  <si>
    <t>Spell</t>
  </si>
  <si>
    <t>Invocations</t>
  </si>
  <si>
    <t>-</t>
  </si>
  <si>
    <t>Light Armor</t>
  </si>
  <si>
    <t>Damara</t>
  </si>
  <si>
    <t>Bedroll</t>
  </si>
  <si>
    <t>Parchment</t>
  </si>
  <si>
    <t>18 - 20/x2</t>
  </si>
  <si>
    <t>Piercing</t>
  </si>
  <si>
    <t>Skill/Save</t>
  </si>
  <si>
    <t>Rank</t>
  </si>
  <si>
    <t>+2 vs. Fear</t>
  </si>
  <si>
    <r>
      <t>25</t>
    </r>
    <r>
      <rPr>
        <sz val="13"/>
        <rFont val="Times New Roman"/>
        <family val="1"/>
      </rPr>
      <t>/</t>
    </r>
    <r>
      <rPr>
        <sz val="13"/>
        <color indexed="52"/>
        <rFont val="Times New Roman"/>
        <family val="1"/>
      </rPr>
      <t>50</t>
    </r>
    <r>
      <rPr>
        <sz val="13"/>
        <rFont val="Times New Roman"/>
        <family val="1"/>
      </rPr>
      <t>/</t>
    </r>
    <r>
      <rPr>
        <sz val="13"/>
        <color indexed="10"/>
        <rFont val="Times New Roman"/>
        <family val="1"/>
      </rPr>
      <t>75</t>
    </r>
  </si>
  <si>
    <t>Level</t>
  </si>
  <si>
    <t>DC</t>
  </si>
  <si>
    <t>Cast?</t>
  </si>
  <si>
    <t>Spell Hand Abilities</t>
  </si>
  <si>
    <t>Mage Hand</t>
  </si>
  <si>
    <t>Open/Close</t>
  </si>
  <si>
    <t>Tenser’s Floating Disc</t>
  </si>
  <si>
    <t>Backpack</t>
  </si>
  <si>
    <t>19 - 20/x2</t>
  </si>
  <si>
    <t>Bolts</t>
  </si>
  <si>
    <t>+0</t>
  </si>
  <si>
    <t>1½</t>
  </si>
  <si>
    <t>Gold Pieces</t>
  </si>
  <si>
    <t>20’</t>
  </si>
  <si>
    <t>Warlock 2</t>
  </si>
  <si>
    <t>Leaps and Bounds</t>
  </si>
  <si>
    <t>Components</t>
  </si>
  <si>
    <t>Casting</t>
  </si>
  <si>
    <t>1 SA</t>
  </si>
  <si>
    <t>S</t>
  </si>
  <si>
    <t>See Skills tab</t>
  </si>
  <si>
    <t>Courtier’s Outfit</t>
  </si>
  <si>
    <t>Climber’s Kit</t>
  </si>
  <si>
    <t>Merchant’s Scale</t>
  </si>
  <si>
    <t/>
  </si>
  <si>
    <t>80’</t>
  </si>
  <si>
    <t>Rogue Weapons</t>
  </si>
  <si>
    <t>Thrown Weapons</t>
  </si>
  <si>
    <t>60’</t>
  </si>
  <si>
    <t>Chronocharm of the Laughing Rogue</t>
  </si>
  <si>
    <t>Mount Encumbrance:</t>
  </si>
  <si>
    <t>FF AC:</t>
  </si>
  <si>
    <t>Sunrod</t>
  </si>
  <si>
    <t>Grapple:</t>
  </si>
  <si>
    <t>Initiative:</t>
  </si>
  <si>
    <t>varies</t>
  </si>
  <si>
    <t>Value</t>
  </si>
  <si>
    <t>1d4</t>
  </si>
  <si>
    <t>1d3</t>
  </si>
  <si>
    <t>x2</t>
  </si>
  <si>
    <t>Bludgeon</t>
  </si>
  <si>
    <t>?</t>
  </si>
  <si>
    <t>Subtype:</t>
  </si>
  <si>
    <t>Succubus</t>
  </si>
  <si>
    <t>Halfling (Succubus)</t>
  </si>
  <si>
    <t>Rapier +1</t>
  </si>
  <si>
    <t>Claws</t>
  </si>
  <si>
    <t>Racial Abilities</t>
  </si>
  <si>
    <t>Alternate Form (1)</t>
  </si>
  <si>
    <t>Resistance 5 (ACEF)</t>
  </si>
  <si>
    <t>Chaotic, Evil</t>
  </si>
  <si>
    <t>Craft:  Jewelry</t>
  </si>
  <si>
    <t>8</t>
  </si>
  <si>
    <t>+6 to when invoking Leaps &amp; Bounds</t>
  </si>
  <si>
    <t>Succubus 1</t>
  </si>
  <si>
    <t>MW Dagger</t>
  </si>
  <si>
    <t>Prcg/Slash</t>
  </si>
  <si>
    <t>Hideous Blow</t>
  </si>
  <si>
    <t>Melee hit channels blast</t>
  </si>
  <si>
    <t>60’/250’</t>
  </si>
  <si>
    <t>1d6</t>
  </si>
  <si>
    <t>Lesser Crystal of Arrow Deflection</t>
  </si>
  <si>
    <t>Quick-Loading Light Crossbow</t>
  </si>
  <si>
    <t>30’</t>
  </si>
  <si>
    <t>Succubus 2</t>
  </si>
  <si>
    <t>Telepathy, 100’, @ will</t>
  </si>
  <si>
    <t>Immunity to Poison</t>
  </si>
  <si>
    <t>Proficiencies</t>
  </si>
  <si>
    <t>Scrolls and Potions</t>
  </si>
  <si>
    <t>CLev</t>
  </si>
  <si>
    <t>Brandilor’s Earrings</t>
  </si>
  <si>
    <t>Cold Bolts</t>
  </si>
  <si>
    <t>Acid Flask</t>
  </si>
  <si>
    <t>10’</t>
  </si>
  <si>
    <t>Taintslayer Bolt +4</t>
  </si>
  <si>
    <t>+4</t>
  </si>
  <si>
    <t>Tainted Coins &amp; Gems</t>
  </si>
  <si>
    <t>24 (380)</t>
  </si>
  <si>
    <t>3’1” (5’9”)</t>
  </si>
  <si>
    <t>25/105 lbs.</t>
  </si>
  <si>
    <t>1st:  Spell Hand</t>
  </si>
  <si>
    <t>3rd:  Weapon Finesse</t>
  </si>
  <si>
    <t>6th:  Weapon Focus (Ray)</t>
  </si>
  <si>
    <t>2d6</t>
  </si>
  <si>
    <t>Warlock 3</t>
  </si>
  <si>
    <t>Total Equity:</t>
  </si>
  <si>
    <t>Equity on This Page:</t>
  </si>
  <si>
    <t>Tongues, @ will</t>
  </si>
  <si>
    <t>2d6, x2 on 20</t>
  </si>
  <si>
    <t>var.</t>
  </si>
  <si>
    <t>Fateweaver Chronocharm</t>
  </si>
  <si>
    <t>Eternal Wand of Undetectable Alignment</t>
  </si>
  <si>
    <t>4 v. rngd</t>
  </si>
  <si>
    <t>*</t>
  </si>
  <si>
    <t>Stash:  Copper Coronet</t>
  </si>
  <si>
    <t>Sneak Attack 2d6</t>
  </si>
  <si>
    <t>Succubus 1:  Point-blank Shot</t>
  </si>
  <si>
    <t>2nd Attack</t>
  </si>
  <si>
    <t>1d6 v und.</t>
  </si>
  <si>
    <t>Truedeath Crystal, Lesser</t>
  </si>
  <si>
    <t>Positive</t>
  </si>
  <si>
    <t>Personal Wares, poor condition</t>
  </si>
  <si>
    <t>Mithral Chain Shirt +2</t>
  </si>
  <si>
    <t>AC:</t>
  </si>
  <si>
    <t>Succubus 3</t>
  </si>
  <si>
    <t>Succubus 4</t>
  </si>
  <si>
    <t>Succubus 5</t>
  </si>
  <si>
    <t>Succubus 6</t>
  </si>
  <si>
    <t>Speed:</t>
  </si>
  <si>
    <t>Trap Sense +1</t>
  </si>
  <si>
    <t>Clairaudience/voyance, @ will</t>
  </si>
  <si>
    <t>Darkness, @ will</t>
  </si>
  <si>
    <t>Desecrate, @ will</t>
  </si>
  <si>
    <t>Detect Good, @ will</t>
  </si>
  <si>
    <t>Detect Thoughts, @ will</t>
  </si>
  <si>
    <t>Doom, @ will</t>
  </si>
  <si>
    <t>Suggestion, @ will</t>
  </si>
  <si>
    <t>Eldritch Blast via Weapon</t>
  </si>
  <si>
    <t>Damaran, Abyssal (Succubus)</t>
  </si>
  <si>
    <t>Detect Magic, @ will</t>
  </si>
  <si>
    <t>Celestial, Draconic</t>
  </si>
  <si>
    <t>+1 within 30’</t>
  </si>
  <si>
    <t>special</t>
  </si>
  <si>
    <t>Slashing</t>
  </si>
  <si>
    <t>q</t>
  </si>
  <si>
    <r>
      <t xml:space="preserve">d’whisp </t>
    </r>
    <r>
      <rPr>
        <i/>
        <sz val="22"/>
        <color rgb="FFCCFFCC"/>
        <rFont val="Times New Roman"/>
        <family val="1"/>
      </rPr>
      <t>/</t>
    </r>
    <r>
      <rPr>
        <i/>
        <sz val="22"/>
        <color rgb="FF00FF00"/>
        <rFont val="Times New Roman"/>
        <family val="1"/>
      </rPr>
      <t xml:space="preserve"> </t>
    </r>
    <r>
      <rPr>
        <i/>
        <sz val="22"/>
        <color rgb="FFFF0000"/>
        <rFont val="Times New Roman"/>
        <family val="1"/>
      </rPr>
      <t>Bo Three Wills</t>
    </r>
  </si>
  <si>
    <t>NPC</t>
  </si>
  <si>
    <t>Chaotic Evil</t>
  </si>
  <si>
    <t>Succubus 2:  Alluring</t>
  </si>
  <si>
    <t>Alluring +2</t>
  </si>
  <si>
    <t>9th:  Charlatan</t>
  </si>
  <si>
    <t>12th:  Shadow</t>
  </si>
  <si>
    <t>Bloodfeeding Sickle +2</t>
  </si>
  <si>
    <t>1d4+2</t>
  </si>
  <si>
    <r>
      <t xml:space="preserve">Rapier, </t>
    </r>
    <r>
      <rPr>
        <i/>
        <sz val="12"/>
        <rFont val="Times New Roman"/>
        <family val="1"/>
      </rPr>
      <t>haste</t>
    </r>
  </si>
  <si>
    <r>
      <t xml:space="preserve">Eldritch Blast, </t>
    </r>
    <r>
      <rPr>
        <i/>
        <sz val="12"/>
        <rFont val="Times New Roman"/>
        <family val="1"/>
      </rPr>
      <t>haste</t>
    </r>
  </si>
  <si>
    <r>
      <t xml:space="preserve">Sickle, </t>
    </r>
    <r>
      <rPr>
        <i/>
        <sz val="12"/>
        <rFont val="Times New Roman"/>
        <family val="1"/>
      </rPr>
      <t>haste</t>
    </r>
  </si>
  <si>
    <r>
      <t xml:space="preserve">Dagger, </t>
    </r>
    <r>
      <rPr>
        <i/>
        <sz val="12"/>
        <rFont val="Times New Roman"/>
        <family val="1"/>
      </rPr>
      <t>haste</t>
    </r>
  </si>
  <si>
    <r>
      <t xml:space="preserve">Claws, </t>
    </r>
    <r>
      <rPr>
        <i/>
        <sz val="12"/>
        <rFont val="Times New Roman"/>
        <family val="1"/>
      </rPr>
      <t>haste</t>
    </r>
  </si>
  <si>
    <t>Blood Points: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</si>
</sst>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i/>
      <sz val="13"/>
      <color indexed="17"/>
      <name val="Times New Roman"/>
      <family val="1"/>
    </font>
    <font>
      <sz val="13"/>
      <color indexed="20"/>
      <name val="Times New Roman"/>
      <family val="1"/>
    </font>
    <font>
      <i/>
      <sz val="18"/>
      <color indexed="2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i/>
      <sz val="18"/>
      <color indexed="12"/>
      <name val="Times New Roman"/>
      <family val="1"/>
    </font>
    <font>
      <sz val="13"/>
      <name val="Wingdings"/>
      <charset val="2"/>
    </font>
    <font>
      <b/>
      <sz val="12"/>
      <color rgb="FFFFC000"/>
      <name val="Times New Roman"/>
      <family val="1"/>
    </font>
    <font>
      <sz val="12"/>
      <color rgb="FFFFC000"/>
      <name val="Times New Roman"/>
      <family val="1"/>
    </font>
    <font>
      <i/>
      <sz val="16"/>
      <color rgb="FFFFC000"/>
      <name val="Times New Roman"/>
      <family val="1"/>
    </font>
    <font>
      <sz val="10"/>
      <name val="Times New Roman"/>
      <family val="1"/>
    </font>
    <font>
      <i/>
      <sz val="12"/>
      <color indexed="81"/>
      <name val="Times New Roman"/>
      <family val="1"/>
    </font>
    <font>
      <i/>
      <sz val="16"/>
      <color indexed="57"/>
      <name val="Times New Roman"/>
      <family val="1"/>
    </font>
    <font>
      <i/>
      <sz val="16"/>
      <color indexed="53"/>
      <name val="Times New Roman"/>
      <family val="1"/>
    </font>
    <font>
      <i/>
      <sz val="16"/>
      <color indexed="10"/>
      <name val="Times New Roman"/>
      <family val="1"/>
    </font>
    <font>
      <sz val="12"/>
      <color rgb="FF00FF00"/>
      <name val="Times New Roman"/>
      <family val="1"/>
    </font>
    <font>
      <sz val="13"/>
      <color rgb="FF009900"/>
      <name val="Times New Roman"/>
      <family val="1"/>
    </font>
    <font>
      <sz val="12"/>
      <color rgb="FFFF0000"/>
      <name val="Times New Roman"/>
      <family val="1"/>
    </font>
    <font>
      <i/>
      <sz val="22"/>
      <color rgb="FFFF0000"/>
      <name val="Times New Roman"/>
      <family val="1"/>
    </font>
    <font>
      <i/>
      <sz val="22"/>
      <color rgb="FFCCFFCC"/>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indexed="12"/>
        <bgColor indexed="64"/>
      </patternFill>
    </fill>
    <fill>
      <patternFill patternType="solid">
        <fgColor theme="0" tint="-0.14999847407452621"/>
        <bgColor indexed="64"/>
      </patternFill>
    </fill>
    <fill>
      <patternFill patternType="solid">
        <fgColor rgb="FFFF0066"/>
        <bgColor indexed="64"/>
      </patternFill>
    </fill>
    <fill>
      <patternFill patternType="solid">
        <fgColor rgb="FF9966FF"/>
        <bgColor indexed="64"/>
      </patternFill>
    </fill>
    <fill>
      <patternFill patternType="solid">
        <fgColor rgb="FFFFFF00"/>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39" fillId="0" borderId="0"/>
    <xf numFmtId="0" fontId="38" fillId="0" borderId="0" applyFill="0" applyBorder="0"/>
    <xf numFmtId="0" fontId="2" fillId="0" borderId="0"/>
    <xf numFmtId="0" fontId="1" fillId="0" borderId="0"/>
    <xf numFmtId="9" fontId="2" fillId="0" borderId="0" applyFont="0" applyFill="0" applyBorder="0" applyAlignment="0" applyProtection="0"/>
  </cellStyleXfs>
  <cellXfs count="492">
    <xf numFmtId="0" fontId="0" fillId="0" borderId="0" xfId="0"/>
    <xf numFmtId="0" fontId="2" fillId="0" borderId="13" xfId="0" applyFont="1" applyBorder="1" applyAlignment="1">
      <alignment horizontal="center" vertical="center"/>
    </xf>
    <xf numFmtId="0" fontId="2" fillId="0" borderId="13" xfId="0" quotePrefix="1" applyFont="1" applyBorder="1" applyAlignment="1">
      <alignment horizontal="center" vertical="center" wrapText="1"/>
    </xf>
    <xf numFmtId="49" fontId="2" fillId="0" borderId="13" xfId="2" applyNumberFormat="1" applyFont="1" applyFill="1" applyBorder="1" applyAlignment="1">
      <alignment horizontal="center" vertical="center"/>
    </xf>
    <xf numFmtId="0" fontId="2" fillId="0" borderId="13" xfId="0" applyFont="1" applyBorder="1" applyAlignment="1">
      <alignment horizontal="center" vertical="center" shrinkToFit="1"/>
    </xf>
    <xf numFmtId="164" fontId="2" fillId="0" borderId="13" xfId="0" applyNumberFormat="1" applyFont="1" applyBorder="1" applyAlignment="1">
      <alignment horizontal="center" vertical="center"/>
    </xf>
    <xf numFmtId="0" fontId="12" fillId="3" borderId="7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Alignment="1">
      <alignment vertical="center"/>
    </xf>
    <xf numFmtId="0" fontId="50" fillId="11" borderId="38" xfId="0" applyFont="1" applyFill="1" applyBorder="1" applyAlignment="1">
      <alignment horizontal="center" vertical="center" wrapText="1"/>
    </xf>
    <xf numFmtId="1" fontId="54" fillId="11" borderId="68" xfId="0" applyNumberFormat="1" applyFont="1" applyFill="1" applyBorder="1" applyAlignment="1">
      <alignment horizontal="center" vertical="center"/>
    </xf>
    <xf numFmtId="1" fontId="2" fillId="0" borderId="68" xfId="0" applyNumberFormat="1"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101" xfId="0" applyFont="1" applyBorder="1" applyAlignment="1">
      <alignment horizontal="center" vertical="center"/>
    </xf>
    <xf numFmtId="0" fontId="2" fillId="0" borderId="94" xfId="0" applyFont="1" applyBorder="1" applyAlignment="1">
      <alignment horizontal="center" vertical="center"/>
    </xf>
    <xf numFmtId="0" fontId="2" fillId="0" borderId="94" xfId="0" quotePrefix="1" applyFont="1" applyBorder="1" applyAlignment="1">
      <alignment horizontal="center" vertical="center" wrapText="1"/>
    </xf>
    <xf numFmtId="49" fontId="2" fillId="0" borderId="94" xfId="2" applyNumberFormat="1" applyFont="1" applyFill="1" applyBorder="1" applyAlignment="1">
      <alignment horizontal="center" vertical="center"/>
    </xf>
    <xf numFmtId="0" fontId="2" fillId="0" borderId="94" xfId="0" applyFont="1" applyBorder="1" applyAlignment="1">
      <alignment horizontal="center" vertical="center" shrinkToFit="1"/>
    </xf>
    <xf numFmtId="164" fontId="2" fillId="0" borderId="94" xfId="0" applyNumberFormat="1" applyFont="1" applyBorder="1" applyAlignment="1">
      <alignment horizontal="center" vertical="center"/>
    </xf>
    <xf numFmtId="1" fontId="54" fillId="11" borderId="102" xfId="0" applyNumberFormat="1" applyFont="1" applyFill="1" applyBorder="1" applyAlignment="1">
      <alignment horizontal="center" vertical="center"/>
    </xf>
    <xf numFmtId="0" fontId="2" fillId="0" borderId="72" xfId="0" quotePrefix="1" applyFont="1" applyBorder="1" applyAlignment="1">
      <alignment horizontal="center" vertical="center"/>
    </xf>
    <xf numFmtId="1" fontId="2" fillId="0" borderId="94" xfId="0" applyNumberFormat="1" applyFont="1" applyBorder="1" applyAlignment="1">
      <alignment horizontal="center" vertical="center"/>
    </xf>
    <xf numFmtId="0" fontId="36" fillId="2" borderId="73" xfId="0" applyFont="1" applyFill="1" applyBorder="1" applyAlignment="1">
      <alignment horizontal="right" vertical="center"/>
    </xf>
    <xf numFmtId="0" fontId="37" fillId="2" borderId="74" xfId="0" applyFont="1" applyFill="1" applyBorder="1" applyAlignment="1">
      <alignment horizontal="left" vertical="center"/>
    </xf>
    <xf numFmtId="0" fontId="20" fillId="2" borderId="74" xfId="0" applyFont="1" applyFill="1" applyBorder="1" applyAlignment="1">
      <alignment horizontal="left" vertical="center"/>
    </xf>
    <xf numFmtId="0" fontId="4" fillId="2" borderId="74" xfId="0" applyFont="1" applyFill="1" applyBorder="1" applyAlignment="1">
      <alignment horizontal="centerContinuous" vertical="center"/>
    </xf>
    <xf numFmtId="0" fontId="5" fillId="2" borderId="74" xfId="0" applyFont="1" applyFill="1" applyBorder="1" applyAlignment="1">
      <alignment horizontal="centerContinuous" vertical="center"/>
    </xf>
    <xf numFmtId="0" fontId="35" fillId="2" borderId="75"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82" xfId="0" applyFont="1" applyFill="1" applyBorder="1" applyAlignment="1">
      <alignment horizontal="right" vertical="center"/>
    </xf>
    <xf numFmtId="0" fontId="6" fillId="4" borderId="103" xfId="0" applyFont="1" applyFill="1" applyBorder="1" applyAlignment="1">
      <alignment horizontal="right" vertical="center"/>
    </xf>
    <xf numFmtId="0" fontId="7" fillId="0" borderId="0" xfId="0" applyFont="1" applyAlignment="1">
      <alignment horizontal="left" vertical="center"/>
    </xf>
    <xf numFmtId="0" fontId="8" fillId="2" borderId="14" xfId="0" applyFont="1" applyFill="1" applyBorder="1" applyAlignment="1">
      <alignment horizontal="right" vertical="center"/>
    </xf>
    <xf numFmtId="0" fontId="26" fillId="0" borderId="15" xfId="0" applyFont="1" applyBorder="1" applyAlignment="1">
      <alignment horizontal="center" vertical="center"/>
    </xf>
    <xf numFmtId="0" fontId="8" fillId="4" borderId="67" xfId="0" applyFont="1" applyFill="1" applyBorder="1" applyAlignment="1">
      <alignment horizontal="right" vertical="center"/>
    </xf>
    <xf numFmtId="49" fontId="17" fillId="0" borderId="35" xfId="0" applyNumberFormat="1" applyFont="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5" xfId="0" applyNumberFormat="1" applyFont="1" applyBorder="1" applyAlignment="1">
      <alignment horizontal="center" vertical="center"/>
    </xf>
    <xf numFmtId="0" fontId="8" fillId="4" borderId="65" xfId="0" applyFont="1" applyFill="1" applyBorder="1" applyAlignment="1">
      <alignment horizontal="right" vertical="center"/>
    </xf>
    <xf numFmtId="164" fontId="6" fillId="5" borderId="32"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1" xfId="0" applyFont="1" applyBorder="1" applyAlignment="1">
      <alignment horizontal="center" vertical="center"/>
    </xf>
    <xf numFmtId="0" fontId="40"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49" fontId="26" fillId="0" borderId="27" xfId="0" applyNumberFormat="1" applyFont="1" applyBorder="1" applyAlignment="1">
      <alignment horizontal="center" vertical="center"/>
    </xf>
    <xf numFmtId="0" fontId="11" fillId="4" borderId="66"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6"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7" fillId="0" borderId="28" xfId="0" applyFont="1" applyBorder="1" applyAlignment="1">
      <alignment horizontal="center" vertical="center"/>
    </xf>
    <xf numFmtId="0" fontId="47" fillId="0" borderId="28" xfId="0" applyFont="1" applyBorder="1" applyAlignment="1">
      <alignment horizontal="center" vertical="center" wrapText="1"/>
    </xf>
    <xf numFmtId="1" fontId="7" fillId="0" borderId="28" xfId="0" applyNumberFormat="1" applyFont="1" applyBorder="1" applyAlignment="1">
      <alignment horizontal="center" vertical="center" wrapText="1"/>
    </xf>
    <xf numFmtId="0" fontId="48" fillId="11" borderId="29" xfId="0" applyFont="1" applyFill="1" applyBorder="1" applyAlignment="1">
      <alignment horizontal="center" vertical="center"/>
    </xf>
    <xf numFmtId="49" fontId="7" fillId="0" borderId="28" xfId="0" applyNumberFormat="1" applyFont="1" applyBorder="1" applyAlignment="1">
      <alignment horizontal="center" vertical="center" wrapText="1"/>
    </xf>
    <xf numFmtId="0" fontId="7" fillId="0" borderId="2" xfId="0" applyFont="1" applyBorder="1" applyAlignment="1">
      <alignment horizontal="center" vertical="center"/>
    </xf>
    <xf numFmtId="0" fontId="49" fillId="0" borderId="1" xfId="0" applyFont="1" applyBorder="1" applyAlignment="1">
      <alignment vertical="center"/>
    </xf>
    <xf numFmtId="0" fontId="13" fillId="0" borderId="29" xfId="0" applyFont="1" applyBorder="1" applyAlignment="1">
      <alignment horizontal="center" vertical="center"/>
    </xf>
    <xf numFmtId="0" fontId="47" fillId="0" borderId="79" xfId="0" applyFont="1" applyBorder="1" applyAlignment="1">
      <alignment vertical="center"/>
    </xf>
    <xf numFmtId="0" fontId="7" fillId="0" borderId="80" xfId="0" applyFont="1" applyBorder="1" applyAlignment="1">
      <alignment horizontal="center" vertical="center"/>
    </xf>
    <xf numFmtId="0" fontId="50" fillId="0" borderId="80" xfId="0" applyFont="1" applyBorder="1" applyAlignment="1">
      <alignment horizontal="center" vertical="center" wrapText="1"/>
    </xf>
    <xf numFmtId="1" fontId="7" fillId="0" borderId="80" xfId="0" applyNumberFormat="1" applyFont="1" applyBorder="1" applyAlignment="1">
      <alignment horizontal="center" vertical="center" wrapText="1"/>
    </xf>
    <xf numFmtId="0" fontId="48" fillId="11" borderId="80" xfId="0" applyFont="1" applyFill="1" applyBorder="1" applyAlignment="1">
      <alignment horizontal="center" vertical="center"/>
    </xf>
    <xf numFmtId="49" fontId="7" fillId="0" borderId="80" xfId="0" applyNumberFormat="1" applyFont="1" applyBorder="1" applyAlignment="1">
      <alignment horizontal="center" vertical="center" wrapText="1"/>
    </xf>
    <xf numFmtId="0" fontId="7" fillId="0" borderId="81" xfId="0" quotePrefix="1" applyFont="1" applyBorder="1" applyAlignment="1">
      <alignment horizontal="center" vertical="center"/>
    </xf>
    <xf numFmtId="0" fontId="11" fillId="0" borderId="1" xfId="0" applyFont="1" applyBorder="1" applyAlignment="1">
      <alignment vertical="center"/>
    </xf>
    <xf numFmtId="49" fontId="17" fillId="0" borderId="28" xfId="0" applyNumberFormat="1" applyFont="1" applyBorder="1" applyAlignment="1">
      <alignment horizontal="center" vertical="center"/>
    </xf>
    <xf numFmtId="0" fontId="17" fillId="0" borderId="29" xfId="0" applyFont="1" applyBorder="1" applyAlignment="1">
      <alignment horizontal="center" vertical="center"/>
    </xf>
    <xf numFmtId="0" fontId="11" fillId="0" borderId="29" xfId="0" applyFont="1" applyBorder="1" applyAlignment="1">
      <alignment horizontal="center" vertical="center"/>
    </xf>
    <xf numFmtId="49" fontId="7" fillId="0" borderId="29" xfId="0" applyNumberFormat="1" applyFont="1" applyBorder="1" applyAlignment="1">
      <alignment horizontal="center" vertical="center"/>
    </xf>
    <xf numFmtId="0" fontId="7" fillId="0" borderId="30"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8" xfId="0" applyNumberFormat="1" applyFont="1" applyBorder="1" applyAlignment="1">
      <alignment horizontal="center" vertical="center"/>
    </xf>
    <xf numFmtId="0" fontId="24" fillId="0" borderId="29" xfId="0" applyFont="1" applyBorder="1" applyAlignment="1">
      <alignment horizontal="center" vertical="center"/>
    </xf>
    <xf numFmtId="0" fontId="7" fillId="0" borderId="30" xfId="0" quotePrefix="1"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4" fillId="0" borderId="29"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8" xfId="0" applyNumberFormat="1" applyFont="1" applyBorder="1" applyAlignment="1">
      <alignment horizontal="center" vertical="center"/>
    </xf>
    <xf numFmtId="0" fontId="18" fillId="0" borderId="29" xfId="0" applyFont="1" applyBorder="1" applyAlignment="1">
      <alignment horizontal="center" vertical="center"/>
    </xf>
    <xf numFmtId="0" fontId="8" fillId="0" borderId="29"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8" xfId="0" applyFont="1" applyFill="1" applyBorder="1" applyAlignment="1">
      <alignment horizontal="center" vertical="center"/>
    </xf>
    <xf numFmtId="49" fontId="27" fillId="7" borderId="28" xfId="0" applyNumberFormat="1" applyFont="1" applyFill="1" applyBorder="1" applyAlignment="1">
      <alignment horizontal="center" vertical="center"/>
    </xf>
    <xf numFmtId="0" fontId="27" fillId="7" borderId="29" xfId="0" applyFont="1" applyFill="1" applyBorder="1" applyAlignment="1">
      <alignment horizontal="center" vertical="center"/>
    </xf>
    <xf numFmtId="0" fontId="10" fillId="7" borderId="29" xfId="0" applyFont="1" applyFill="1" applyBorder="1" applyAlignment="1">
      <alignment horizontal="center" vertical="center"/>
    </xf>
    <xf numFmtId="49" fontId="7" fillId="7" borderId="29" xfId="0" applyNumberFormat="1" applyFont="1" applyFill="1" applyBorder="1" applyAlignment="1">
      <alignment horizontal="center" vertical="center"/>
    </xf>
    <xf numFmtId="0" fontId="7" fillId="7" borderId="30" xfId="0" applyFont="1" applyFill="1" applyBorder="1" applyAlignment="1">
      <alignment horizontal="center" vertical="center"/>
    </xf>
    <xf numFmtId="0" fontId="11" fillId="10" borderId="1" xfId="0" applyFont="1" applyFill="1" applyBorder="1" applyAlignment="1">
      <alignment vertical="center"/>
    </xf>
    <xf numFmtId="0" fontId="7" fillId="10" borderId="28" xfId="0" applyFont="1" applyFill="1" applyBorder="1" applyAlignment="1">
      <alignment horizontal="center" vertical="center"/>
    </xf>
    <xf numFmtId="49" fontId="17" fillId="10" borderId="28" xfId="0" applyNumberFormat="1" applyFont="1" applyFill="1" applyBorder="1" applyAlignment="1">
      <alignment horizontal="center" vertical="center"/>
    </xf>
    <xf numFmtId="0" fontId="17" fillId="10" borderId="29" xfId="0" applyFont="1" applyFill="1" applyBorder="1" applyAlignment="1">
      <alignment horizontal="center" vertical="center"/>
    </xf>
    <xf numFmtId="0" fontId="11" fillId="10" borderId="29" xfId="0" applyFont="1" applyFill="1" applyBorder="1" applyAlignment="1">
      <alignment horizontal="center" vertical="center"/>
    </xf>
    <xf numFmtId="49" fontId="7" fillId="10" borderId="29" xfId="0" applyNumberFormat="1" applyFont="1" applyFill="1" applyBorder="1" applyAlignment="1">
      <alignment horizontal="center" vertical="center"/>
    </xf>
    <xf numFmtId="0" fontId="7" fillId="10" borderId="30" xfId="0" applyFont="1" applyFill="1" applyBorder="1" applyAlignment="1">
      <alignment horizontal="center" vertical="center"/>
    </xf>
    <xf numFmtId="0" fontId="31" fillId="0" borderId="0" xfId="0" applyFont="1" applyAlignment="1">
      <alignment vertical="center"/>
    </xf>
    <xf numFmtId="0" fontId="11" fillId="7" borderId="1" xfId="0" applyFont="1" applyFill="1" applyBorder="1" applyAlignment="1">
      <alignment vertical="center"/>
    </xf>
    <xf numFmtId="49" fontId="17" fillId="7" borderId="28" xfId="0" applyNumberFormat="1" applyFont="1" applyFill="1" applyBorder="1" applyAlignment="1">
      <alignment horizontal="center" vertical="center"/>
    </xf>
    <xf numFmtId="0" fontId="17" fillId="7" borderId="29" xfId="0" applyFont="1" applyFill="1" applyBorder="1" applyAlignment="1">
      <alignment horizontal="center" vertical="center"/>
    </xf>
    <xf numFmtId="0" fontId="11" fillId="7" borderId="29" xfId="0" applyFont="1" applyFill="1" applyBorder="1" applyAlignment="1">
      <alignment horizontal="center" vertical="center"/>
    </xf>
    <xf numFmtId="0" fontId="14" fillId="7" borderId="1" xfId="0" applyFont="1" applyFill="1" applyBorder="1" applyAlignment="1">
      <alignment vertical="center"/>
    </xf>
    <xf numFmtId="49" fontId="23" fillId="7" borderId="28" xfId="0" applyNumberFormat="1" applyFont="1" applyFill="1" applyBorder="1" applyAlignment="1">
      <alignment horizontal="center" vertical="center"/>
    </xf>
    <xf numFmtId="0" fontId="23" fillId="7" borderId="29" xfId="0" applyFont="1" applyFill="1" applyBorder="1" applyAlignment="1">
      <alignment horizontal="center" vertical="center"/>
    </xf>
    <xf numFmtId="0" fontId="14" fillId="7" borderId="29" xfId="0" applyFont="1" applyFill="1" applyBorder="1" applyAlignment="1">
      <alignment horizontal="center" vertical="center"/>
    </xf>
    <xf numFmtId="0" fontId="14" fillId="10" borderId="1" xfId="0" applyFont="1" applyFill="1" applyBorder="1" applyAlignment="1">
      <alignment vertical="center"/>
    </xf>
    <xf numFmtId="49" fontId="23" fillId="10" borderId="28" xfId="0" applyNumberFormat="1" applyFont="1" applyFill="1" applyBorder="1" applyAlignment="1">
      <alignment horizontal="center" vertical="center"/>
    </xf>
    <xf numFmtId="0" fontId="23" fillId="10" borderId="29" xfId="0" applyFont="1" applyFill="1" applyBorder="1" applyAlignment="1">
      <alignment horizontal="center" vertical="center"/>
    </xf>
    <xf numFmtId="0" fontId="14" fillId="10" borderId="29" xfId="0" applyFont="1" applyFill="1" applyBorder="1" applyAlignment="1">
      <alignment horizontal="center" vertical="center"/>
    </xf>
    <xf numFmtId="0" fontId="22" fillId="0" borderId="1" xfId="0" applyFont="1" applyBorder="1" applyAlignment="1">
      <alignment vertical="center"/>
    </xf>
    <xf numFmtId="49" fontId="28" fillId="0" borderId="28" xfId="0" applyNumberFormat="1" applyFont="1" applyBorder="1" applyAlignment="1">
      <alignment horizontal="center" vertical="center"/>
    </xf>
    <xf numFmtId="0" fontId="28" fillId="0" borderId="29" xfId="0" applyFont="1" applyBorder="1" applyAlignment="1">
      <alignment horizontal="center" vertical="center"/>
    </xf>
    <xf numFmtId="0" fontId="22" fillId="0" borderId="29" xfId="0" applyFont="1" applyBorder="1" applyAlignment="1">
      <alignment horizontal="center" vertical="center"/>
    </xf>
    <xf numFmtId="0" fontId="13" fillId="7" borderId="1" xfId="0" applyFont="1" applyFill="1" applyBorder="1" applyAlignment="1">
      <alignment vertical="center"/>
    </xf>
    <xf numFmtId="49" fontId="24" fillId="7" borderId="28" xfId="0" applyNumberFormat="1" applyFont="1" applyFill="1" applyBorder="1" applyAlignment="1">
      <alignment horizontal="center" vertical="center"/>
    </xf>
    <xf numFmtId="0" fontId="24" fillId="7" borderId="29" xfId="0" applyFont="1" applyFill="1" applyBorder="1" applyAlignment="1">
      <alignment horizontal="center" vertical="center"/>
    </xf>
    <xf numFmtId="0" fontId="13" fillId="7" borderId="29" xfId="0" applyFont="1" applyFill="1" applyBorder="1" applyAlignment="1">
      <alignment horizontal="center" vertical="center"/>
    </xf>
    <xf numFmtId="0" fontId="22" fillId="7" borderId="1" xfId="0" applyFont="1" applyFill="1" applyBorder="1" applyAlignment="1">
      <alignment vertical="center"/>
    </xf>
    <xf numFmtId="49" fontId="28" fillId="7" borderId="28" xfId="0" applyNumberFormat="1" applyFont="1" applyFill="1" applyBorder="1" applyAlignment="1">
      <alignment horizontal="center" vertical="center"/>
    </xf>
    <xf numFmtId="0" fontId="28" fillId="7" borderId="29" xfId="0" applyFont="1" applyFill="1" applyBorder="1" applyAlignment="1">
      <alignment horizontal="center" vertical="center"/>
    </xf>
    <xf numFmtId="0" fontId="22" fillId="7" borderId="29" xfId="0" applyFont="1" applyFill="1" applyBorder="1" applyAlignment="1">
      <alignment horizontal="center" vertical="center"/>
    </xf>
    <xf numFmtId="0" fontId="14" fillId="9" borderId="1" xfId="0" applyFont="1" applyFill="1" applyBorder="1" applyAlignment="1">
      <alignment vertical="center"/>
    </xf>
    <xf numFmtId="0" fontId="7" fillId="9" borderId="28" xfId="0" applyFont="1" applyFill="1" applyBorder="1" applyAlignment="1">
      <alignment horizontal="center" vertical="center"/>
    </xf>
    <xf numFmtId="49" fontId="28" fillId="9" borderId="28" xfId="0" applyNumberFormat="1" applyFont="1" applyFill="1" applyBorder="1" applyAlignment="1">
      <alignment horizontal="center" vertical="center"/>
    </xf>
    <xf numFmtId="0" fontId="28" fillId="9" borderId="29" xfId="0" applyFont="1" applyFill="1" applyBorder="1" applyAlignment="1">
      <alignment horizontal="center" vertical="center"/>
    </xf>
    <xf numFmtId="0" fontId="22" fillId="9" borderId="29" xfId="0" applyFont="1" applyFill="1" applyBorder="1" applyAlignment="1">
      <alignment horizontal="center" vertical="center"/>
    </xf>
    <xf numFmtId="49" fontId="7" fillId="9" borderId="29" xfId="0" applyNumberFormat="1" applyFont="1" applyFill="1" applyBorder="1" applyAlignment="1">
      <alignment horizontal="center" vertical="center"/>
    </xf>
    <xf numFmtId="0" fontId="7" fillId="9" borderId="30" xfId="0" applyFont="1" applyFill="1" applyBorder="1" applyAlignment="1">
      <alignment horizontal="center" vertical="center"/>
    </xf>
    <xf numFmtId="0" fontId="13" fillId="10" borderId="1" xfId="0" applyFont="1" applyFill="1" applyBorder="1" applyAlignment="1">
      <alignment vertical="center"/>
    </xf>
    <xf numFmtId="49" fontId="24" fillId="10" borderId="28" xfId="0" applyNumberFormat="1" applyFont="1" applyFill="1" applyBorder="1" applyAlignment="1">
      <alignment horizontal="center" vertical="center"/>
    </xf>
    <xf numFmtId="0" fontId="24" fillId="10" borderId="29" xfId="0" applyFont="1" applyFill="1" applyBorder="1" applyAlignment="1">
      <alignment horizontal="center" vertical="center"/>
    </xf>
    <xf numFmtId="0" fontId="13" fillId="10" borderId="29" xfId="0" applyFont="1" applyFill="1" applyBorder="1" applyAlignment="1">
      <alignment horizontal="center" vertical="center"/>
    </xf>
    <xf numFmtId="0" fontId="7" fillId="10" borderId="30" xfId="0" quotePrefix="1" applyFont="1" applyFill="1" applyBorder="1" applyAlignment="1">
      <alignment horizontal="center" vertical="center"/>
    </xf>
    <xf numFmtId="0" fontId="13" fillId="0" borderId="8" xfId="0" applyFont="1" applyBorder="1" applyAlignment="1">
      <alignment vertical="center"/>
    </xf>
    <xf numFmtId="0" fontId="7" fillId="0" borderId="60" xfId="0" applyFont="1" applyBorder="1" applyAlignment="1">
      <alignment horizontal="center" vertical="center"/>
    </xf>
    <xf numFmtId="49" fontId="24" fillId="0" borderId="60" xfId="0" applyNumberFormat="1" applyFont="1" applyBorder="1" applyAlignment="1">
      <alignment horizontal="center" vertical="center"/>
    </xf>
    <xf numFmtId="0" fontId="24" fillId="0" borderId="62" xfId="0" applyFont="1" applyBorder="1" applyAlignment="1">
      <alignment horizontal="center" vertical="center"/>
    </xf>
    <xf numFmtId="0" fontId="13" fillId="0" borderId="62" xfId="0" applyFont="1" applyBorder="1" applyAlignment="1">
      <alignment horizontal="center" vertical="center"/>
    </xf>
    <xf numFmtId="49" fontId="7" fillId="0" borderId="62" xfId="0" applyNumberFormat="1" applyFont="1" applyBorder="1" applyAlignment="1">
      <alignment horizontal="center" vertical="center"/>
    </xf>
    <xf numFmtId="0" fontId="48" fillId="11" borderId="60" xfId="0" applyFont="1" applyFill="1" applyBorder="1" applyAlignment="1">
      <alignment horizontal="center" vertical="center"/>
    </xf>
    <xf numFmtId="0" fontId="7" fillId="0" borderId="3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center" vertical="center" wrapText="1"/>
    </xf>
    <xf numFmtId="0" fontId="51" fillId="0" borderId="86" xfId="0" applyFont="1" applyBorder="1" applyAlignment="1">
      <alignment horizontal="centerContinuous" vertical="center" wrapText="1"/>
    </xf>
    <xf numFmtId="0" fontId="16" fillId="0" borderId="87" xfId="0" applyFont="1" applyBorder="1" applyAlignment="1">
      <alignment horizontal="centerContinuous" vertical="center" wrapText="1"/>
    </xf>
    <xf numFmtId="0" fontId="16" fillId="0" borderId="88" xfId="0" applyFont="1" applyBorder="1" applyAlignment="1">
      <alignment horizontal="centerContinuous" vertical="center" wrapText="1"/>
    </xf>
    <xf numFmtId="0" fontId="27" fillId="0" borderId="37" xfId="0" applyFont="1" applyBorder="1" applyAlignment="1">
      <alignment horizontal="centerContinuous" vertical="center"/>
    </xf>
    <xf numFmtId="0" fontId="41" fillId="0" borderId="37" xfId="0" applyFont="1" applyBorder="1" applyAlignment="1">
      <alignment horizontal="center" vertical="center" shrinkToFit="1"/>
    </xf>
    <xf numFmtId="0" fontId="12" fillId="12" borderId="79" xfId="0" applyFont="1" applyFill="1" applyBorder="1" applyAlignment="1">
      <alignment horizontal="centerContinuous" vertical="center" wrapText="1"/>
    </xf>
    <xf numFmtId="0" fontId="12" fillId="12" borderId="89" xfId="0" applyFont="1" applyFill="1" applyBorder="1" applyAlignment="1">
      <alignment horizontal="center" vertical="center" wrapText="1"/>
    </xf>
    <xf numFmtId="0" fontId="12" fillId="12" borderId="90" xfId="0" applyFont="1" applyFill="1" applyBorder="1" applyAlignment="1">
      <alignment horizontal="center" vertical="center" wrapText="1"/>
    </xf>
    <xf numFmtId="0" fontId="12" fillId="12" borderId="81" xfId="0" applyFont="1" applyFill="1" applyBorder="1" applyAlignment="1">
      <alignment horizontal="center" vertical="center" wrapText="1"/>
    </xf>
    <xf numFmtId="0" fontId="7" fillId="0" borderId="91" xfId="0" applyFont="1" applyBorder="1" applyAlignment="1">
      <alignment horizontal="center" vertical="center"/>
    </xf>
    <xf numFmtId="0" fontId="7" fillId="0" borderId="13" xfId="0" applyFont="1" applyBorder="1" applyAlignment="1">
      <alignment horizontal="center" vertical="center"/>
    </xf>
    <xf numFmtId="49" fontId="7" fillId="0" borderId="13" xfId="0" applyNumberFormat="1" applyFont="1" applyBorder="1" applyAlignment="1">
      <alignment horizontal="center" vertical="center"/>
    </xf>
    <xf numFmtId="0" fontId="52" fillId="5" borderId="72" xfId="2" applyNumberFormat="1" applyFont="1" applyFill="1" applyBorder="1" applyAlignment="1">
      <alignment horizontal="center" vertical="center" shrinkToFit="1"/>
    </xf>
    <xf numFmtId="0" fontId="7" fillId="0" borderId="1" xfId="0" applyFont="1" applyBorder="1" applyAlignment="1">
      <alignment horizontal="center" vertical="center"/>
    </xf>
    <xf numFmtId="49" fontId="7" fillId="0" borderId="28" xfId="0" applyNumberFormat="1" applyFont="1" applyBorder="1" applyAlignment="1">
      <alignment horizontal="center" vertical="center"/>
    </xf>
    <xf numFmtId="0" fontId="52" fillId="5" borderId="30" xfId="2" applyNumberFormat="1" applyFont="1" applyFill="1" applyBorder="1" applyAlignment="1">
      <alignment horizontal="center" vertical="center" shrinkToFit="1"/>
    </xf>
    <xf numFmtId="0" fontId="7" fillId="0" borderId="0" xfId="0" applyFont="1" applyAlignment="1">
      <alignment horizontal="left" vertical="center" wrapText="1"/>
    </xf>
    <xf numFmtId="0" fontId="17" fillId="0" borderId="71" xfId="0" applyFont="1" applyBorder="1" applyAlignment="1">
      <alignment horizontal="center" vertical="center" shrinkToFit="1"/>
    </xf>
    <xf numFmtId="0" fontId="7" fillId="0" borderId="8" xfId="0" applyFont="1" applyBorder="1" applyAlignment="1">
      <alignment horizontal="center" vertical="center"/>
    </xf>
    <xf numFmtId="49" fontId="7" fillId="0" borderId="60" xfId="0" applyNumberFormat="1" applyFont="1" applyBorder="1" applyAlignment="1">
      <alignment horizontal="center" vertical="center"/>
    </xf>
    <xf numFmtId="0" fontId="52" fillId="5" borderId="36" xfId="2" applyNumberFormat="1" applyFont="1" applyFill="1" applyBorder="1" applyAlignment="1">
      <alignment horizontal="center" vertical="center" shrinkToFit="1"/>
    </xf>
    <xf numFmtId="0" fontId="7" fillId="0" borderId="37" xfId="0" applyFont="1" applyBorder="1" applyAlignment="1">
      <alignment horizontal="centerContinuous" vertical="center"/>
    </xf>
    <xf numFmtId="0" fontId="7" fillId="0" borderId="70" xfId="0" applyFont="1" applyBorder="1" applyAlignment="1">
      <alignment horizontal="centerContinuous" vertical="center"/>
    </xf>
    <xf numFmtId="0" fontId="7" fillId="0" borderId="76" xfId="0" applyFont="1" applyBorder="1" applyAlignment="1">
      <alignment horizontal="centerContinuous" vertical="center"/>
    </xf>
    <xf numFmtId="0" fontId="7" fillId="0" borderId="71" xfId="0" applyFont="1" applyBorder="1" applyAlignment="1">
      <alignment horizontal="centerContinuous" vertical="center"/>
    </xf>
    <xf numFmtId="0" fontId="7" fillId="0" borderId="63" xfId="0" applyFont="1" applyBorder="1" applyAlignment="1">
      <alignment horizontal="centerContinuous"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21" fillId="8" borderId="17" xfId="0" applyFont="1" applyFill="1" applyBorder="1" applyAlignment="1">
      <alignment horizontal="center" vertical="center"/>
    </xf>
    <xf numFmtId="0" fontId="21" fillId="8" borderId="18" xfId="0" applyFont="1" applyFill="1" applyBorder="1" applyAlignment="1">
      <alignment horizontal="center" vertical="center"/>
    </xf>
    <xf numFmtId="49" fontId="21" fillId="8" borderId="18" xfId="0" applyNumberFormat="1" applyFont="1" applyFill="1" applyBorder="1" applyAlignment="1">
      <alignment horizontal="center" vertical="center"/>
    </xf>
    <xf numFmtId="0" fontId="21" fillId="8" borderId="22" xfId="0" applyFont="1" applyFill="1" applyBorder="1" applyAlignment="1">
      <alignment horizontal="center" vertical="center"/>
    </xf>
    <xf numFmtId="0" fontId="53" fillId="11" borderId="22" xfId="0" applyFont="1" applyFill="1" applyBorder="1" applyAlignment="1">
      <alignment horizontal="center" vertical="center"/>
    </xf>
    <xf numFmtId="0" fontId="21" fillId="8" borderId="19" xfId="0" applyFont="1" applyFill="1" applyBorder="1" applyAlignment="1">
      <alignment horizontal="center" vertical="center"/>
    </xf>
    <xf numFmtId="0" fontId="21" fillId="8" borderId="34" xfId="0" applyFont="1" applyFill="1" applyBorder="1" applyAlignment="1">
      <alignment horizontal="center" vertical="center"/>
    </xf>
    <xf numFmtId="1" fontId="54" fillId="11" borderId="62" xfId="0" applyNumberFormat="1" applyFont="1" applyFill="1" applyBorder="1" applyAlignment="1">
      <alignment horizontal="center" vertical="center"/>
    </xf>
    <xf numFmtId="1" fontId="2" fillId="0" borderId="62" xfId="0" applyNumberFormat="1" applyFont="1" applyBorder="1" applyAlignment="1">
      <alignment horizontal="center" vertical="center"/>
    </xf>
    <xf numFmtId="0" fontId="2" fillId="0" borderId="0" xfId="0" applyFont="1" applyAlignment="1">
      <alignment horizontal="center" vertical="center"/>
    </xf>
    <xf numFmtId="49" fontId="2" fillId="0" borderId="60" xfId="0" applyNumberFormat="1" applyFont="1" applyBorder="1" applyAlignment="1">
      <alignment horizontal="center" vertical="center"/>
    </xf>
    <xf numFmtId="164" fontId="2" fillId="0" borderId="60" xfId="0" applyNumberFormat="1" applyFont="1" applyBorder="1" applyAlignment="1">
      <alignment horizontal="center" vertical="center"/>
    </xf>
    <xf numFmtId="0" fontId="2" fillId="0" borderId="36" xfId="0" quotePrefix="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8" borderId="22" xfId="0" applyFont="1" applyFill="1" applyBorder="1" applyAlignment="1">
      <alignment horizontal="centerContinuous" vertical="center"/>
    </xf>
    <xf numFmtId="0" fontId="21" fillId="8" borderId="92" xfId="0" applyFont="1" applyFill="1" applyBorder="1" applyAlignment="1">
      <alignment horizontal="centerContinuous" vertical="center"/>
    </xf>
    <xf numFmtId="0" fontId="21" fillId="8" borderId="64" xfId="0" applyFont="1" applyFill="1" applyBorder="1" applyAlignment="1">
      <alignment horizontal="centerContinuous" vertical="center"/>
    </xf>
    <xf numFmtId="164" fontId="2" fillId="0" borderId="68" xfId="0" applyNumberFormat="1" applyFont="1" applyBorder="1" applyAlignment="1">
      <alignment horizontal="centerContinuous" vertical="center"/>
    </xf>
    <xf numFmtId="164" fontId="2" fillId="0" borderId="93" xfId="0" applyNumberFormat="1" applyFont="1" applyBorder="1" applyAlignment="1">
      <alignment horizontal="centerContinuous" vertical="center"/>
    </xf>
    <xf numFmtId="0" fontId="5" fillId="0" borderId="69" xfId="0" quotePrefix="1" applyFont="1" applyBorder="1" applyAlignment="1">
      <alignment horizontal="centerContinuous" vertical="center"/>
    </xf>
    <xf numFmtId="0" fontId="2" fillId="0" borderId="96" xfId="0" applyFont="1" applyBorder="1" applyAlignment="1">
      <alignment horizontal="center" vertical="center"/>
    </xf>
    <xf numFmtId="0" fontId="5" fillId="0" borderId="97" xfId="0" applyFont="1" applyBorder="1" applyAlignment="1">
      <alignment horizontal="center" vertical="center"/>
    </xf>
    <xf numFmtId="9" fontId="5" fillId="0" borderId="97" xfId="0" applyNumberFormat="1" applyFont="1" applyBorder="1" applyAlignment="1">
      <alignment horizontal="center" vertical="center"/>
    </xf>
    <xf numFmtId="164" fontId="5" fillId="0" borderId="97" xfId="0" applyNumberFormat="1" applyFont="1" applyBorder="1" applyAlignment="1">
      <alignment horizontal="center" vertical="center"/>
    </xf>
    <xf numFmtId="164" fontId="5" fillId="0" borderId="98" xfId="0" applyNumberFormat="1" applyFont="1" applyBorder="1" applyAlignment="1">
      <alignment horizontal="centerContinuous" vertical="center"/>
    </xf>
    <xf numFmtId="164" fontId="5" fillId="0" borderId="99" xfId="0" applyNumberFormat="1" applyFont="1" applyBorder="1" applyAlignment="1">
      <alignment horizontal="centerContinuous" vertical="center"/>
    </xf>
    <xf numFmtId="0" fontId="5" fillId="0" borderId="100" xfId="0" applyFont="1" applyBorder="1" applyAlignment="1">
      <alignment horizontal="centerContinuous" vertical="center"/>
    </xf>
    <xf numFmtId="0" fontId="21" fillId="8" borderId="20" xfId="0" applyFont="1" applyFill="1" applyBorder="1" applyAlignment="1">
      <alignment horizontal="centerContinuous" vertical="center"/>
    </xf>
    <xf numFmtId="0" fontId="21" fillId="8" borderId="21" xfId="0" applyFont="1" applyFill="1" applyBorder="1" applyAlignment="1">
      <alignment horizontal="centerContinuous" vertical="center"/>
    </xf>
    <xf numFmtId="49" fontId="2" fillId="0" borderId="62" xfId="0" applyNumberFormat="1" applyFont="1" applyBorder="1" applyAlignment="1">
      <alignment horizontal="centerContinuous" vertical="center"/>
    </xf>
    <xf numFmtId="49" fontId="2" fillId="0" borderId="9" xfId="0" applyNumberFormat="1"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41" xfId="0" applyFont="1" applyBorder="1" applyAlignment="1">
      <alignment horizontal="center" vertical="center" shrinkToFit="1"/>
    </xf>
    <xf numFmtId="0" fontId="2" fillId="0" borderId="56"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2" fillId="0" borderId="43" xfId="0" applyFont="1" applyBorder="1" applyAlignment="1">
      <alignment horizontal="left" vertical="center"/>
    </xf>
    <xf numFmtId="0" fontId="5" fillId="0" borderId="44" xfId="0" applyFont="1" applyBorder="1" applyAlignment="1">
      <alignment horizontal="left" vertical="center" shrinkToFit="1"/>
    </xf>
    <xf numFmtId="0" fontId="2" fillId="0" borderId="42"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2"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3" xfId="0" quotePrefix="1" applyFont="1" applyBorder="1" applyAlignment="1">
      <alignment horizontal="left" vertical="center"/>
    </xf>
    <xf numFmtId="0" fontId="2" fillId="0" borderId="45" xfId="0" applyFont="1" applyBorder="1" applyAlignment="1">
      <alignment horizontal="center" vertical="center" shrinkToFit="1"/>
    </xf>
    <xf numFmtId="164" fontId="5" fillId="0" borderId="46" xfId="0" applyNumberFormat="1" applyFont="1" applyBorder="1" applyAlignment="1">
      <alignment horizontal="center" vertical="center" shrinkToFit="1"/>
    </xf>
    <xf numFmtId="0" fontId="2" fillId="0" borderId="47" xfId="0" quotePrefix="1"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2" fillId="0" borderId="47" xfId="0" applyFont="1" applyBorder="1" applyAlignment="1">
      <alignment horizontal="left" vertical="center"/>
    </xf>
    <xf numFmtId="0" fontId="3" fillId="0" borderId="0" xfId="0" applyFont="1" applyAlignment="1">
      <alignment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164" fontId="5" fillId="0" borderId="56" xfId="0" applyNumberFormat="1" applyFont="1" applyBorder="1" applyAlignment="1">
      <alignment horizontal="center" vertical="center" shrinkToFit="1"/>
    </xf>
    <xf numFmtId="0" fontId="5" fillId="0" borderId="57" xfId="0" applyFont="1" applyBorder="1" applyAlignment="1">
      <alignment horizontal="left" vertical="center"/>
    </xf>
    <xf numFmtId="0" fontId="5" fillId="0" borderId="53" xfId="0" applyFont="1" applyBorder="1" applyAlignment="1">
      <alignment horizontal="left" vertical="center" shrinkToFit="1"/>
    </xf>
    <xf numFmtId="0" fontId="5" fillId="0" borderId="42" xfId="0" applyFont="1" applyBorder="1" applyAlignment="1">
      <alignment horizontal="center" vertical="center" shrinkToFit="1"/>
    </xf>
    <xf numFmtId="164" fontId="5" fillId="0" borderId="58" xfId="0" applyNumberFormat="1" applyFont="1" applyBorder="1" applyAlignment="1">
      <alignment horizontal="center" vertical="center" shrinkToFit="1"/>
    </xf>
    <xf numFmtId="0" fontId="5" fillId="0" borderId="59" xfId="0" applyFont="1" applyBorder="1" applyAlignment="1">
      <alignment horizontal="left" vertical="center"/>
    </xf>
    <xf numFmtId="0" fontId="5" fillId="0" borderId="54" xfId="0" applyFont="1" applyBorder="1" applyAlignment="1">
      <alignment horizontal="left"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left" vertical="center"/>
    </xf>
    <xf numFmtId="0" fontId="45" fillId="0" borderId="26" xfId="5" applyFont="1" applyBorder="1" applyAlignment="1">
      <alignment horizontal="centerContinuous" vertical="center" wrapText="1"/>
    </xf>
    <xf numFmtId="0" fontId="16" fillId="0" borderId="0" xfId="5" applyFont="1" applyAlignment="1">
      <alignment horizontal="centerContinuous" vertical="center" wrapText="1"/>
    </xf>
    <xf numFmtId="0" fontId="2" fillId="0" borderId="0" xfId="5" applyAlignment="1">
      <alignment vertical="center" wrapText="1"/>
    </xf>
    <xf numFmtId="0" fontId="12" fillId="6" borderId="23" xfId="5" applyFont="1" applyFill="1" applyBorder="1" applyAlignment="1">
      <alignment horizontal="centerContinuous" vertical="center" wrapText="1"/>
    </xf>
    <xf numFmtId="0" fontId="12" fillId="6" borderId="24" xfId="5" applyFont="1" applyFill="1" applyBorder="1" applyAlignment="1">
      <alignment horizontal="center" vertical="center" wrapText="1"/>
    </xf>
    <xf numFmtId="0" fontId="21" fillId="6" borderId="24" xfId="5" applyFont="1" applyFill="1" applyBorder="1" applyAlignment="1">
      <alignment horizontal="center" vertical="center" wrapText="1"/>
    </xf>
    <xf numFmtId="0" fontId="12" fillId="6" borderId="25" xfId="5" applyFont="1" applyFill="1" applyBorder="1" applyAlignment="1">
      <alignment horizontal="centerContinuous" vertical="center" wrapText="1"/>
    </xf>
    <xf numFmtId="0" fontId="4" fillId="0" borderId="0" xfId="5" applyFont="1" applyAlignment="1">
      <alignment vertical="center" wrapText="1"/>
    </xf>
    <xf numFmtId="0" fontId="44" fillId="0" borderId="1" xfId="5" applyFont="1" applyBorder="1" applyAlignment="1">
      <alignment horizontal="center" vertical="center" shrinkToFit="1"/>
    </xf>
    <xf numFmtId="0" fontId="7" fillId="0" borderId="28" xfId="5" applyFont="1" applyBorder="1" applyAlignment="1">
      <alignment horizontal="center" vertical="center" wrapText="1"/>
    </xf>
    <xf numFmtId="0" fontId="7" fillId="0" borderId="28" xfId="5" applyFont="1" applyBorder="1" applyAlignment="1">
      <alignment horizontal="center" vertical="center" shrinkToFit="1"/>
    </xf>
    <xf numFmtId="9" fontId="7" fillId="0" borderId="29" xfId="2" applyFont="1" applyBorder="1" applyAlignment="1">
      <alignment horizontal="center" vertical="center" shrinkToFit="1"/>
    </xf>
    <xf numFmtId="0" fontId="7" fillId="0" borderId="29" xfId="2" applyNumberFormat="1" applyFont="1" applyBorder="1" applyAlignment="1">
      <alignment horizontal="center" vertical="center" shrinkToFit="1"/>
    </xf>
    <xf numFmtId="49" fontId="7" fillId="0" borderId="30" xfId="5" applyNumberFormat="1" applyFont="1" applyBorder="1" applyAlignment="1">
      <alignment horizontal="center" vertical="center" wrapText="1"/>
    </xf>
    <xf numFmtId="0" fontId="44" fillId="0" borderId="8" xfId="5" applyFont="1" applyBorder="1" applyAlignment="1">
      <alignment horizontal="center" vertical="center" shrinkToFit="1"/>
    </xf>
    <xf numFmtId="0" fontId="7" fillId="0" borderId="60" xfId="5" applyFont="1" applyBorder="1" applyAlignment="1">
      <alignment horizontal="center" vertical="center" wrapText="1"/>
    </xf>
    <xf numFmtId="0" fontId="7" fillId="0" borderId="60" xfId="2" applyNumberFormat="1" applyFont="1" applyBorder="1" applyAlignment="1">
      <alignment horizontal="center" vertical="center" shrinkToFit="1"/>
    </xf>
    <xf numFmtId="9" fontId="7" fillId="0" borderId="62" xfId="2" applyFont="1" applyBorder="1" applyAlignment="1">
      <alignment horizontal="center" vertical="center" shrinkToFit="1"/>
    </xf>
    <xf numFmtId="0" fontId="7" fillId="0" borderId="62" xfId="2" applyNumberFormat="1" applyFont="1" applyBorder="1" applyAlignment="1">
      <alignment horizontal="center" vertical="center" shrinkToFit="1"/>
    </xf>
    <xf numFmtId="0" fontId="7" fillId="0" borderId="36" xfId="5" quotePrefix="1" applyFont="1" applyBorder="1" applyAlignment="1">
      <alignment horizontal="center" vertical="center" wrapText="1"/>
    </xf>
    <xf numFmtId="0" fontId="43" fillId="0" borderId="0" xfId="5" applyFont="1" applyAlignment="1">
      <alignment vertical="center" wrapText="1"/>
    </xf>
    <xf numFmtId="0" fontId="7" fillId="0" borderId="0" xfId="5" applyFont="1" applyAlignment="1">
      <alignment horizontal="center" vertical="center" wrapText="1"/>
    </xf>
    <xf numFmtId="9" fontId="7" fillId="0" borderId="0" xfId="2" applyFont="1" applyFill="1" applyBorder="1" applyAlignment="1">
      <alignment horizontal="center" vertical="center" wrapText="1"/>
    </xf>
    <xf numFmtId="0" fontId="7" fillId="0" borderId="0" xfId="5" applyFont="1" applyAlignment="1">
      <alignment vertical="center" wrapText="1"/>
    </xf>
    <xf numFmtId="0" fontId="4" fillId="0" borderId="0" xfId="5" applyFont="1" applyAlignment="1">
      <alignment horizontal="right" vertical="center" wrapText="1"/>
    </xf>
    <xf numFmtId="0" fontId="2" fillId="0" borderId="0" xfId="5" applyAlignment="1">
      <alignment horizontal="left" vertical="center" wrapText="1"/>
    </xf>
    <xf numFmtId="0" fontId="2" fillId="0" borderId="97" xfId="0" applyFont="1" applyBorder="1" applyAlignment="1">
      <alignment horizontal="center" vertical="center"/>
    </xf>
    <xf numFmtId="164" fontId="5" fillId="0" borderId="68" xfId="0" applyNumberFormat="1" applyFont="1" applyBorder="1" applyAlignment="1">
      <alignment horizontal="center" vertical="center"/>
    </xf>
    <xf numFmtId="164" fontId="5" fillId="0" borderId="102" xfId="0" applyNumberFormat="1" applyFont="1" applyBorder="1" applyAlignment="1">
      <alignment horizontal="center" vertical="center"/>
    </xf>
    <xf numFmtId="164" fontId="2" fillId="0" borderId="62" xfId="0" applyNumberFormat="1" applyFont="1" applyBorder="1" applyAlignment="1">
      <alignment horizontal="center" vertical="center"/>
    </xf>
    <xf numFmtId="0" fontId="2" fillId="0" borderId="0" xfId="0" applyFont="1" applyAlignment="1">
      <alignment horizontal="centerContinuous" vertical="center"/>
    </xf>
    <xf numFmtId="0" fontId="41" fillId="0" borderId="37" xfId="0" applyFont="1" applyBorder="1" applyAlignment="1">
      <alignment horizontal="centerContinuous" vertical="center"/>
    </xf>
    <xf numFmtId="0" fontId="55" fillId="0" borderId="34" xfId="0" applyFont="1" applyBorder="1" applyAlignment="1">
      <alignment horizontal="centerContinuous" vertical="center" wrapText="1"/>
    </xf>
    <xf numFmtId="0" fontId="7" fillId="0" borderId="71" xfId="0" quotePrefix="1" applyFont="1" applyBorder="1" applyAlignment="1">
      <alignment horizontal="centerContinuous" vertical="center"/>
    </xf>
    <xf numFmtId="0" fontId="56" fillId="0" borderId="0" xfId="0" applyFont="1" applyAlignment="1">
      <alignment horizontal="center" vertical="center"/>
    </xf>
    <xf numFmtId="0" fontId="2" fillId="0" borderId="43" xfId="0" applyFont="1" applyBorder="1" applyAlignment="1">
      <alignment vertical="center"/>
    </xf>
    <xf numFmtId="0" fontId="2" fillId="0" borderId="51" xfId="0" quotePrefix="1" applyFont="1" applyBorder="1" applyAlignment="1">
      <alignment horizontal="left" vertical="center"/>
    </xf>
    <xf numFmtId="0" fontId="2" fillId="0" borderId="44" xfId="0" applyFont="1" applyBorder="1" applyAlignment="1">
      <alignment horizontal="left" vertical="center" shrinkToFit="1"/>
    </xf>
    <xf numFmtId="1" fontId="7" fillId="0" borderId="31" xfId="0" applyNumberFormat="1" applyFont="1" applyBorder="1" applyAlignment="1">
      <alignment horizontal="center" vertical="center"/>
    </xf>
    <xf numFmtId="1" fontId="2" fillId="0" borderId="37" xfId="0" applyNumberFormat="1" applyFont="1" applyBorder="1" applyAlignment="1">
      <alignment horizontal="center" vertical="center"/>
    </xf>
    <xf numFmtId="1" fontId="2" fillId="0" borderId="104" xfId="0" applyNumberFormat="1" applyFont="1" applyBorder="1" applyAlignment="1">
      <alignment horizontal="center" vertical="center"/>
    </xf>
    <xf numFmtId="1" fontId="2" fillId="13" borderId="105" xfId="0" applyNumberFormat="1" applyFont="1" applyFill="1" applyBorder="1" applyAlignment="1">
      <alignment horizontal="center" vertical="center"/>
    </xf>
    <xf numFmtId="1" fontId="2" fillId="13" borderId="63" xfId="0" applyNumberFormat="1" applyFont="1" applyFill="1" applyBorder="1" applyAlignment="1">
      <alignment horizontal="center" vertical="center"/>
    </xf>
    <xf numFmtId="1" fontId="2" fillId="0" borderId="63" xfId="0" applyNumberFormat="1" applyFont="1" applyBorder="1" applyAlignment="1">
      <alignment horizontal="center" vertical="center"/>
    </xf>
    <xf numFmtId="1" fontId="5" fillId="0" borderId="0" xfId="0" applyNumberFormat="1" applyFont="1" applyAlignment="1">
      <alignment vertical="center"/>
    </xf>
    <xf numFmtId="1" fontId="4" fillId="0" borderId="0" xfId="0" applyNumberFormat="1" applyFont="1" applyAlignment="1">
      <alignment horizontal="center" vertical="center"/>
    </xf>
    <xf numFmtId="1" fontId="5" fillId="0" borderId="0" xfId="0" applyNumberFormat="1" applyFont="1" applyAlignment="1">
      <alignment horizontal="center" vertical="center"/>
    </xf>
    <xf numFmtId="1" fontId="2" fillId="0" borderId="0" xfId="0" applyNumberFormat="1" applyFont="1" applyAlignment="1">
      <alignment horizontal="center" vertical="center"/>
    </xf>
    <xf numFmtId="0" fontId="58" fillId="0" borderId="34" xfId="0" applyFont="1" applyBorder="1" applyAlignment="1">
      <alignment horizontal="centerContinuous" vertical="center" wrapText="1"/>
    </xf>
    <xf numFmtId="0" fontId="59" fillId="0" borderId="34" xfId="0" applyFont="1" applyBorder="1" applyAlignment="1">
      <alignment horizontal="centerContinuous" vertical="center"/>
    </xf>
    <xf numFmtId="0" fontId="60" fillId="0" borderId="34" xfId="0" applyFont="1" applyBorder="1" applyAlignment="1">
      <alignment horizontal="centerContinuous" vertical="center" wrapText="1"/>
    </xf>
    <xf numFmtId="0" fontId="21" fillId="8" borderId="106" xfId="0" applyFont="1" applyFill="1" applyBorder="1" applyAlignment="1">
      <alignment horizontal="center" vertical="center"/>
    </xf>
    <xf numFmtId="0" fontId="21" fillId="8" borderId="107" xfId="0" applyFont="1" applyFill="1" applyBorder="1" applyAlignment="1">
      <alignment horizontal="centerContinuous" vertical="center"/>
    </xf>
    <xf numFmtId="0" fontId="2" fillId="0" borderId="0" xfId="0" applyFont="1" applyAlignment="1">
      <alignment vertical="center"/>
    </xf>
    <xf numFmtId="0" fontId="2" fillId="0" borderId="108" xfId="0" applyFont="1" applyBorder="1" applyAlignment="1">
      <alignment horizontal="centerContinuous" vertical="center" shrinkToFit="1"/>
    </xf>
    <xf numFmtId="0" fontId="21" fillId="0" borderId="109" xfId="0" applyFont="1" applyBorder="1" applyAlignment="1">
      <alignment horizontal="centerContinuous" vertical="center"/>
    </xf>
    <xf numFmtId="0" fontId="2" fillId="0" borderId="110" xfId="0" applyFont="1" applyBorder="1" applyAlignment="1">
      <alignment horizontal="center" vertical="center"/>
    </xf>
    <xf numFmtId="0" fontId="2" fillId="0" borderId="111" xfId="0" applyFont="1" applyBorder="1" applyAlignment="1">
      <alignment horizontal="centerContinuous" vertical="center"/>
    </xf>
    <xf numFmtId="0" fontId="2" fillId="0" borderId="112" xfId="0" applyFont="1" applyBorder="1" applyAlignment="1">
      <alignment horizontal="centerContinuous" vertical="center"/>
    </xf>
    <xf numFmtId="164" fontId="2" fillId="0" borderId="37" xfId="0" applyNumberFormat="1" applyFont="1" applyBorder="1" applyAlignment="1">
      <alignment horizontal="center" vertical="center"/>
    </xf>
    <xf numFmtId="0" fontId="2" fillId="0" borderId="41" xfId="0" applyFont="1" applyBorder="1" applyAlignment="1">
      <alignment horizontal="centerContinuous" vertical="center" shrinkToFit="1"/>
    </xf>
    <xf numFmtId="0" fontId="21" fillId="0" borderId="113" xfId="0" applyFont="1" applyBorder="1" applyAlignment="1">
      <alignment horizontal="centerContinuous" vertical="center"/>
    </xf>
    <xf numFmtId="0" fontId="2" fillId="0" borderId="102" xfId="0" applyFont="1" applyBorder="1" applyAlignment="1">
      <alignment horizontal="centerContinuous" vertical="center"/>
    </xf>
    <xf numFmtId="0" fontId="2" fillId="0" borderId="114" xfId="0" applyFont="1" applyBorder="1" applyAlignment="1">
      <alignment horizontal="centerContinuous" vertical="center"/>
    </xf>
    <xf numFmtId="0" fontId="2" fillId="0" borderId="49" xfId="0" applyFont="1" applyBorder="1" applyAlignment="1">
      <alignment horizontal="centerContinuous" vertical="center" shrinkToFit="1"/>
    </xf>
    <xf numFmtId="0" fontId="21" fillId="0" borderId="99" xfId="0" applyFont="1" applyBorder="1" applyAlignment="1">
      <alignment horizontal="centerContinuous" vertical="center"/>
    </xf>
    <xf numFmtId="0" fontId="2" fillId="0" borderId="98" xfId="0" applyFont="1" applyBorder="1" applyAlignment="1">
      <alignment horizontal="centerContinuous" vertical="center"/>
    </xf>
    <xf numFmtId="0" fontId="2" fillId="0" borderId="100" xfId="0" applyFont="1" applyBorder="1" applyAlignment="1">
      <alignment horizontal="centerContinuous" vertical="center"/>
    </xf>
    <xf numFmtId="164" fontId="2" fillId="0" borderId="63" xfId="0" applyNumberFormat="1" applyFont="1" applyBorder="1" applyAlignment="1">
      <alignment horizontal="center" vertical="center"/>
    </xf>
    <xf numFmtId="0" fontId="2" fillId="0" borderId="8" xfId="0" applyFont="1" applyBorder="1" applyAlignment="1">
      <alignment horizontal="centerContinuous" vertical="center"/>
    </xf>
    <xf numFmtId="0" fontId="5" fillId="0" borderId="115" xfId="0" applyFont="1" applyBorder="1" applyAlignment="1">
      <alignment horizontal="centerContinuous" vertical="center"/>
    </xf>
    <xf numFmtId="0" fontId="5" fillId="0" borderId="62" xfId="0" applyFont="1" applyBorder="1" applyAlignment="1">
      <alignment horizontal="centerContinuous" vertical="center"/>
    </xf>
    <xf numFmtId="164" fontId="5" fillId="0" borderId="60" xfId="0" applyNumberFormat="1" applyFont="1" applyBorder="1" applyAlignment="1">
      <alignment horizontal="center" vertical="center"/>
    </xf>
    <xf numFmtId="0" fontId="5" fillId="0" borderId="10" xfId="0" applyFont="1" applyBorder="1" applyAlignment="1">
      <alignment horizontal="centerContinuous" vertical="center"/>
    </xf>
    <xf numFmtId="0" fontId="2" fillId="0" borderId="108" xfId="0" applyFont="1" applyBorder="1" applyAlignment="1">
      <alignment horizontal="centerContinuous" vertical="center"/>
    </xf>
    <xf numFmtId="0" fontId="5" fillId="0" borderId="116" xfId="0" applyFont="1" applyBorder="1" applyAlignment="1">
      <alignment horizontal="centerContinuous" vertical="center"/>
    </xf>
    <xf numFmtId="0" fontId="5" fillId="0" borderId="111" xfId="0" applyFont="1" applyBorder="1" applyAlignment="1">
      <alignment horizontal="centerContinuous" vertical="center"/>
    </xf>
    <xf numFmtId="164" fontId="5"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111" xfId="0" applyNumberFormat="1" applyFont="1" applyBorder="1" applyAlignment="1">
      <alignment horizontal="centerContinuous" vertical="center"/>
    </xf>
    <xf numFmtId="49" fontId="2" fillId="0" borderId="109" xfId="0" applyNumberFormat="1" applyFont="1" applyBorder="1" applyAlignment="1">
      <alignment horizontal="centerContinuous" vertical="center"/>
    </xf>
    <xf numFmtId="0" fontId="5" fillId="0" borderId="112" xfId="0" applyFont="1" applyBorder="1" applyAlignment="1">
      <alignment horizontal="centerContinuous" vertical="center"/>
    </xf>
    <xf numFmtId="1" fontId="2" fillId="13" borderId="70" xfId="0" applyNumberFormat="1" applyFont="1" applyFill="1" applyBorder="1" applyAlignment="1">
      <alignment horizontal="center" vertical="center"/>
    </xf>
    <xf numFmtId="0" fontId="61" fillId="0" borderId="94" xfId="0" applyFont="1" applyBorder="1" applyAlignment="1">
      <alignment horizontal="center" vertical="center"/>
    </xf>
    <xf numFmtId="0" fontId="2" fillId="0" borderId="41" xfId="0" applyFont="1" applyBorder="1" applyAlignment="1">
      <alignment horizontal="centerContinuous" vertical="center"/>
    </xf>
    <xf numFmtId="0" fontId="5" fillId="0" borderId="117" xfId="0" applyFont="1" applyBorder="1" applyAlignment="1">
      <alignment horizontal="centerContinuous" vertical="center"/>
    </xf>
    <xf numFmtId="0" fontId="5" fillId="0" borderId="102" xfId="0" applyFont="1" applyBorder="1" applyAlignment="1">
      <alignment horizontal="centerContinuous" vertical="center"/>
    </xf>
    <xf numFmtId="164" fontId="5" fillId="0" borderId="94" xfId="0" applyNumberFormat="1" applyFont="1" applyBorder="1" applyAlignment="1">
      <alignment horizontal="center" vertical="center"/>
    </xf>
    <xf numFmtId="49" fontId="2" fillId="0" borderId="94" xfId="0" applyNumberFormat="1" applyFont="1" applyBorder="1" applyAlignment="1">
      <alignment horizontal="center" vertical="center"/>
    </xf>
    <xf numFmtId="49" fontId="2" fillId="0" borderId="102" xfId="0" applyNumberFormat="1" applyFont="1" applyBorder="1" applyAlignment="1">
      <alignment horizontal="centerContinuous" vertical="center"/>
    </xf>
    <xf numFmtId="49" fontId="2" fillId="0" borderId="113" xfId="0" applyNumberFormat="1" applyFont="1" applyBorder="1" applyAlignment="1">
      <alignment horizontal="centerContinuous" vertical="center"/>
    </xf>
    <xf numFmtId="0" fontId="5" fillId="0" borderId="114" xfId="0" applyFont="1" applyBorder="1" applyAlignment="1">
      <alignment horizontal="centerContinuous" vertical="center"/>
    </xf>
    <xf numFmtId="0" fontId="2" fillId="0" borderId="28" xfId="0" quotePrefix="1" applyFont="1" applyBorder="1" applyAlignment="1">
      <alignment horizontal="center" vertical="center" wrapText="1"/>
    </xf>
    <xf numFmtId="49" fontId="2" fillId="0" borderId="28" xfId="2" applyNumberFormat="1" applyFont="1" applyFill="1" applyBorder="1" applyAlignment="1">
      <alignment horizontal="center" vertical="center"/>
    </xf>
    <xf numFmtId="0" fontId="2" fillId="0" borderId="28" xfId="0" applyFont="1" applyBorder="1" applyAlignment="1">
      <alignment horizontal="center" vertical="center" shrinkToFit="1"/>
    </xf>
    <xf numFmtId="164" fontId="2" fillId="0" borderId="28" xfId="0" applyNumberFormat="1" applyFont="1" applyBorder="1" applyAlignment="1">
      <alignment horizontal="center" vertical="center"/>
    </xf>
    <xf numFmtId="1" fontId="2" fillId="0" borderId="29" xfId="0" applyNumberFormat="1" applyFont="1" applyBorder="1" applyAlignment="1">
      <alignment horizontal="center" vertical="center"/>
    </xf>
    <xf numFmtId="0" fontId="2" fillId="0" borderId="30" xfId="0" quotePrefix="1" applyFont="1" applyBorder="1" applyAlignment="1">
      <alignment horizontal="center" vertical="center"/>
    </xf>
    <xf numFmtId="1" fontId="2" fillId="0" borderId="118" xfId="0" applyNumberFormat="1" applyFont="1" applyBorder="1" applyAlignment="1">
      <alignment horizontal="center" vertical="center"/>
    </xf>
    <xf numFmtId="0" fontId="2" fillId="0" borderId="14" xfId="0" applyFont="1" applyBorder="1" applyAlignment="1">
      <alignment horizontal="center" vertical="center"/>
    </xf>
    <xf numFmtId="0" fontId="2" fillId="0" borderId="61" xfId="0" applyFont="1" applyBorder="1" applyAlignment="1">
      <alignment horizontal="center" vertical="center"/>
    </xf>
    <xf numFmtId="1" fontId="2" fillId="0" borderId="119" xfId="0" applyNumberFormat="1" applyFont="1" applyBorder="1" applyAlignment="1">
      <alignment horizontal="center" vertical="center"/>
    </xf>
    <xf numFmtId="0" fontId="2" fillId="0" borderId="61" xfId="0" applyFont="1" applyBorder="1" applyAlignment="1">
      <alignment horizontal="center" vertical="center" shrinkToFit="1"/>
    </xf>
    <xf numFmtId="0" fontId="2" fillId="0" borderId="13" xfId="0" quotePrefix="1" applyFont="1" applyBorder="1" applyAlignment="1">
      <alignment horizontal="center" vertical="center"/>
    </xf>
    <xf numFmtId="9" fontId="2" fillId="0" borderId="13" xfId="0" applyNumberFormat="1" applyFont="1" applyBorder="1" applyAlignment="1">
      <alignment horizontal="center" vertical="center"/>
    </xf>
    <xf numFmtId="164" fontId="2" fillId="0" borderId="13" xfId="0" quotePrefix="1" applyNumberFormat="1" applyFont="1" applyBorder="1" applyAlignment="1">
      <alignment horizontal="center" vertical="center"/>
    </xf>
    <xf numFmtId="1" fontId="54" fillId="11" borderId="29" xfId="0" applyNumberFormat="1" applyFont="1" applyFill="1" applyBorder="1" applyAlignment="1">
      <alignment horizontal="center" vertical="center"/>
    </xf>
    <xf numFmtId="1" fontId="21" fillId="3" borderId="34" xfId="0" applyNumberFormat="1" applyFont="1" applyFill="1" applyBorder="1" applyAlignment="1">
      <alignment horizontal="center" vertical="center"/>
    </xf>
    <xf numFmtId="1" fontId="2" fillId="0" borderId="70" xfId="0" applyNumberFormat="1" applyFont="1" applyBorder="1" applyAlignment="1">
      <alignment horizontal="center" vertical="center" shrinkToFit="1"/>
    </xf>
    <xf numFmtId="1" fontId="2" fillId="13" borderId="76" xfId="0" applyNumberFormat="1" applyFont="1" applyFill="1" applyBorder="1" applyAlignment="1">
      <alignment horizontal="center" vertical="center" shrinkToFit="1"/>
    </xf>
    <xf numFmtId="1" fontId="2" fillId="0" borderId="37" xfId="0" applyNumberFormat="1" applyFont="1" applyBorder="1" applyAlignment="1">
      <alignment horizontal="center" vertical="center" shrinkToFit="1"/>
    </xf>
    <xf numFmtId="1" fontId="2" fillId="13" borderId="37" xfId="0" applyNumberFormat="1" applyFont="1" applyFill="1" applyBorder="1" applyAlignment="1">
      <alignment horizontal="center" vertical="center" shrinkToFit="1"/>
    </xf>
    <xf numFmtId="1" fontId="2" fillId="13" borderId="63" xfId="0" applyNumberFormat="1" applyFont="1" applyFill="1" applyBorder="1" applyAlignment="1">
      <alignment horizontal="center" vertical="center" shrinkToFit="1"/>
    </xf>
    <xf numFmtId="1" fontId="2" fillId="13" borderId="70" xfId="0" applyNumberFormat="1" applyFont="1" applyFill="1" applyBorder="1" applyAlignment="1">
      <alignment horizontal="center" vertical="center" shrinkToFit="1"/>
    </xf>
    <xf numFmtId="1" fontId="2" fillId="0" borderId="63" xfId="0" applyNumberFormat="1" applyFont="1" applyBorder="1" applyAlignment="1">
      <alignment horizontal="center" vertical="center" shrinkToFit="1"/>
    </xf>
    <xf numFmtId="1" fontId="7" fillId="0" borderId="29" xfId="0" applyNumberFormat="1" applyFont="1" applyBorder="1" applyAlignment="1">
      <alignment horizontal="center" vertical="center"/>
    </xf>
    <xf numFmtId="1" fontId="7" fillId="7" borderId="29" xfId="0" applyNumberFormat="1" applyFont="1" applyFill="1" applyBorder="1" applyAlignment="1">
      <alignment horizontal="center" vertical="center"/>
    </xf>
    <xf numFmtId="1" fontId="7" fillId="10" borderId="29" xfId="0" applyNumberFormat="1" applyFont="1" applyFill="1" applyBorder="1" applyAlignment="1">
      <alignment horizontal="center" vertical="center"/>
    </xf>
    <xf numFmtId="1" fontId="7" fillId="0" borderId="62" xfId="0" applyNumberFormat="1" applyFont="1" applyBorder="1" applyAlignment="1">
      <alignment horizontal="center" vertical="center"/>
    </xf>
    <xf numFmtId="0" fontId="2" fillId="14" borderId="16" xfId="0" applyFont="1" applyFill="1" applyBorder="1" applyAlignment="1">
      <alignment horizontal="center" vertical="center"/>
    </xf>
    <xf numFmtId="0" fontId="2" fillId="14" borderId="60" xfId="0" applyFont="1" applyFill="1" applyBorder="1" applyAlignment="1">
      <alignment horizontal="center" vertical="center"/>
    </xf>
    <xf numFmtId="0" fontId="5" fillId="14" borderId="60" xfId="0" quotePrefix="1" applyFont="1" applyFill="1" applyBorder="1" applyAlignment="1">
      <alignment horizontal="center" vertical="center" wrapText="1"/>
    </xf>
    <xf numFmtId="49" fontId="2" fillId="14" borderId="60" xfId="2" applyNumberFormat="1" applyFont="1" applyFill="1" applyBorder="1" applyAlignment="1">
      <alignment horizontal="center" vertical="center"/>
    </xf>
    <xf numFmtId="0" fontId="2" fillId="14" borderId="60" xfId="0" applyFont="1" applyFill="1" applyBorder="1" applyAlignment="1">
      <alignment horizontal="center" vertical="center" shrinkToFit="1"/>
    </xf>
    <xf numFmtId="164" fontId="5" fillId="14" borderId="60" xfId="0" applyNumberFormat="1" applyFont="1" applyFill="1" applyBorder="1" applyAlignment="1">
      <alignment horizontal="center" vertical="center"/>
    </xf>
    <xf numFmtId="164" fontId="5" fillId="14" borderId="62" xfId="0" applyNumberFormat="1" applyFont="1" applyFill="1" applyBorder="1" applyAlignment="1">
      <alignment horizontal="center" vertical="center"/>
    </xf>
    <xf numFmtId="1" fontId="2" fillId="14" borderId="62" xfId="0" applyNumberFormat="1" applyFont="1" applyFill="1" applyBorder="1" applyAlignment="1">
      <alignment horizontal="center" vertical="center"/>
    </xf>
    <xf numFmtId="0" fontId="2" fillId="14" borderId="36" xfId="0" quotePrefix="1" applyFont="1" applyFill="1" applyBorder="1" applyAlignment="1">
      <alignment horizontal="center" vertical="center"/>
    </xf>
    <xf numFmtId="1" fontId="7" fillId="0" borderId="85" xfId="0" applyNumberFormat="1" applyFont="1" applyBorder="1" applyAlignment="1">
      <alignment horizontal="center" vertical="center"/>
    </xf>
    <xf numFmtId="0" fontId="2" fillId="0" borderId="46" xfId="0" applyFont="1" applyBorder="1" applyAlignment="1">
      <alignment horizontal="center" vertical="center" shrinkToFit="1"/>
    </xf>
    <xf numFmtId="164" fontId="2" fillId="0" borderId="46" xfId="0" applyNumberFormat="1" applyFont="1" applyBorder="1" applyAlignment="1">
      <alignment horizontal="center" vertical="center" shrinkToFit="1"/>
    </xf>
    <xf numFmtId="1" fontId="7" fillId="0" borderId="12" xfId="0" applyNumberFormat="1" applyFont="1" applyBorder="1" applyAlignment="1">
      <alignment horizontal="center" vertical="center"/>
    </xf>
    <xf numFmtId="0" fontId="2" fillId="0" borderId="97" xfId="0" quotePrefix="1" applyFont="1" applyBorder="1" applyAlignment="1">
      <alignment horizontal="center" vertical="center"/>
    </xf>
    <xf numFmtId="0" fontId="62" fillId="0" borderId="37" xfId="0" applyFont="1" applyBorder="1" applyAlignment="1">
      <alignment horizontal="centerContinuous" vertical="center"/>
    </xf>
    <xf numFmtId="0" fontId="41" fillId="0" borderId="76" xfId="0" applyFont="1" applyBorder="1" applyAlignment="1">
      <alignment horizontal="center" vertical="center" shrinkToFit="1"/>
    </xf>
    <xf numFmtId="0" fontId="2" fillId="0" borderId="28" xfId="0" applyFont="1" applyBorder="1" applyAlignment="1">
      <alignment horizontal="center" vertical="center"/>
    </xf>
    <xf numFmtId="164" fontId="5" fillId="0" borderId="29" xfId="0" applyNumberFormat="1" applyFont="1" applyBorder="1" applyAlignment="1">
      <alignment horizontal="center" vertical="center"/>
    </xf>
    <xf numFmtId="1" fontId="2" fillId="0" borderId="28" xfId="2" applyNumberFormat="1" applyFont="1" applyFill="1" applyBorder="1" applyAlignment="1">
      <alignment horizontal="center" vertical="center"/>
    </xf>
    <xf numFmtId="1" fontId="7" fillId="9" borderId="29" xfId="0" applyNumberFormat="1" applyFont="1" applyFill="1" applyBorder="1" applyAlignment="1">
      <alignment horizontal="center" vertical="center"/>
    </xf>
    <xf numFmtId="0" fontId="2" fillId="0" borderId="84" xfId="0" applyFont="1" applyBorder="1" applyAlignment="1">
      <alignment horizontal="centerContinuous" vertical="center"/>
    </xf>
    <xf numFmtId="0" fontId="7" fillId="0" borderId="83" xfId="0" applyFont="1" applyBorder="1" applyAlignment="1">
      <alignment horizontal="centerContinuous" vertical="center"/>
    </xf>
    <xf numFmtId="49" fontId="7" fillId="0" borderId="27" xfId="0" applyNumberFormat="1" applyFont="1" applyBorder="1" applyAlignment="1">
      <alignment horizontal="centerContinuous" vertical="center"/>
    </xf>
    <xf numFmtId="0" fontId="6" fillId="4" borderId="11" xfId="0" applyFont="1" applyFill="1" applyBorder="1" applyAlignment="1">
      <alignment horizontal="right" vertical="center"/>
    </xf>
    <xf numFmtId="0" fontId="2" fillId="0" borderId="122" xfId="0" applyFont="1" applyBorder="1" applyAlignment="1">
      <alignment horizontal="centerContinuous" vertical="center"/>
    </xf>
    <xf numFmtId="0" fontId="6" fillId="4" borderId="33" xfId="0" applyFont="1" applyFill="1" applyBorder="1" applyAlignment="1">
      <alignment horizontal="right" vertical="center"/>
    </xf>
    <xf numFmtId="49" fontId="7" fillId="0" borderId="12" xfId="0" applyNumberFormat="1" applyFont="1" applyBorder="1" applyAlignment="1">
      <alignment horizontal="center" vertical="center"/>
    </xf>
    <xf numFmtId="0" fontId="2" fillId="15" borderId="120" xfId="0" applyFont="1" applyFill="1" applyBorder="1" applyAlignment="1">
      <alignment horizontal="center" vertical="center"/>
    </xf>
    <xf numFmtId="0" fontId="2" fillId="15" borderId="110" xfId="0" applyFont="1" applyFill="1" applyBorder="1" applyAlignment="1">
      <alignment horizontal="center" vertical="center"/>
    </xf>
    <xf numFmtId="0" fontId="2" fillId="15" borderId="110" xfId="0" quotePrefix="1" applyFont="1" applyFill="1" applyBorder="1" applyAlignment="1">
      <alignment horizontal="center" vertical="center" wrapText="1"/>
    </xf>
    <xf numFmtId="1" fontId="2" fillId="15" borderId="110" xfId="2" applyNumberFormat="1" applyFont="1" applyFill="1" applyBorder="1" applyAlignment="1">
      <alignment horizontal="center" vertical="center"/>
    </xf>
    <xf numFmtId="49" fontId="2" fillId="15" borderId="110" xfId="2" applyNumberFormat="1" applyFont="1" applyFill="1" applyBorder="1" applyAlignment="1">
      <alignment horizontal="center" vertical="center"/>
    </xf>
    <xf numFmtId="0" fontId="2" fillId="15" borderId="110" xfId="0" applyFont="1" applyFill="1" applyBorder="1" applyAlignment="1">
      <alignment horizontal="center" vertical="center" shrinkToFit="1"/>
    </xf>
    <xf numFmtId="164" fontId="2" fillId="15" borderId="110" xfId="0" applyNumberFormat="1" applyFont="1" applyFill="1" applyBorder="1" applyAlignment="1">
      <alignment horizontal="center" vertical="center"/>
    </xf>
    <xf numFmtId="164" fontId="2" fillId="15" borderId="111" xfId="0" applyNumberFormat="1" applyFont="1" applyFill="1" applyBorder="1" applyAlignment="1">
      <alignment horizontal="center" vertical="center"/>
    </xf>
    <xf numFmtId="1" fontId="2" fillId="15" borderId="111" xfId="0" applyNumberFormat="1" applyFont="1" applyFill="1" applyBorder="1" applyAlignment="1">
      <alignment horizontal="center" vertical="center"/>
    </xf>
    <xf numFmtId="1" fontId="2" fillId="15" borderId="70" xfId="0" applyNumberFormat="1" applyFont="1" applyFill="1" applyBorder="1" applyAlignment="1">
      <alignment horizontal="center" vertical="center"/>
    </xf>
    <xf numFmtId="0" fontId="2" fillId="15" borderId="14" xfId="0" applyFont="1" applyFill="1" applyBorder="1" applyAlignment="1">
      <alignment horizontal="center" vertical="center"/>
    </xf>
    <xf numFmtId="0" fontId="2" fillId="15" borderId="28" xfId="0" applyFont="1" applyFill="1" applyBorder="1" applyAlignment="1">
      <alignment horizontal="center" vertical="center"/>
    </xf>
    <xf numFmtId="0" fontId="2" fillId="15" borderId="28" xfId="0" quotePrefix="1" applyFont="1" applyFill="1" applyBorder="1" applyAlignment="1">
      <alignment horizontal="center" vertical="center" wrapText="1"/>
    </xf>
    <xf numFmtId="49" fontId="2" fillId="15" borderId="28" xfId="2" applyNumberFormat="1" applyFont="1" applyFill="1" applyBorder="1" applyAlignment="1">
      <alignment horizontal="center" vertical="center"/>
    </xf>
    <xf numFmtId="0" fontId="2" fillId="15" borderId="28" xfId="0" applyFont="1" applyFill="1" applyBorder="1" applyAlignment="1">
      <alignment horizontal="center" vertical="center" shrinkToFit="1"/>
    </xf>
    <xf numFmtId="164" fontId="2" fillId="15" borderId="28" xfId="0" applyNumberFormat="1" applyFont="1" applyFill="1" applyBorder="1" applyAlignment="1">
      <alignment horizontal="center" vertical="center"/>
    </xf>
    <xf numFmtId="164" fontId="2" fillId="15" borderId="29" xfId="0" applyNumberFormat="1" applyFont="1" applyFill="1" applyBorder="1" applyAlignment="1">
      <alignment horizontal="center" vertical="center"/>
    </xf>
    <xf numFmtId="1" fontId="2" fillId="15" borderId="29" xfId="0" applyNumberFormat="1" applyFont="1" applyFill="1" applyBorder="1" applyAlignment="1">
      <alignment horizontal="center" vertical="center"/>
    </xf>
    <xf numFmtId="1" fontId="2" fillId="15" borderId="118" xfId="0" applyNumberFormat="1" applyFont="1" applyFill="1" applyBorder="1" applyAlignment="1">
      <alignment horizontal="center" vertical="center"/>
    </xf>
    <xf numFmtId="1" fontId="2" fillId="0" borderId="71" xfId="0" applyNumberFormat="1" applyFont="1" applyBorder="1" applyAlignment="1">
      <alignment horizontal="center" vertical="center"/>
    </xf>
    <xf numFmtId="0" fontId="2" fillId="0" borderId="95" xfId="0" quotePrefix="1" applyFont="1" applyBorder="1" applyAlignment="1">
      <alignment horizontal="center" vertical="center"/>
    </xf>
    <xf numFmtId="0" fontId="2" fillId="15" borderId="121" xfId="0" quotePrefix="1" applyFont="1" applyFill="1" applyBorder="1" applyAlignment="1">
      <alignment horizontal="center" vertical="center"/>
    </xf>
    <xf numFmtId="0" fontId="2" fillId="15" borderId="30" xfId="0" quotePrefix="1" applyFont="1" applyFill="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63" fillId="0" borderId="124" xfId="0" quotePrefix="1" applyFont="1" applyBorder="1" applyAlignment="1">
      <alignment horizontal="center" vertical="center" wrapText="1"/>
    </xf>
    <xf numFmtId="49" fontId="2" fillId="0" borderId="124" xfId="2" applyNumberFormat="1" applyFont="1" applyBorder="1" applyAlignment="1">
      <alignment horizontal="center" vertical="center"/>
    </xf>
    <xf numFmtId="0" fontId="2" fillId="0" borderId="124" xfId="0" applyFont="1" applyBorder="1" applyAlignment="1">
      <alignment horizontal="center" vertical="center" shrinkToFit="1"/>
    </xf>
    <xf numFmtId="164" fontId="2" fillId="0" borderId="124" xfId="0" applyNumberFormat="1" applyFont="1" applyBorder="1" applyAlignment="1">
      <alignment horizontal="center" vertical="center"/>
    </xf>
    <xf numFmtId="164" fontId="5" fillId="0" borderId="125" xfId="0" applyNumberFormat="1" applyFont="1" applyBorder="1" applyAlignment="1">
      <alignment horizontal="center" vertical="center"/>
    </xf>
    <xf numFmtId="1" fontId="54" fillId="11" borderId="125" xfId="0" applyNumberFormat="1" applyFont="1" applyFill="1" applyBorder="1" applyAlignment="1">
      <alignment horizontal="center" vertical="center"/>
    </xf>
    <xf numFmtId="1" fontId="2" fillId="0" borderId="125" xfId="0" applyNumberFormat="1" applyFont="1" applyBorder="1" applyAlignment="1">
      <alignment horizontal="center" vertical="center"/>
    </xf>
    <xf numFmtId="0" fontId="63" fillId="0" borderId="28" xfId="0" quotePrefix="1" applyFont="1" applyBorder="1" applyAlignment="1">
      <alignment horizontal="center" vertical="center" wrapText="1"/>
    </xf>
    <xf numFmtId="0" fontId="2" fillId="0" borderId="126" xfId="0" applyFont="1" applyBorder="1" applyAlignment="1">
      <alignment horizontal="center" vertical="center"/>
    </xf>
    <xf numFmtId="0" fontId="2" fillId="0" borderId="35" xfId="0" quotePrefix="1" applyFont="1" applyBorder="1" applyAlignment="1">
      <alignment horizontal="center" vertical="center"/>
    </xf>
    <xf numFmtId="0" fontId="62" fillId="0" borderId="63" xfId="0" applyFont="1" applyBorder="1" applyAlignment="1">
      <alignment horizontal="centerContinuous" vertical="center"/>
    </xf>
    <xf numFmtId="0" fontId="7" fillId="16" borderId="15" xfId="0" applyFont="1" applyFill="1" applyBorder="1" applyAlignment="1">
      <alignment horizontal="center" vertical="center"/>
    </xf>
    <xf numFmtId="0" fontId="9" fillId="16" borderId="3" xfId="0" applyFont="1" applyFill="1" applyBorder="1" applyAlignment="1">
      <alignment horizontal="center" vertical="center"/>
    </xf>
    <xf numFmtId="0" fontId="7" fillId="16" borderId="27" xfId="0" quotePrefix="1" applyFont="1" applyFill="1" applyBorder="1" applyAlignment="1">
      <alignment horizontal="center" vertical="center"/>
    </xf>
    <xf numFmtId="49" fontId="2" fillId="0" borderId="28" xfId="2" applyNumberFormat="1" applyFont="1" applyBorder="1" applyAlignment="1">
      <alignment horizontal="center" vertical="center"/>
    </xf>
    <xf numFmtId="0" fontId="2" fillId="0" borderId="30" xfId="0" applyFont="1" applyBorder="1" applyAlignment="1">
      <alignment horizontal="center" vertical="center"/>
    </xf>
    <xf numFmtId="0" fontId="2" fillId="0" borderId="127" xfId="0" applyFont="1" applyBorder="1" applyAlignment="1">
      <alignment horizontal="center" vertical="center"/>
    </xf>
    <xf numFmtId="0" fontId="2" fillId="0" borderId="80" xfId="0" quotePrefix="1" applyFont="1" applyBorder="1" applyAlignment="1">
      <alignment horizontal="center" vertical="center"/>
    </xf>
    <xf numFmtId="0" fontId="2" fillId="0" borderId="80" xfId="0" quotePrefix="1" applyFont="1" applyBorder="1" applyAlignment="1">
      <alignment horizontal="center" vertical="center" wrapText="1"/>
    </xf>
    <xf numFmtId="49" fontId="2" fillId="0" borderId="80" xfId="2" applyNumberFormat="1" applyFont="1" applyFill="1" applyBorder="1" applyAlignment="1">
      <alignment horizontal="center" vertical="center"/>
    </xf>
    <xf numFmtId="0" fontId="2" fillId="0" borderId="80" xfId="0" applyFont="1" applyBorder="1" applyAlignment="1">
      <alignment horizontal="center" vertical="center" shrinkToFit="1"/>
    </xf>
    <xf numFmtId="164" fontId="2" fillId="0" borderId="80" xfId="0" applyNumberFormat="1" applyFont="1" applyBorder="1" applyAlignment="1">
      <alignment horizontal="center" vertical="center"/>
    </xf>
    <xf numFmtId="164" fontId="2" fillId="0" borderId="15" xfId="0" applyNumberFormat="1" applyFont="1" applyBorder="1" applyAlignment="1">
      <alignment horizontal="center" vertical="center"/>
    </xf>
    <xf numFmtId="1" fontId="54" fillId="11" borderId="15" xfId="0" applyNumberFormat="1" applyFont="1" applyFill="1" applyBorder="1" applyAlignment="1">
      <alignment horizontal="center" vertical="center"/>
    </xf>
    <xf numFmtId="1" fontId="2" fillId="0" borderId="15" xfId="0" applyNumberFormat="1" applyFont="1" applyBorder="1" applyAlignment="1">
      <alignment horizontal="center" vertical="center"/>
    </xf>
    <xf numFmtId="0" fontId="2" fillId="14" borderId="14" xfId="0" applyFont="1" applyFill="1" applyBorder="1" applyAlignment="1">
      <alignment horizontal="center" vertical="center"/>
    </xf>
    <xf numFmtId="0" fontId="2" fillId="14" borderId="28" xfId="0" applyFont="1" applyFill="1" applyBorder="1" applyAlignment="1">
      <alignment horizontal="center" vertical="center"/>
    </xf>
    <xf numFmtId="0" fontId="5" fillId="14" borderId="28" xfId="0" quotePrefix="1" applyFont="1" applyFill="1" applyBorder="1" applyAlignment="1">
      <alignment horizontal="center" vertical="center" wrapText="1"/>
    </xf>
    <xf numFmtId="49" fontId="2" fillId="14" borderId="28" xfId="2" applyNumberFormat="1" applyFont="1" applyFill="1" applyBorder="1" applyAlignment="1">
      <alignment horizontal="center" vertical="center"/>
    </xf>
    <xf numFmtId="0" fontId="2" fillId="14" borderId="28" xfId="0" applyFont="1" applyFill="1" applyBorder="1" applyAlignment="1">
      <alignment horizontal="center" vertical="center" shrinkToFit="1"/>
    </xf>
    <xf numFmtId="164" fontId="5" fillId="14" borderId="28" xfId="0" applyNumberFormat="1" applyFont="1" applyFill="1" applyBorder="1" applyAlignment="1">
      <alignment horizontal="center" vertical="center"/>
    </xf>
    <xf numFmtId="164" fontId="5" fillId="14" borderId="29" xfId="0" applyNumberFormat="1" applyFont="1" applyFill="1" applyBorder="1" applyAlignment="1">
      <alignment horizontal="center" vertical="center"/>
    </xf>
    <xf numFmtId="1" fontId="2" fillId="14" borderId="29" xfId="0" applyNumberFormat="1" applyFont="1" applyFill="1" applyBorder="1" applyAlignment="1">
      <alignment horizontal="center" vertical="center"/>
    </xf>
    <xf numFmtId="0" fontId="2" fillId="14" borderId="30" xfId="0" quotePrefix="1" applyFont="1" applyFill="1" applyBorder="1" applyAlignment="1">
      <alignment horizontal="center" vertical="center"/>
    </xf>
    <xf numFmtId="1" fontId="2" fillId="13" borderId="71" xfId="0" applyNumberFormat="1" applyFont="1" applyFill="1" applyBorder="1" applyAlignment="1">
      <alignment horizontal="center" vertical="center"/>
    </xf>
    <xf numFmtId="1" fontId="2" fillId="13" borderId="118" xfId="0" applyNumberFormat="1" applyFont="1" applyFill="1" applyBorder="1" applyAlignment="1">
      <alignment horizontal="center" vertical="center"/>
    </xf>
    <xf numFmtId="1" fontId="2" fillId="0" borderId="128" xfId="0" applyNumberFormat="1" applyFont="1" applyBorder="1" applyAlignment="1">
      <alignment horizontal="center" vertical="center"/>
    </xf>
    <xf numFmtId="1" fontId="2" fillId="13" borderId="119" xfId="0" applyNumberFormat="1" applyFont="1" applyFill="1" applyBorder="1" applyAlignment="1">
      <alignment horizontal="center" vertical="center"/>
    </xf>
    <xf numFmtId="0" fontId="2" fillId="0" borderId="80" xfId="0" applyFont="1" applyBorder="1" applyAlignment="1">
      <alignment horizontal="center" vertical="center"/>
    </xf>
    <xf numFmtId="0" fontId="63" fillId="0" borderId="80" xfId="0" quotePrefix="1" applyFont="1" applyBorder="1" applyAlignment="1">
      <alignment horizontal="center" vertical="center" wrapText="1"/>
    </xf>
    <xf numFmtId="1" fontId="2" fillId="0" borderId="80" xfId="2" applyNumberFormat="1" applyFont="1" applyFill="1" applyBorder="1" applyAlignment="1">
      <alignment horizontal="center" vertical="center"/>
    </xf>
    <xf numFmtId="164" fontId="5" fillId="0" borderId="15" xfId="0" applyNumberFormat="1" applyFont="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7" xr:uid="{00000000-0005-0000-0000-000005000000}"/>
    <cellStyle name="Normal 4" xfId="8"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9966FF"/>
      <color rgb="FFFF0066"/>
      <color rgb="FF00FF00"/>
      <color rgb="FF0000FF"/>
      <color rgb="FF00CC66"/>
      <color rgb="FF00FF99"/>
      <color rgb="FF66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1</xdr:row>
      <xdr:rowOff>19050</xdr:rowOff>
    </xdr:from>
    <xdr:to>
      <xdr:col>6</xdr:col>
      <xdr:colOff>918483</xdr:colOff>
      <xdr:row>15</xdr:row>
      <xdr:rowOff>0</xdr:rowOff>
    </xdr:to>
    <xdr:pic>
      <xdr:nvPicPr>
        <xdr:cNvPr id="5" name="Picture 4" descr="C:\A\Jue\SoF\Images\NPC\Primes\Wee Folk\halfling f assassin.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390525"/>
          <a:ext cx="1585233"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17</xdr:row>
      <xdr:rowOff>57150</xdr:rowOff>
    </xdr:from>
    <xdr:to>
      <xdr:col>6</xdr:col>
      <xdr:colOff>1276350</xdr:colOff>
      <xdr:row>49</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Willow is a female lightfoot halfling of mostly unremarkable appearance, apart from being somewhat tall as halflings go. While not a raving beauty by any means, her flashing green eyes are easily her best feature along with her close-cropped raven-black hair. It is only after a time in her presence that something seems...wrong...about her.  Particularly close observation will detect an occasional hint of a reddish glow to her eyes.</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Originally from Trail’s End in Damara, Willamina Mayfoot (her original name) led a fairly normal life until she reached puberty.  It was then that odd things began to happen around her from time to time.  Eventually, she discovered she was able to manifest a few magical effects. Seeking to apprentice herself to a wizard, she was turned down for having insufficient mental capacity for complex magic.  (While the wizard never said so, he also couldn’t get over a creepy feeling whenever she was around.) </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Stymied in that choice of career, she realized that her minor magical tricks could be useful in criminal enterprises.  With practice, she became a fairly successful thief until one night when she was surprised by a light-sleeping homeowner whose house she was robbing. Staring down the business end of a crossbow, she raised her hands when panic changed to shock as a dark beam shot out of her hand and struck him dead!</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Fearful that her part in the man’s death would be discovered and as much (if not more so) concerned about what was happening to her, Willamina decided it was a good time to go traveling... permanently.  Going now by the name Willow d’whisp, she has wandered the Realms trying to understand just what she is.  Eventually, she determined that somewhere in her ancestry was a demonic entity which was now manifesting itself in her.  Her wanders have now brought her to Waterdeep as she continues to try and master the strange powers that she now bears.</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Personality:  </a:t>
          </a:r>
          <a:r>
            <a:rPr lang="en-US" sz="1200">
              <a:effectLst/>
              <a:latin typeface="Times New Roman" pitchFamily="18" charset="0"/>
              <a:ea typeface="+mn-ea"/>
              <a:cs typeface="Times New Roman" pitchFamily="18" charset="0"/>
            </a:rPr>
            <a:t>Willow is a rather suspicious person (not surprising for someone on the lam) and tends to react poorly to those enquiring into her past.  While not cowardly by any means, she is not the sort to leap into doing something heroic without a reasonable expectation of profit.  She has a preference for green and usually wears clothing only of various hues of that color.  She adores emeralds and can seldom resist the urge to acquire any she might see.</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Willow's fears of demonic possession are closer to reality than she realizes. She is actually the alter ego of a young (as demons go) succubus, Isabeau D-Errik. About 20 years ago, Bo (as she's called, since such beings rarely reveal their true names willingly) rebuffed the advances of another, more powerful, demon. To punish her for the slight, the demon cursed her by trapping her in her alternate form (that of a nearly-adult halfling girl) and blocking memories of her demonic nature. It is only in the last couple of years that Bo's consciousness has begun to reassert itself, resulting in the emergence of her warlock powers and succubus abilities. For the present, this has caused a mental schism with the Willow and Bo personas beginning to conflict with each other for control of her physical being. Whether one identity will be victorious or the two reconcile themselves with each other remains to be seen.</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14</xdr:row>
      <xdr:rowOff>38100</xdr:rowOff>
    </xdr:from>
    <xdr:to>
      <xdr:col>6</xdr:col>
      <xdr:colOff>1238250</xdr:colOff>
      <xdr:row>16</xdr:row>
      <xdr:rowOff>238124</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714875" y="3600450"/>
          <a:ext cx="2295525" cy="62864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1" u="none" strike="noStrike" baseline="0">
              <a:solidFill>
                <a:srgbClr val="7030A0"/>
              </a:solidFill>
              <a:latin typeface="Times New Roman"/>
              <a:cs typeface="Times New Roman"/>
            </a:rPr>
            <a:t>Detecting magic </a:t>
          </a:r>
          <a:r>
            <a:rPr lang="en-US" sz="1200" b="0" i="0" u="none" strike="noStrike" baseline="0">
              <a:solidFill>
                <a:srgbClr val="7030A0"/>
              </a:solidFill>
              <a:latin typeface="Times New Roman"/>
              <a:cs typeface="Times New Roman"/>
            </a:rPr>
            <a:t>and </a:t>
          </a:r>
          <a:r>
            <a:rPr lang="en-US" sz="1200" b="0" i="1" u="none" strike="noStrike" baseline="0">
              <a:solidFill>
                <a:srgbClr val="7030A0"/>
              </a:solidFill>
              <a:latin typeface="Times New Roman"/>
              <a:cs typeface="Times New Roman"/>
            </a:rPr>
            <a:t>Darkvision 60’ </a:t>
          </a:r>
          <a:r>
            <a:rPr lang="en-US" sz="1200" b="0" i="0" u="none" strike="noStrike" baseline="0">
              <a:solidFill>
                <a:srgbClr val="7030A0"/>
              </a:solidFill>
              <a:latin typeface="Times New Roman"/>
              <a:cs typeface="Times New Roman"/>
            </a:rPr>
            <a:t>at will.  Resistance 5 (acid, cold, electricity, fire); DR 1/cold iron</a:t>
          </a:r>
          <a:endParaRPr lang="en-US" sz="1200" b="1" i="0" u="none" strike="noStrike" baseline="0">
            <a:solidFill>
              <a:srgbClr val="FFC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1722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226695</xdr:colOff>
      <xdr:row>1</xdr:row>
      <xdr:rowOff>123825</xdr:rowOff>
    </xdr:from>
    <xdr:to>
      <xdr:col>2</xdr:col>
      <xdr:colOff>266700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showGridLines="0" tabSelected="1" zoomScaleNormal="100" workbookViewId="0"/>
  </sheetViews>
  <sheetFormatPr defaultColWidth="13" defaultRowHeight="15.6" x14ac:dyDescent="0.3"/>
  <cols>
    <col min="1" max="1" width="15.296875" style="73" customWidth="1"/>
    <col min="2" max="2" width="10" style="74" customWidth="1"/>
    <col min="3" max="3" width="6.296875" style="74" customWidth="1"/>
    <col min="4" max="4" width="13.69921875" style="73" bestFit="1" customWidth="1"/>
    <col min="5" max="5" width="10.59765625" style="74" bestFit="1" customWidth="1"/>
    <col min="6" max="6" width="14.69921875" style="73" customWidth="1"/>
    <col min="7" max="7" width="17.09765625" style="74" customWidth="1"/>
    <col min="8" max="16384" width="13" style="31"/>
  </cols>
  <sheetData>
    <row r="1" spans="1:7" ht="29.4" thickTop="1" thickBot="1" x14ac:dyDescent="0.35">
      <c r="A1" s="25" t="s">
        <v>119</v>
      </c>
      <c r="B1" s="26" t="s">
        <v>277</v>
      </c>
      <c r="C1" s="27"/>
      <c r="D1" s="28"/>
      <c r="E1" s="29"/>
      <c r="F1" s="28"/>
      <c r="G1" s="30" t="s">
        <v>278</v>
      </c>
    </row>
    <row r="2" spans="1:7" ht="17.399999999999999" thickTop="1" x14ac:dyDescent="0.3">
      <c r="A2" s="32" t="s">
        <v>0</v>
      </c>
      <c r="B2" s="309" t="s">
        <v>196</v>
      </c>
      <c r="C2" s="33"/>
      <c r="D2" s="34" t="s">
        <v>194</v>
      </c>
      <c r="E2" s="313" t="s">
        <v>202</v>
      </c>
      <c r="F2" s="36"/>
      <c r="G2" s="37"/>
    </row>
    <row r="3" spans="1:7" ht="16.8" x14ac:dyDescent="0.3">
      <c r="A3" s="32" t="s">
        <v>65</v>
      </c>
      <c r="B3" s="33" t="s">
        <v>195</v>
      </c>
      <c r="C3" s="33"/>
      <c r="D3" s="34" t="s">
        <v>66</v>
      </c>
      <c r="E3" s="35">
        <v>6</v>
      </c>
      <c r="F3" s="36"/>
      <c r="G3" s="37"/>
    </row>
    <row r="4" spans="1:7" ht="16.8" x14ac:dyDescent="0.3">
      <c r="A4" s="32" t="s">
        <v>65</v>
      </c>
      <c r="B4" s="33" t="s">
        <v>100</v>
      </c>
      <c r="C4" s="33"/>
      <c r="D4" s="34" t="s">
        <v>66</v>
      </c>
      <c r="E4" s="35">
        <v>3</v>
      </c>
      <c r="F4" s="34"/>
      <c r="G4" s="37"/>
    </row>
    <row r="5" spans="1:7" ht="16.8" x14ac:dyDescent="0.3">
      <c r="A5" s="32" t="s">
        <v>65</v>
      </c>
      <c r="B5" s="33" t="s">
        <v>121</v>
      </c>
      <c r="C5" s="33"/>
      <c r="D5" s="34" t="s">
        <v>66</v>
      </c>
      <c r="E5" s="35">
        <v>3</v>
      </c>
      <c r="F5" s="34"/>
      <c r="G5" s="37"/>
    </row>
    <row r="6" spans="1:7" ht="16.8" x14ac:dyDescent="0.3">
      <c r="A6" s="32" t="s">
        <v>87</v>
      </c>
      <c r="B6" s="33" t="s">
        <v>143</v>
      </c>
      <c r="C6" s="33"/>
      <c r="D6" s="34" t="s">
        <v>86</v>
      </c>
      <c r="E6" s="35" t="s">
        <v>229</v>
      </c>
      <c r="F6" s="34"/>
      <c r="G6" s="37"/>
    </row>
    <row r="7" spans="1:7" ht="16.8" x14ac:dyDescent="0.3">
      <c r="A7" s="32" t="s">
        <v>1</v>
      </c>
      <c r="B7" s="33" t="s">
        <v>120</v>
      </c>
      <c r="C7" s="33"/>
      <c r="D7" s="34" t="s">
        <v>2</v>
      </c>
      <c r="E7" s="35" t="s">
        <v>230</v>
      </c>
      <c r="F7" s="34"/>
      <c r="G7" s="37"/>
    </row>
    <row r="8" spans="1:7" ht="17.399999999999999" thickBot="1" x14ac:dyDescent="0.35">
      <c r="A8" s="32" t="s">
        <v>67</v>
      </c>
      <c r="B8" s="33" t="s">
        <v>279</v>
      </c>
      <c r="C8" s="33"/>
      <c r="D8" s="34" t="s">
        <v>3</v>
      </c>
      <c r="E8" s="35" t="s">
        <v>231</v>
      </c>
      <c r="F8" s="34"/>
      <c r="G8" s="37"/>
    </row>
    <row r="9" spans="1:7" ht="17.399999999999999" thickTop="1" x14ac:dyDescent="0.3">
      <c r="A9" s="38" t="s">
        <v>92</v>
      </c>
      <c r="B9" s="419">
        <f>4+2+2</f>
        <v>8</v>
      </c>
      <c r="C9" s="418"/>
      <c r="D9" s="39" t="s">
        <v>185</v>
      </c>
      <c r="E9" s="407">
        <f>B9+C11-4</f>
        <v>6</v>
      </c>
      <c r="F9" s="40"/>
      <c r="G9" s="37"/>
    </row>
    <row r="10" spans="1:7" ht="17.399999999999999" thickBot="1" x14ac:dyDescent="0.35">
      <c r="A10" s="421" t="s">
        <v>186</v>
      </c>
      <c r="B10" s="420" t="str">
        <f>C12</f>
        <v>+6</v>
      </c>
      <c r="C10" s="422"/>
      <c r="D10" s="423" t="s">
        <v>260</v>
      </c>
      <c r="E10" s="424" t="s">
        <v>165</v>
      </c>
      <c r="F10" s="40"/>
      <c r="G10" s="37"/>
    </row>
    <row r="11" spans="1:7" ht="17.399999999999999" thickTop="1" x14ac:dyDescent="0.3">
      <c r="A11" s="41" t="s">
        <v>4</v>
      </c>
      <c r="B11" s="461">
        <f>10+4</f>
        <v>14</v>
      </c>
      <c r="C11" s="42" t="str">
        <f t="shared" ref="C11:C16" si="0">IF(B11&gt;9.9,CONCATENATE("+",ROUNDDOWN((B11-10)/2,0)),ROUNDUP((B11-10)/2,0))</f>
        <v>+2</v>
      </c>
      <c r="D11" s="43" t="s">
        <v>75</v>
      </c>
      <c r="E11" s="44" t="s">
        <v>151</v>
      </c>
      <c r="F11" s="40"/>
      <c r="G11" s="37"/>
    </row>
    <row r="12" spans="1:7" ht="16.8" x14ac:dyDescent="0.3">
      <c r="A12" s="45" t="s">
        <v>5</v>
      </c>
      <c r="B12" s="46">
        <v>22</v>
      </c>
      <c r="C12" s="47" t="str">
        <f t="shared" si="0"/>
        <v>+6</v>
      </c>
      <c r="D12" s="48" t="s">
        <v>76</v>
      </c>
      <c r="E12" s="49">
        <f>SUM(Martial!G6:G30)+SUM(Equipment!C3:C27)</f>
        <v>49</v>
      </c>
      <c r="F12" s="40"/>
      <c r="G12" s="37"/>
    </row>
    <row r="13" spans="1:7" ht="16.8" x14ac:dyDescent="0.3">
      <c r="A13" s="50" t="s">
        <v>14</v>
      </c>
      <c r="B13" s="51">
        <v>12</v>
      </c>
      <c r="C13" s="52" t="str">
        <f t="shared" si="0"/>
        <v>+1</v>
      </c>
      <c r="D13" s="48" t="s">
        <v>16</v>
      </c>
      <c r="E13" s="53">
        <f>ROUNDUP(((4*8)*0.75)+((E4*6)*0.75)+((E5*6)*0.75)+(SUM(E3:E5)*C13),0)</f>
        <v>63</v>
      </c>
      <c r="F13" s="40"/>
      <c r="G13" s="37"/>
    </row>
    <row r="14" spans="1:7" ht="16.8" x14ac:dyDescent="0.3">
      <c r="A14" s="54" t="s">
        <v>15</v>
      </c>
      <c r="B14" s="51">
        <v>14</v>
      </c>
      <c r="C14" s="47" t="str">
        <f t="shared" si="0"/>
        <v>+2</v>
      </c>
      <c r="D14" s="55" t="s">
        <v>94</v>
      </c>
      <c r="E14" s="317">
        <f>10+1+1+C12+C15</f>
        <v>17</v>
      </c>
      <c r="F14" s="32"/>
      <c r="G14" s="37"/>
    </row>
    <row r="15" spans="1:7" ht="16.8" x14ac:dyDescent="0.3">
      <c r="A15" s="56" t="s">
        <v>17</v>
      </c>
      <c r="B15" s="462">
        <v>8</v>
      </c>
      <c r="C15" s="47">
        <f t="shared" si="0"/>
        <v>-1</v>
      </c>
      <c r="D15" s="55" t="s">
        <v>183</v>
      </c>
      <c r="E15" s="317">
        <f>LEFT(E16,2)-C12</f>
        <v>18</v>
      </c>
      <c r="F15" s="40"/>
      <c r="G15" s="37"/>
    </row>
    <row r="16" spans="1:7" ht="17.399999999999999" thickBot="1" x14ac:dyDescent="0.35">
      <c r="A16" s="57" t="s">
        <v>13</v>
      </c>
      <c r="B16" s="463">
        <f>20+4</f>
        <v>24</v>
      </c>
      <c r="C16" s="58" t="str">
        <f t="shared" si="0"/>
        <v>+7</v>
      </c>
      <c r="D16" s="59" t="s">
        <v>255</v>
      </c>
      <c r="E16" s="410" t="str">
        <f>CONCATENATE((E14+SUM(Martial!B26:B27,1)),"/",(E14+SUM(Martial!B26:B27,1)+5)," rngd")</f>
        <v>24/29 rngd</v>
      </c>
      <c r="F16" s="40"/>
      <c r="G16" s="37"/>
    </row>
    <row r="17" spans="1:7" ht="24" thickTop="1" thickBot="1" x14ac:dyDescent="0.35">
      <c r="A17" s="60" t="s">
        <v>27</v>
      </c>
      <c r="B17" s="61"/>
      <c r="C17" s="61"/>
      <c r="D17" s="62"/>
      <c r="E17" s="62"/>
      <c r="F17" s="62"/>
      <c r="G17" s="63"/>
    </row>
    <row r="18" spans="1:7" s="10" customFormat="1" ht="17.399999999999999" thickTop="1" x14ac:dyDescent="0.3">
      <c r="A18" s="64"/>
      <c r="B18" s="65"/>
      <c r="C18" s="65"/>
      <c r="D18" s="65"/>
      <c r="E18" s="65"/>
      <c r="F18" s="65"/>
      <c r="G18" s="66"/>
    </row>
    <row r="19" spans="1:7" s="10" customFormat="1" ht="16.8" x14ac:dyDescent="0.3">
      <c r="A19" s="67"/>
      <c r="B19" s="68"/>
      <c r="C19" s="68"/>
      <c r="D19" s="68"/>
      <c r="E19" s="68"/>
      <c r="F19" s="68"/>
      <c r="G19" s="69"/>
    </row>
    <row r="20" spans="1:7" s="10" customFormat="1" ht="16.8" x14ac:dyDescent="0.3">
      <c r="A20" s="67"/>
      <c r="B20" s="68"/>
      <c r="C20" s="68"/>
      <c r="D20" s="68"/>
      <c r="E20" s="68"/>
      <c r="F20" s="68"/>
      <c r="G20" s="69"/>
    </row>
    <row r="21" spans="1:7" s="10" customFormat="1" ht="16.8" x14ac:dyDescent="0.3">
      <c r="A21" s="67"/>
      <c r="B21" s="68"/>
      <c r="C21" s="68"/>
      <c r="D21" s="68"/>
      <c r="E21" s="68"/>
      <c r="F21" s="68"/>
      <c r="G21" s="69"/>
    </row>
    <row r="22" spans="1:7" s="10" customFormat="1" ht="16.8" x14ac:dyDescent="0.3">
      <c r="A22" s="67"/>
      <c r="B22" s="68"/>
      <c r="C22" s="68"/>
      <c r="D22" s="68"/>
      <c r="E22" s="68"/>
      <c r="F22" s="68"/>
      <c r="G22" s="69"/>
    </row>
    <row r="23" spans="1:7" s="10" customFormat="1" ht="16.8" x14ac:dyDescent="0.3">
      <c r="A23" s="67"/>
      <c r="B23" s="68"/>
      <c r="C23" s="68"/>
      <c r="D23" s="68"/>
      <c r="E23" s="68"/>
      <c r="F23" s="68"/>
      <c r="G23" s="69"/>
    </row>
    <row r="24" spans="1:7" s="10" customFormat="1" ht="16.8" x14ac:dyDescent="0.3">
      <c r="A24" s="67"/>
      <c r="B24" s="68"/>
      <c r="C24" s="68"/>
      <c r="D24" s="68"/>
      <c r="E24" s="68"/>
      <c r="F24" s="68"/>
      <c r="G24" s="69"/>
    </row>
    <row r="25" spans="1:7" s="10" customFormat="1" ht="16.8" x14ac:dyDescent="0.3">
      <c r="A25" s="67"/>
      <c r="B25" s="68"/>
      <c r="C25" s="68"/>
      <c r="D25" s="68"/>
      <c r="E25" s="68"/>
      <c r="F25" s="68"/>
      <c r="G25" s="69"/>
    </row>
    <row r="26" spans="1:7" s="10" customFormat="1" ht="16.8" x14ac:dyDescent="0.3">
      <c r="A26" s="67"/>
      <c r="B26" s="68"/>
      <c r="C26" s="68"/>
      <c r="D26" s="68"/>
      <c r="E26" s="68"/>
      <c r="F26" s="68"/>
      <c r="G26" s="69"/>
    </row>
    <row r="27" spans="1:7" s="10" customFormat="1" ht="16.8" x14ac:dyDescent="0.3">
      <c r="A27" s="67"/>
      <c r="B27" s="68"/>
      <c r="C27" s="68"/>
      <c r="D27" s="68"/>
      <c r="E27" s="68"/>
      <c r="F27" s="68"/>
      <c r="G27" s="69"/>
    </row>
    <row r="28" spans="1:7" s="10" customFormat="1" ht="16.8" x14ac:dyDescent="0.3">
      <c r="A28" s="67"/>
      <c r="B28" s="68"/>
      <c r="C28" s="68"/>
      <c r="D28" s="68"/>
      <c r="E28" s="68"/>
      <c r="F28" s="68"/>
      <c r="G28" s="69"/>
    </row>
    <row r="29" spans="1:7" s="10" customFormat="1" ht="16.8" x14ac:dyDescent="0.3">
      <c r="A29" s="67"/>
      <c r="B29" s="68"/>
      <c r="C29" s="68"/>
      <c r="D29" s="68"/>
      <c r="E29" s="68"/>
      <c r="F29" s="68"/>
      <c r="G29" s="69"/>
    </row>
    <row r="30" spans="1:7" s="10" customFormat="1" ht="16.8" x14ac:dyDescent="0.3">
      <c r="A30" s="67"/>
      <c r="B30" s="68"/>
      <c r="C30" s="68"/>
      <c r="D30" s="68"/>
      <c r="E30" s="68"/>
      <c r="F30" s="68"/>
      <c r="G30" s="69"/>
    </row>
    <row r="31" spans="1:7" s="10" customFormat="1" ht="16.8" x14ac:dyDescent="0.3">
      <c r="A31" s="67"/>
      <c r="B31" s="68"/>
      <c r="C31" s="68"/>
      <c r="D31" s="68"/>
      <c r="E31" s="68"/>
      <c r="F31" s="68"/>
      <c r="G31" s="69"/>
    </row>
    <row r="32" spans="1:7" s="10" customFormat="1" ht="16.8" x14ac:dyDescent="0.3">
      <c r="A32" s="67"/>
      <c r="B32" s="68"/>
      <c r="C32" s="68"/>
      <c r="D32" s="68"/>
      <c r="E32" s="68"/>
      <c r="F32" s="68"/>
      <c r="G32" s="69"/>
    </row>
    <row r="33" spans="1:7" s="10" customFormat="1" ht="16.8" x14ac:dyDescent="0.3">
      <c r="A33" s="67"/>
      <c r="B33" s="68"/>
      <c r="C33" s="68"/>
      <c r="D33" s="68"/>
      <c r="E33" s="68"/>
      <c r="F33" s="68"/>
      <c r="G33" s="69"/>
    </row>
    <row r="34" spans="1:7" s="10" customFormat="1" ht="16.8" x14ac:dyDescent="0.3">
      <c r="A34" s="67"/>
      <c r="B34" s="68"/>
      <c r="C34" s="68"/>
      <c r="D34" s="68"/>
      <c r="E34" s="68"/>
      <c r="F34" s="68"/>
      <c r="G34" s="69"/>
    </row>
    <row r="35" spans="1:7" s="10" customFormat="1" ht="16.8" x14ac:dyDescent="0.3">
      <c r="A35" s="67"/>
      <c r="B35" s="68"/>
      <c r="C35" s="68"/>
      <c r="D35" s="68"/>
      <c r="E35" s="68"/>
      <c r="F35" s="68"/>
      <c r="G35" s="69"/>
    </row>
    <row r="36" spans="1:7" s="10" customFormat="1" ht="16.8" x14ac:dyDescent="0.3">
      <c r="A36" s="67"/>
      <c r="B36" s="68"/>
      <c r="C36" s="68"/>
      <c r="D36" s="68"/>
      <c r="E36" s="68"/>
      <c r="F36" s="68"/>
      <c r="G36" s="69"/>
    </row>
    <row r="37" spans="1:7" s="10" customFormat="1" ht="16.8" x14ac:dyDescent="0.3">
      <c r="A37" s="67"/>
      <c r="B37" s="68"/>
      <c r="C37" s="68"/>
      <c r="D37" s="68"/>
      <c r="E37" s="68"/>
      <c r="F37" s="68"/>
      <c r="G37" s="69"/>
    </row>
    <row r="38" spans="1:7" s="10" customFormat="1" ht="16.8" x14ac:dyDescent="0.3">
      <c r="A38" s="67"/>
      <c r="B38" s="68"/>
      <c r="C38" s="68"/>
      <c r="D38" s="68"/>
      <c r="E38" s="68"/>
      <c r="F38" s="68"/>
      <c r="G38" s="69"/>
    </row>
    <row r="39" spans="1:7" s="10" customFormat="1" ht="16.8" x14ac:dyDescent="0.3">
      <c r="A39" s="67"/>
      <c r="B39" s="68"/>
      <c r="C39" s="68"/>
      <c r="D39" s="68"/>
      <c r="E39" s="68"/>
      <c r="F39" s="68"/>
      <c r="G39" s="69"/>
    </row>
    <row r="40" spans="1:7" s="10" customFormat="1" ht="16.8" x14ac:dyDescent="0.3">
      <c r="A40" s="67"/>
      <c r="B40" s="68"/>
      <c r="C40" s="68"/>
      <c r="D40" s="68"/>
      <c r="E40" s="68"/>
      <c r="F40" s="68"/>
      <c r="G40" s="69"/>
    </row>
    <row r="41" spans="1:7" s="10" customFormat="1" ht="16.8" x14ac:dyDescent="0.3">
      <c r="A41" s="67"/>
      <c r="B41" s="68"/>
      <c r="C41" s="68"/>
      <c r="D41" s="68"/>
      <c r="E41" s="68"/>
      <c r="F41" s="68"/>
      <c r="G41" s="69"/>
    </row>
    <row r="42" spans="1:7" s="10" customFormat="1" ht="16.8" x14ac:dyDescent="0.3">
      <c r="A42" s="67"/>
      <c r="B42" s="68"/>
      <c r="C42" s="68"/>
      <c r="D42" s="68"/>
      <c r="E42" s="68"/>
      <c r="F42" s="68"/>
      <c r="G42" s="69"/>
    </row>
    <row r="43" spans="1:7" s="10" customFormat="1" ht="16.8" x14ac:dyDescent="0.3">
      <c r="A43" s="67"/>
      <c r="B43" s="68"/>
      <c r="C43" s="68"/>
      <c r="D43" s="68"/>
      <c r="E43" s="68"/>
      <c r="F43" s="68"/>
      <c r="G43" s="69"/>
    </row>
    <row r="44" spans="1:7" s="10" customFormat="1" ht="16.8" x14ac:dyDescent="0.3">
      <c r="A44" s="67"/>
      <c r="B44" s="68"/>
      <c r="C44" s="68"/>
      <c r="D44" s="68"/>
      <c r="E44" s="68"/>
      <c r="F44" s="68"/>
      <c r="G44" s="69"/>
    </row>
    <row r="45" spans="1:7" s="10" customFormat="1" ht="16.8" x14ac:dyDescent="0.3">
      <c r="A45" s="67"/>
      <c r="B45" s="68"/>
      <c r="C45" s="68"/>
      <c r="D45" s="68"/>
      <c r="E45" s="68"/>
      <c r="F45" s="68"/>
      <c r="G45" s="69"/>
    </row>
    <row r="46" spans="1:7" s="10" customFormat="1" ht="16.8" x14ac:dyDescent="0.3">
      <c r="A46" s="67"/>
      <c r="B46" s="68"/>
      <c r="C46" s="68"/>
      <c r="D46" s="68"/>
      <c r="E46" s="68"/>
      <c r="F46" s="68"/>
      <c r="G46" s="69"/>
    </row>
    <row r="47" spans="1:7" s="10" customFormat="1" ht="16.8" x14ac:dyDescent="0.3">
      <c r="A47" s="67"/>
      <c r="B47" s="68"/>
      <c r="C47" s="68"/>
      <c r="D47" s="68"/>
      <c r="E47" s="68"/>
      <c r="F47" s="68"/>
      <c r="G47" s="69"/>
    </row>
    <row r="48" spans="1:7" s="10" customFormat="1" ht="16.8" x14ac:dyDescent="0.3">
      <c r="A48" s="67"/>
      <c r="B48" s="68"/>
      <c r="C48" s="68"/>
      <c r="D48" s="68"/>
      <c r="E48" s="68"/>
      <c r="F48" s="68"/>
      <c r="G48" s="69"/>
    </row>
    <row r="49" spans="1:7" s="10" customFormat="1" ht="16.8" x14ac:dyDescent="0.3">
      <c r="A49" s="67"/>
      <c r="B49" s="68"/>
      <c r="C49" s="68"/>
      <c r="D49" s="68"/>
      <c r="E49" s="68"/>
      <c r="F49" s="68"/>
      <c r="G49" s="69"/>
    </row>
    <row r="50" spans="1:7" ht="17.399999999999999" thickBot="1" x14ac:dyDescent="0.35">
      <c r="A50" s="70"/>
      <c r="B50" s="71"/>
      <c r="C50" s="71"/>
      <c r="D50" s="71"/>
      <c r="E50" s="71"/>
      <c r="F50" s="71"/>
      <c r="G50" s="72"/>
    </row>
    <row r="51" spans="1:7" ht="16.2" thickTop="1" x14ac:dyDescent="0.3"/>
  </sheetData>
  <phoneticPr fontId="0" type="noConversion"/>
  <conditionalFormatting sqref="E12">
    <cfRule type="cellIs" dxfId="6" priority="4" stopIfTrue="1" operator="greaterThan">
      <formula>50</formula>
    </cfRule>
    <cfRule type="cellIs" dxfId="5" priority="5"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sheetViews>
  <sheetFormatPr defaultColWidth="13" defaultRowHeight="15.6" x14ac:dyDescent="0.3"/>
  <cols>
    <col min="1" max="1" width="23.59765625" style="73" bestFit="1" customWidth="1"/>
    <col min="2" max="2" width="5.8984375" style="73" bestFit="1" customWidth="1"/>
    <col min="3" max="3" width="7.59765625" style="74" hidden="1" customWidth="1"/>
    <col min="4" max="4" width="5.8984375" style="74" hidden="1" customWidth="1"/>
    <col min="5" max="5" width="9.19921875" style="74" bestFit="1" customWidth="1"/>
    <col min="6" max="6" width="7.5" style="74" customWidth="1"/>
    <col min="7" max="7" width="6" style="74" bestFit="1" customWidth="1"/>
    <col min="8" max="8" width="5.19921875" style="74" bestFit="1" customWidth="1"/>
    <col min="9" max="9" width="6.8984375" style="74" bestFit="1" customWidth="1"/>
    <col min="10" max="10" width="34.59765625" style="73" bestFit="1" customWidth="1"/>
    <col min="11" max="16384" width="13" style="31"/>
  </cols>
  <sheetData>
    <row r="1" spans="1:10" ht="23.4" thickBot="1" x14ac:dyDescent="0.35">
      <c r="A1" s="75" t="s">
        <v>12</v>
      </c>
      <c r="B1" s="76"/>
      <c r="C1" s="76"/>
      <c r="D1" s="76"/>
      <c r="E1" s="76"/>
      <c r="F1" s="76"/>
      <c r="G1" s="76"/>
      <c r="H1" s="76"/>
      <c r="I1" s="76"/>
      <c r="J1" s="76"/>
    </row>
    <row r="2" spans="1:10" s="10" customFormat="1" ht="34.200000000000003" thickBot="1" x14ac:dyDescent="0.35">
      <c r="A2" s="6" t="s">
        <v>148</v>
      </c>
      <c r="B2" s="7" t="s">
        <v>149</v>
      </c>
      <c r="C2" s="7" t="s">
        <v>38</v>
      </c>
      <c r="D2" s="7" t="s">
        <v>31</v>
      </c>
      <c r="E2" s="8" t="s">
        <v>63</v>
      </c>
      <c r="F2" s="8" t="s">
        <v>39</v>
      </c>
      <c r="G2" s="8" t="s">
        <v>68</v>
      </c>
      <c r="H2" s="11" t="s">
        <v>118</v>
      </c>
      <c r="I2" s="7" t="s">
        <v>83</v>
      </c>
      <c r="J2" s="9" t="s">
        <v>81</v>
      </c>
    </row>
    <row r="3" spans="1:10" s="10" customFormat="1" ht="16.8" x14ac:dyDescent="0.3">
      <c r="A3" s="77" t="s">
        <v>70</v>
      </c>
      <c r="B3" s="78">
        <f>4+1+1</f>
        <v>6</v>
      </c>
      <c r="C3" s="78" t="s">
        <v>33</v>
      </c>
      <c r="D3" s="78" t="str">
        <f>IF(C3="Str",'Personal File'!$C$11,IF(C3="Dex",'Personal File'!$C$12,IF(C3="Con",'Personal File'!$C$13,IF(C3="Int",'Personal File'!$C$14,IF(C3="Wis",'Personal File'!$C$15,IF(C3="Cha",'Personal File'!$C$16))))))</f>
        <v>+1</v>
      </c>
      <c r="E3" s="79" t="str">
        <f t="shared" ref="E3:E5" si="0">CONCATENATE(C3," (",D3,")")</f>
        <v>Con (+1)</v>
      </c>
      <c r="F3" s="80">
        <v>0</v>
      </c>
      <c r="G3" s="80">
        <f t="shared" ref="G3:G43" si="1">B3+D3+F3</f>
        <v>7</v>
      </c>
      <c r="H3" s="81">
        <f t="shared" ref="H3:H5" ca="1" si="2">RANDBETWEEN(1,20)</f>
        <v>12</v>
      </c>
      <c r="I3" s="82">
        <f t="shared" ref="I3:I5" ca="1" si="3">SUM(G3:H3)</f>
        <v>19</v>
      </c>
      <c r="J3" s="83"/>
    </row>
    <row r="4" spans="1:10" s="10" customFormat="1" ht="16.8" x14ac:dyDescent="0.3">
      <c r="A4" s="84" t="s">
        <v>71</v>
      </c>
      <c r="B4" s="78">
        <f>4+3+1</f>
        <v>8</v>
      </c>
      <c r="C4" s="78" t="s">
        <v>36</v>
      </c>
      <c r="D4" s="78" t="str">
        <f>IF(C4="Str",'Personal File'!$C$11,IF(C4="Dex",'Personal File'!$C$12,IF(C4="Con",'Personal File'!$C$13,IF(C4="Int",'Personal File'!$C$14,IF(C4="Wis",'Personal File'!$C$15,IF(C4="Cha",'Personal File'!$C$16))))))</f>
        <v>+6</v>
      </c>
      <c r="E4" s="85" t="str">
        <f t="shared" si="0"/>
        <v>Dex (+6)</v>
      </c>
      <c r="F4" s="80">
        <v>0</v>
      </c>
      <c r="G4" s="80">
        <f t="shared" si="1"/>
        <v>14</v>
      </c>
      <c r="H4" s="81">
        <f t="shared" ca="1" si="2"/>
        <v>20</v>
      </c>
      <c r="I4" s="82">
        <f t="shared" ca="1" si="3"/>
        <v>34</v>
      </c>
      <c r="J4" s="83"/>
    </row>
    <row r="5" spans="1:10" s="10" customFormat="1" ht="16.8" x14ac:dyDescent="0.3">
      <c r="A5" s="86" t="s">
        <v>72</v>
      </c>
      <c r="B5" s="87">
        <f>4+1+3</f>
        <v>8</v>
      </c>
      <c r="C5" s="87" t="s">
        <v>35</v>
      </c>
      <c r="D5" s="87">
        <f>IF(C5="Str",'Personal File'!$C$11,IF(C5="Dex",'Personal File'!$C$12,IF(C5="Con",'Personal File'!$C$13,IF(C5="Int",'Personal File'!$C$14,IF(C5="Wis",'Personal File'!$C$15,IF(C5="Cha",'Personal File'!$C$16))))))</f>
        <v>-1</v>
      </c>
      <c r="E5" s="88" t="str">
        <f t="shared" si="0"/>
        <v>Wis (-1)</v>
      </c>
      <c r="F5" s="89">
        <v>0</v>
      </c>
      <c r="G5" s="89">
        <f t="shared" si="1"/>
        <v>7</v>
      </c>
      <c r="H5" s="90">
        <f t="shared" ca="1" si="2"/>
        <v>11</v>
      </c>
      <c r="I5" s="91">
        <f t="shared" ca="1" si="3"/>
        <v>18</v>
      </c>
      <c r="J5" s="92" t="s">
        <v>150</v>
      </c>
    </row>
    <row r="6" spans="1:10" s="99" customFormat="1" ht="16.8" x14ac:dyDescent="0.3">
      <c r="A6" s="93" t="s">
        <v>40</v>
      </c>
      <c r="B6" s="78">
        <v>0</v>
      </c>
      <c r="C6" s="94" t="s">
        <v>34</v>
      </c>
      <c r="D6" s="95" t="str">
        <f>IF(C6="Str",'Personal File'!$C$11,IF(C6="Dex",'Personal File'!$C$12,IF(C6="Con",'Personal File'!$C$13,IF(C6="Int",'Personal File'!$C$14,IF(C6="Wis",'Personal File'!$C$15,IF(C6="Cha",'Personal File'!$C$16))))))</f>
        <v>+2</v>
      </c>
      <c r="E6" s="96" t="str">
        <f t="shared" ref="E6:E43" si="4">CONCATENATE(C6," (",D6,")")</f>
        <v>Int (+2)</v>
      </c>
      <c r="F6" s="80">
        <v>0</v>
      </c>
      <c r="G6" s="394">
        <f t="shared" si="1"/>
        <v>2</v>
      </c>
      <c r="H6" s="81">
        <f ca="1">RANDBETWEEN(1,20)</f>
        <v>1</v>
      </c>
      <c r="I6" s="97">
        <f t="shared" ref="I6:I7" ca="1" si="5">SUM(G6:H6)</f>
        <v>3</v>
      </c>
      <c r="J6" s="98"/>
    </row>
    <row r="7" spans="1:10" s="104" customFormat="1" ht="16.8" x14ac:dyDescent="0.3">
      <c r="A7" s="100" t="s">
        <v>41</v>
      </c>
      <c r="B7" s="78">
        <v>0</v>
      </c>
      <c r="C7" s="101" t="s">
        <v>36</v>
      </c>
      <c r="D7" s="102" t="str">
        <f>IF(C7="Str",'Personal File'!$C$11,IF(C7="Dex",'Personal File'!$C$12,IF(C7="Con",'Personal File'!$C$13,IF(C7="Int",'Personal File'!$C$14,IF(C7="Wis",'Personal File'!$C$15,IF(C7="Cha",'Personal File'!$C$16))))))</f>
        <v>+6</v>
      </c>
      <c r="E7" s="85" t="str">
        <f t="shared" si="4"/>
        <v>Dex (+6)</v>
      </c>
      <c r="F7" s="394">
        <f>2+6</f>
        <v>8</v>
      </c>
      <c r="G7" s="394">
        <f t="shared" si="1"/>
        <v>14</v>
      </c>
      <c r="H7" s="81">
        <f t="shared" ref="H7:H43" ca="1" si="6">RANDBETWEEN(1,20)</f>
        <v>7</v>
      </c>
      <c r="I7" s="97">
        <f t="shared" ca="1" si="5"/>
        <v>21</v>
      </c>
      <c r="J7" s="103" t="s">
        <v>205</v>
      </c>
    </row>
    <row r="8" spans="1:10" s="109" customFormat="1" ht="16.8" x14ac:dyDescent="0.3">
      <c r="A8" s="134" t="s">
        <v>42</v>
      </c>
      <c r="B8" s="116">
        <v>12</v>
      </c>
      <c r="C8" s="135" t="s">
        <v>32</v>
      </c>
      <c r="D8" s="136" t="str">
        <f>IF(C8="Str",'Personal File'!$C$11,IF(C8="Dex",'Personal File'!$C$12,IF(C8="Con",'Personal File'!$C$13,IF(C8="Int",'Personal File'!$C$14,IF(C8="Wis",'Personal File'!$C$15,IF(C8="Cha",'Personal File'!$C$16))))))</f>
        <v>+7</v>
      </c>
      <c r="E8" s="137" t="str">
        <f t="shared" si="4"/>
        <v>Cha (+7)</v>
      </c>
      <c r="F8" s="395">
        <f>4+2</f>
        <v>6</v>
      </c>
      <c r="G8" s="395">
        <f t="shared" si="1"/>
        <v>25</v>
      </c>
      <c r="H8" s="81">
        <f t="shared" ca="1" si="6"/>
        <v>5</v>
      </c>
      <c r="I8" s="120">
        <f t="shared" ref="I8:I43" ca="1" si="7">SUM(G8:H8)</f>
        <v>30</v>
      </c>
      <c r="J8" s="121"/>
    </row>
    <row r="9" spans="1:10" s="114" customFormat="1" ht="16.8" x14ac:dyDescent="0.3">
      <c r="A9" s="110" t="s">
        <v>43</v>
      </c>
      <c r="B9" s="78">
        <v>0</v>
      </c>
      <c r="C9" s="111" t="s">
        <v>37</v>
      </c>
      <c r="D9" s="112" t="str">
        <f>IF(C9="Str",'Personal File'!$C$11,IF(C9="Dex",'Personal File'!$C$12,IF(C9="Con",'Personal File'!$C$13,IF(C9="Int",'Personal File'!$C$14,IF(C9="Wis",'Personal File'!$C$15,IF(C9="Cha",'Personal File'!$C$16))))))</f>
        <v>+2</v>
      </c>
      <c r="E9" s="113" t="str">
        <f t="shared" si="4"/>
        <v>Str (+2)</v>
      </c>
      <c r="F9" s="394">
        <f>2+2</f>
        <v>4</v>
      </c>
      <c r="G9" s="394">
        <f t="shared" si="1"/>
        <v>6</v>
      </c>
      <c r="H9" s="81">
        <f t="shared" ca="1" si="6"/>
        <v>1</v>
      </c>
      <c r="I9" s="97">
        <f t="shared" ca="1" si="7"/>
        <v>7</v>
      </c>
      <c r="J9" s="98"/>
    </row>
    <row r="10" spans="1:10" s="114" customFormat="1" ht="16.8" x14ac:dyDescent="0.3">
      <c r="A10" s="115" t="s">
        <v>18</v>
      </c>
      <c r="B10" s="116">
        <v>5</v>
      </c>
      <c r="C10" s="117" t="s">
        <v>33</v>
      </c>
      <c r="D10" s="118" t="str">
        <f>IF(C10="Str",'Personal File'!$C$11,IF(C10="Dex",'Personal File'!$C$12,IF(C10="Con",'Personal File'!$C$13,IF(C10="Int",'Personal File'!$C$14,IF(C10="Wis",'Personal File'!$C$15,IF(C10="Cha",'Personal File'!$C$16))))))</f>
        <v>+1</v>
      </c>
      <c r="E10" s="119" t="str">
        <f t="shared" si="4"/>
        <v>Con (+1)</v>
      </c>
      <c r="F10" s="395" t="s">
        <v>64</v>
      </c>
      <c r="G10" s="395">
        <f t="shared" si="1"/>
        <v>6</v>
      </c>
      <c r="H10" s="81">
        <f t="shared" ca="1" si="6"/>
        <v>3</v>
      </c>
      <c r="I10" s="120">
        <f t="shared" ca="1" si="7"/>
        <v>9</v>
      </c>
      <c r="J10" s="121"/>
    </row>
    <row r="11" spans="1:10" s="99" customFormat="1" ht="16.8" x14ac:dyDescent="0.3">
      <c r="A11" s="130" t="s">
        <v>203</v>
      </c>
      <c r="B11" s="116">
        <v>1</v>
      </c>
      <c r="C11" s="131" t="s">
        <v>34</v>
      </c>
      <c r="D11" s="132" t="str">
        <f>IF(C11="Str",'Personal File'!$C$11,IF(C11="Dex",'Personal File'!$C$12,IF(C11="Con",'Personal File'!$C$13,IF(C11="Int",'Personal File'!$C$14,IF(C11="Wis",'Personal File'!$C$15,IF(C11="Cha",'Personal File'!$C$16))))))</f>
        <v>+2</v>
      </c>
      <c r="E11" s="133" t="str">
        <f t="shared" si="4"/>
        <v>Int (+2)</v>
      </c>
      <c r="F11" s="395" t="s">
        <v>64</v>
      </c>
      <c r="G11" s="395">
        <f t="shared" si="1"/>
        <v>3</v>
      </c>
      <c r="H11" s="81">
        <f t="shared" ca="1" si="6"/>
        <v>7</v>
      </c>
      <c r="I11" s="120">
        <f t="shared" ca="1" si="7"/>
        <v>10</v>
      </c>
      <c r="J11" s="121"/>
    </row>
    <row r="12" spans="1:10" s="129" customFormat="1" ht="16.8" x14ac:dyDescent="0.3">
      <c r="A12" s="122" t="s">
        <v>44</v>
      </c>
      <c r="B12" s="123">
        <v>0</v>
      </c>
      <c r="C12" s="124" t="s">
        <v>34</v>
      </c>
      <c r="D12" s="125" t="str">
        <f>IF(C12="Str",'Personal File'!$C$11,IF(C12="Dex",'Personal File'!$C$12,IF(C12="Con",'Personal File'!$C$13,IF(C12="Int",'Personal File'!$C$14,IF(C12="Wis",'Personal File'!$C$15,IF(C12="Cha",'Personal File'!$C$16))))))</f>
        <v>+2</v>
      </c>
      <c r="E12" s="126" t="str">
        <f t="shared" si="4"/>
        <v>Int (+2)</v>
      </c>
      <c r="F12" s="396" t="s">
        <v>64</v>
      </c>
      <c r="G12" s="396">
        <f t="shared" si="1"/>
        <v>2</v>
      </c>
      <c r="H12" s="81">
        <f t="shared" ca="1" si="6"/>
        <v>3</v>
      </c>
      <c r="I12" s="127">
        <f t="shared" ca="1" si="7"/>
        <v>5</v>
      </c>
      <c r="J12" s="128"/>
    </row>
    <row r="13" spans="1:10" s="104" customFormat="1" ht="16.8" x14ac:dyDescent="0.3">
      <c r="A13" s="105" t="s">
        <v>45</v>
      </c>
      <c r="B13" s="78">
        <v>0</v>
      </c>
      <c r="C13" s="106" t="s">
        <v>32</v>
      </c>
      <c r="D13" s="107" t="str">
        <f>IF(C13="Str",'Personal File'!$C$11,IF(C13="Dex",'Personal File'!$C$12,IF(C13="Con",'Personal File'!$C$13,IF(C13="Int",'Personal File'!$C$14,IF(C13="Wis",'Personal File'!$C$15,IF(C13="Cha",'Personal File'!$C$16))))))</f>
        <v>+7</v>
      </c>
      <c r="E13" s="108" t="str">
        <f t="shared" si="4"/>
        <v>Cha (+7)</v>
      </c>
      <c r="F13" s="394" t="s">
        <v>108</v>
      </c>
      <c r="G13" s="394">
        <f t="shared" si="1"/>
        <v>9</v>
      </c>
      <c r="H13" s="81">
        <f t="shared" ca="1" si="6"/>
        <v>8</v>
      </c>
      <c r="I13" s="97">
        <f t="shared" ca="1" si="7"/>
        <v>17</v>
      </c>
      <c r="J13" s="98"/>
    </row>
    <row r="14" spans="1:10" s="104" customFormat="1" ht="16.8" x14ac:dyDescent="0.3">
      <c r="A14" s="130" t="s">
        <v>46</v>
      </c>
      <c r="B14" s="116">
        <v>7</v>
      </c>
      <c r="C14" s="131" t="s">
        <v>34</v>
      </c>
      <c r="D14" s="132" t="str">
        <f>IF(C14="Str",'Personal File'!$C$11,IF(C14="Dex",'Personal File'!$C$12,IF(C14="Con",'Personal File'!$C$13,IF(C14="Int",'Personal File'!$C$14,IF(C14="Wis",'Personal File'!$C$15,IF(C14="Cha",'Personal File'!$C$16))))))</f>
        <v>+2</v>
      </c>
      <c r="E14" s="133" t="str">
        <f t="shared" si="4"/>
        <v>Int (+2)</v>
      </c>
      <c r="F14" s="395" t="s">
        <v>108</v>
      </c>
      <c r="G14" s="395">
        <f t="shared" si="1"/>
        <v>11</v>
      </c>
      <c r="H14" s="81">
        <f t="shared" ca="1" si="6"/>
        <v>11</v>
      </c>
      <c r="I14" s="120">
        <f t="shared" ca="1" si="7"/>
        <v>22</v>
      </c>
      <c r="J14" s="121"/>
    </row>
    <row r="15" spans="1:10" s="104" customFormat="1" ht="16.8" x14ac:dyDescent="0.3">
      <c r="A15" s="105" t="s">
        <v>47</v>
      </c>
      <c r="B15" s="78">
        <v>0</v>
      </c>
      <c r="C15" s="106" t="s">
        <v>32</v>
      </c>
      <c r="D15" s="107" t="str">
        <f>IF(C15="Str",'Personal File'!$C$11,IF(C15="Dex",'Personal File'!$C$12,IF(C15="Con",'Personal File'!$C$13,IF(C15="Int",'Personal File'!$C$14,IF(C15="Wis",'Personal File'!$C$15,IF(C15="Cha",'Personal File'!$C$16))))))</f>
        <v>+7</v>
      </c>
      <c r="E15" s="108" t="str">
        <f t="shared" si="4"/>
        <v>Cha (+7)</v>
      </c>
      <c r="F15" s="394" t="s">
        <v>108</v>
      </c>
      <c r="G15" s="394">
        <f t="shared" si="1"/>
        <v>9</v>
      </c>
      <c r="H15" s="81">
        <f t="shared" ca="1" si="6"/>
        <v>9</v>
      </c>
      <c r="I15" s="97">
        <f t="shared" ca="1" si="7"/>
        <v>18</v>
      </c>
      <c r="J15" s="98"/>
    </row>
    <row r="16" spans="1:10" s="104" customFormat="1" ht="16.8" x14ac:dyDescent="0.3">
      <c r="A16" s="146" t="s">
        <v>48</v>
      </c>
      <c r="B16" s="116">
        <v>5</v>
      </c>
      <c r="C16" s="147" t="s">
        <v>36</v>
      </c>
      <c r="D16" s="148" t="str">
        <f>IF(C16="Str",'Personal File'!$C$11,IF(C16="Dex",'Personal File'!$C$12,IF(C16="Con",'Personal File'!$C$13,IF(C16="Int",'Personal File'!$C$14,IF(C16="Wis",'Personal File'!$C$15,IF(C16="Cha",'Personal File'!$C$16))))))</f>
        <v>+6</v>
      </c>
      <c r="E16" s="149" t="str">
        <f t="shared" si="4"/>
        <v>Dex (+6)</v>
      </c>
      <c r="F16" s="395" t="s">
        <v>64</v>
      </c>
      <c r="G16" s="395">
        <f t="shared" si="1"/>
        <v>11</v>
      </c>
      <c r="H16" s="81">
        <f t="shared" ca="1" si="6"/>
        <v>9</v>
      </c>
      <c r="I16" s="120">
        <f t="shared" ca="1" si="7"/>
        <v>20</v>
      </c>
      <c r="J16" s="121"/>
    </row>
    <row r="17" spans="1:10" s="104" customFormat="1" ht="16.8" x14ac:dyDescent="0.3">
      <c r="A17" s="93" t="s">
        <v>49</v>
      </c>
      <c r="B17" s="78">
        <v>0</v>
      </c>
      <c r="C17" s="94" t="s">
        <v>34</v>
      </c>
      <c r="D17" s="95" t="str">
        <f>IF(C17="Str",'Personal File'!$C$11,IF(C17="Dex",'Personal File'!$C$12,IF(C17="Con",'Personal File'!$C$13,IF(C17="Int",'Personal File'!$C$14,IF(C17="Wis",'Personal File'!$C$15,IF(C17="Cha",'Personal File'!$C$16))))))</f>
        <v>+2</v>
      </c>
      <c r="E17" s="96" t="str">
        <f t="shared" si="4"/>
        <v>Int (+2)</v>
      </c>
      <c r="F17" s="394" t="s">
        <v>64</v>
      </c>
      <c r="G17" s="394">
        <f t="shared" si="1"/>
        <v>2</v>
      </c>
      <c r="H17" s="81">
        <f t="shared" ca="1" si="6"/>
        <v>4</v>
      </c>
      <c r="I17" s="97">
        <f t="shared" ca="1" si="7"/>
        <v>6</v>
      </c>
      <c r="J17" s="98"/>
    </row>
    <row r="18" spans="1:10" s="104" customFormat="1" ht="16.8" x14ac:dyDescent="0.3">
      <c r="A18" s="134" t="s">
        <v>50</v>
      </c>
      <c r="B18" s="116">
        <v>1</v>
      </c>
      <c r="C18" s="135" t="s">
        <v>32</v>
      </c>
      <c r="D18" s="136" t="str">
        <f>IF(C18="Str",'Personal File'!$C$11,IF(C18="Dex",'Personal File'!$C$12,IF(C18="Con",'Personal File'!$C$13,IF(C18="Int",'Personal File'!$C$14,IF(C18="Wis",'Personal File'!$C$15,IF(C18="Cha",'Personal File'!$C$16))))))</f>
        <v>+7</v>
      </c>
      <c r="E18" s="137" t="str">
        <f t="shared" si="4"/>
        <v>Cha (+7)</v>
      </c>
      <c r="F18" s="395" t="s">
        <v>108</v>
      </c>
      <c r="G18" s="395">
        <f t="shared" si="1"/>
        <v>10</v>
      </c>
      <c r="H18" s="81">
        <f t="shared" ca="1" si="6"/>
        <v>2</v>
      </c>
      <c r="I18" s="120">
        <f t="shared" ca="1" si="7"/>
        <v>12</v>
      </c>
      <c r="J18" s="121"/>
    </row>
    <row r="19" spans="1:10" s="104" customFormat="1" ht="16.8" x14ac:dyDescent="0.3">
      <c r="A19" s="138" t="s">
        <v>20</v>
      </c>
      <c r="B19" s="123">
        <v>0</v>
      </c>
      <c r="C19" s="139" t="s">
        <v>32</v>
      </c>
      <c r="D19" s="140" t="str">
        <f>IF(C19="Str",'Personal File'!$C$11,IF(C19="Dex",'Personal File'!$C$12,IF(C19="Con",'Personal File'!$C$13,IF(C19="Int",'Personal File'!$C$14,IF(C19="Wis",'Personal File'!$C$15,IF(C19="Cha",'Personal File'!$C$16))))))</f>
        <v>+7</v>
      </c>
      <c r="E19" s="141" t="str">
        <f t="shared" si="4"/>
        <v>Cha (+7)</v>
      </c>
      <c r="F19" s="396" t="s">
        <v>64</v>
      </c>
      <c r="G19" s="396">
        <f t="shared" si="1"/>
        <v>7</v>
      </c>
      <c r="H19" s="81">
        <f t="shared" ca="1" si="6"/>
        <v>6</v>
      </c>
      <c r="I19" s="127">
        <f t="shared" ca="1" si="7"/>
        <v>13</v>
      </c>
      <c r="J19" s="128"/>
    </row>
    <row r="20" spans="1:10" s="104" customFormat="1" ht="16.8" x14ac:dyDescent="0.3">
      <c r="A20" s="142" t="s">
        <v>51</v>
      </c>
      <c r="B20" s="78">
        <v>0</v>
      </c>
      <c r="C20" s="143" t="s">
        <v>35</v>
      </c>
      <c r="D20" s="144">
        <f>IF(C20="Str",'Personal File'!$C$11,IF(C20="Dex",'Personal File'!$C$12,IF(C20="Con",'Personal File'!$C$13,IF(C20="Int",'Personal File'!$C$14,IF(C20="Wis",'Personal File'!$C$15,IF(C20="Cha",'Personal File'!$C$16))))))</f>
        <v>-1</v>
      </c>
      <c r="E20" s="145" t="str">
        <f t="shared" si="4"/>
        <v>Wis (-1)</v>
      </c>
      <c r="F20" s="394" t="s">
        <v>64</v>
      </c>
      <c r="G20" s="394">
        <f t="shared" si="1"/>
        <v>-1</v>
      </c>
      <c r="H20" s="81">
        <f t="shared" ca="1" si="6"/>
        <v>2</v>
      </c>
      <c r="I20" s="97">
        <f t="shared" ca="1" si="7"/>
        <v>1</v>
      </c>
      <c r="J20" s="98"/>
    </row>
    <row r="21" spans="1:10" s="104" customFormat="1" ht="16.8" x14ac:dyDescent="0.3">
      <c r="A21" s="146" t="s">
        <v>52</v>
      </c>
      <c r="B21" s="116">
        <v>12</v>
      </c>
      <c r="C21" s="147" t="s">
        <v>36</v>
      </c>
      <c r="D21" s="148" t="str">
        <f>IF(C21="Str",'Personal File'!$C$11,IF(C21="Dex",'Personal File'!$C$12,IF(C21="Con",'Personal File'!$C$13,IF(C21="Int",'Personal File'!$C$14,IF(C21="Wis",'Personal File'!$C$15,IF(C21="Cha",'Personal File'!$C$16))))))</f>
        <v>+6</v>
      </c>
      <c r="E21" s="149" t="str">
        <f t="shared" si="4"/>
        <v>Dex (+6)</v>
      </c>
      <c r="F21" s="395" t="s">
        <v>103</v>
      </c>
      <c r="G21" s="395">
        <f t="shared" si="1"/>
        <v>22</v>
      </c>
      <c r="H21" s="81">
        <f t="shared" ca="1" si="6"/>
        <v>2</v>
      </c>
      <c r="I21" s="120">
        <f t="shared" ca="1" si="7"/>
        <v>24</v>
      </c>
      <c r="J21" s="121"/>
    </row>
    <row r="22" spans="1:10" s="104" customFormat="1" ht="16.8" x14ac:dyDescent="0.3">
      <c r="A22" s="105" t="s">
        <v>53</v>
      </c>
      <c r="B22" s="78">
        <v>0</v>
      </c>
      <c r="C22" s="106" t="s">
        <v>32</v>
      </c>
      <c r="D22" s="107" t="str">
        <f>IF(C22="Str",'Personal File'!$C$11,IF(C22="Dex",'Personal File'!$C$12,IF(C22="Con",'Personal File'!$C$13,IF(C22="Int",'Personal File'!$C$14,IF(C22="Wis",'Personal File'!$C$15,IF(C22="Cha",'Personal File'!$C$16))))))</f>
        <v>+7</v>
      </c>
      <c r="E22" s="108" t="str">
        <f t="shared" si="4"/>
        <v>Cha (+7)</v>
      </c>
      <c r="F22" s="394" t="s">
        <v>64</v>
      </c>
      <c r="G22" s="394">
        <f t="shared" si="1"/>
        <v>7</v>
      </c>
      <c r="H22" s="81">
        <f t="shared" ca="1" si="6"/>
        <v>1</v>
      </c>
      <c r="I22" s="97">
        <f t="shared" ca="1" si="7"/>
        <v>8</v>
      </c>
      <c r="J22" s="98"/>
    </row>
    <row r="23" spans="1:10" s="104" customFormat="1" ht="16.8" x14ac:dyDescent="0.3">
      <c r="A23" s="110" t="s">
        <v>54</v>
      </c>
      <c r="B23" s="78">
        <v>0</v>
      </c>
      <c r="C23" s="111" t="s">
        <v>37</v>
      </c>
      <c r="D23" s="112" t="str">
        <f>IF(C23="Str",'Personal File'!$C$11,IF(C23="Dex",'Personal File'!$C$12,IF(C23="Con",'Personal File'!$C$13,IF(C23="Int",'Personal File'!$C$14,IF(C23="Wis",'Personal File'!$C$15,IF(C23="Cha",'Personal File'!$C$16))))))</f>
        <v>+2</v>
      </c>
      <c r="E23" s="113" t="str">
        <f t="shared" si="4"/>
        <v>Str (+2)</v>
      </c>
      <c r="F23" s="394">
        <f>4+6</f>
        <v>10</v>
      </c>
      <c r="G23" s="394">
        <f t="shared" si="1"/>
        <v>12</v>
      </c>
      <c r="H23" s="81">
        <f t="shared" ca="1" si="6"/>
        <v>15</v>
      </c>
      <c r="I23" s="97">
        <f t="shared" ca="1" si="7"/>
        <v>27</v>
      </c>
      <c r="J23" s="103" t="s">
        <v>205</v>
      </c>
    </row>
    <row r="24" spans="1:10" s="104" customFormat="1" ht="16.8" x14ac:dyDescent="0.3">
      <c r="A24" s="130" t="s">
        <v>89</v>
      </c>
      <c r="B24" s="116">
        <v>1</v>
      </c>
      <c r="C24" s="131" t="s">
        <v>34</v>
      </c>
      <c r="D24" s="132" t="str">
        <f>IF(C24="Str",'Personal File'!$C$11,IF(C24="Dex",'Personal File'!$C$12,IF(C24="Con",'Personal File'!$C$13,IF(C24="Int",'Personal File'!$C$14,IF(C24="Wis",'Personal File'!$C$15,IF(C24="Cha",'Personal File'!$C$16))))))</f>
        <v>+2</v>
      </c>
      <c r="E24" s="133" t="str">
        <f t="shared" si="4"/>
        <v>Int (+2)</v>
      </c>
      <c r="F24" s="395" t="s">
        <v>64</v>
      </c>
      <c r="G24" s="395">
        <f t="shared" si="1"/>
        <v>3</v>
      </c>
      <c r="H24" s="81">
        <f t="shared" ca="1" si="6"/>
        <v>4</v>
      </c>
      <c r="I24" s="120">
        <f t="shared" ca="1" si="7"/>
        <v>7</v>
      </c>
      <c r="J24" s="121"/>
    </row>
    <row r="25" spans="1:10" s="104" customFormat="1" ht="16.8" x14ac:dyDescent="0.3">
      <c r="A25" s="130" t="s">
        <v>101</v>
      </c>
      <c r="B25" s="116">
        <v>2</v>
      </c>
      <c r="C25" s="131" t="s">
        <v>34</v>
      </c>
      <c r="D25" s="132" t="str">
        <f>IF(C25="Str",'Personal File'!$C$11,IF(C25="Dex",'Personal File'!$C$12,IF(C25="Con",'Personal File'!$C$13,IF(C25="Int",'Personal File'!$C$14,IF(C25="Wis",'Personal File'!$C$15,IF(C25="Cha",'Personal File'!$C$16))))))</f>
        <v>+2</v>
      </c>
      <c r="E25" s="133" t="str">
        <f t="shared" ref="E25:E26" si="8">CONCATENATE(C25," (",D25,")")</f>
        <v>Int (+2)</v>
      </c>
      <c r="F25" s="395" t="s">
        <v>64</v>
      </c>
      <c r="G25" s="395">
        <f t="shared" si="1"/>
        <v>4</v>
      </c>
      <c r="H25" s="81">
        <f t="shared" ca="1" si="6"/>
        <v>13</v>
      </c>
      <c r="I25" s="120">
        <f t="shared" ca="1" si="7"/>
        <v>17</v>
      </c>
      <c r="J25" s="121"/>
    </row>
    <row r="26" spans="1:10" s="104" customFormat="1" ht="16.8" x14ac:dyDescent="0.3">
      <c r="A26" s="130" t="s">
        <v>102</v>
      </c>
      <c r="B26" s="116">
        <v>12</v>
      </c>
      <c r="C26" s="131" t="s">
        <v>34</v>
      </c>
      <c r="D26" s="132" t="str">
        <f>IF(C26="Str",'Personal File'!$C$11,IF(C26="Dex",'Personal File'!$C$12,IF(C26="Con",'Personal File'!$C$13,IF(C26="Int",'Personal File'!$C$14,IF(C26="Wis",'Personal File'!$C$15,IF(C26="Cha",'Personal File'!$C$16))))))</f>
        <v>+2</v>
      </c>
      <c r="E26" s="133" t="str">
        <f t="shared" si="8"/>
        <v>Int (+2)</v>
      </c>
      <c r="F26" s="395" t="s">
        <v>64</v>
      </c>
      <c r="G26" s="395">
        <f t="shared" si="1"/>
        <v>14</v>
      </c>
      <c r="H26" s="81">
        <f t="shared" ca="1" si="6"/>
        <v>19</v>
      </c>
      <c r="I26" s="120">
        <f t="shared" ca="1" si="7"/>
        <v>33</v>
      </c>
      <c r="J26" s="121"/>
    </row>
    <row r="27" spans="1:10" s="104" customFormat="1" ht="16.8" x14ac:dyDescent="0.3">
      <c r="A27" s="150" t="s">
        <v>55</v>
      </c>
      <c r="B27" s="116">
        <v>10</v>
      </c>
      <c r="C27" s="151" t="s">
        <v>35</v>
      </c>
      <c r="D27" s="152">
        <f>IF(C27="Str",'Personal File'!$C$11,IF(C27="Dex",'Personal File'!$C$12,IF(C27="Con",'Personal File'!$C$13,IF(C27="Int",'Personal File'!$C$14,IF(C27="Wis",'Personal File'!$C$15,IF(C27="Cha",'Personal File'!$C$16))))))</f>
        <v>-1</v>
      </c>
      <c r="E27" s="153" t="str">
        <f t="shared" si="4"/>
        <v>Wis (-1)</v>
      </c>
      <c r="F27" s="395">
        <f>2+8</f>
        <v>10</v>
      </c>
      <c r="G27" s="395">
        <f t="shared" si="1"/>
        <v>19</v>
      </c>
      <c r="H27" s="81">
        <f t="shared" ca="1" si="6"/>
        <v>7</v>
      </c>
      <c r="I27" s="120">
        <f t="shared" ca="1" si="7"/>
        <v>26</v>
      </c>
      <c r="J27" s="121"/>
    </row>
    <row r="28" spans="1:10" s="104" customFormat="1" ht="16.8" x14ac:dyDescent="0.3">
      <c r="A28" s="146" t="s">
        <v>21</v>
      </c>
      <c r="B28" s="116">
        <v>10</v>
      </c>
      <c r="C28" s="147" t="s">
        <v>36</v>
      </c>
      <c r="D28" s="148" t="str">
        <f>IF(C28="Str",'Personal File'!$C$11,IF(C28="Dex",'Personal File'!$C$12,IF(C28="Con",'Personal File'!$C$13,IF(C28="Int",'Personal File'!$C$14,IF(C28="Wis",'Personal File'!$C$15,IF(C28="Cha",'Personal File'!$C$16))))))</f>
        <v>+6</v>
      </c>
      <c r="E28" s="149" t="str">
        <f t="shared" si="4"/>
        <v>Dex (+6)</v>
      </c>
      <c r="F28" s="395" t="s">
        <v>108</v>
      </c>
      <c r="G28" s="395">
        <f t="shared" si="1"/>
        <v>18</v>
      </c>
      <c r="H28" s="81">
        <f t="shared" ca="1" si="6"/>
        <v>14</v>
      </c>
      <c r="I28" s="120">
        <f t="shared" ca="1" si="7"/>
        <v>32</v>
      </c>
      <c r="J28" s="121"/>
    </row>
    <row r="29" spans="1:10" s="104" customFormat="1" ht="16.8" x14ac:dyDescent="0.3">
      <c r="A29" s="146" t="s">
        <v>56</v>
      </c>
      <c r="B29" s="116">
        <v>5</v>
      </c>
      <c r="C29" s="147" t="s">
        <v>36</v>
      </c>
      <c r="D29" s="148" t="str">
        <f>IF(C29="Str",'Personal File'!$C$11,IF(C29="Dex",'Personal File'!$C$12,IF(C29="Con",'Personal File'!$C$13,IF(C29="Int",'Personal File'!$C$14,IF(C29="Wis",'Personal File'!$C$15,IF(C29="Cha",'Personal File'!$C$16))))))</f>
        <v>+6</v>
      </c>
      <c r="E29" s="149" t="str">
        <f t="shared" si="4"/>
        <v>Dex (+6)</v>
      </c>
      <c r="F29" s="395" t="s">
        <v>108</v>
      </c>
      <c r="G29" s="395">
        <f t="shared" si="1"/>
        <v>13</v>
      </c>
      <c r="H29" s="81">
        <f t="shared" ca="1" si="6"/>
        <v>1</v>
      </c>
      <c r="I29" s="120">
        <f t="shared" ca="1" si="7"/>
        <v>14</v>
      </c>
      <c r="J29" s="121"/>
    </row>
    <row r="30" spans="1:10" ht="16.8" x14ac:dyDescent="0.3">
      <c r="A30" s="105" t="s">
        <v>124</v>
      </c>
      <c r="B30" s="78">
        <v>0</v>
      </c>
      <c r="C30" s="106" t="s">
        <v>32</v>
      </c>
      <c r="D30" s="107" t="str">
        <f>IF(C30="Str",'Personal File'!$C$11,IF(C30="Dex",'Personal File'!$C$12,IF(C30="Con",'Personal File'!$C$13,IF(C30="Int",'Personal File'!$C$14,IF(C30="Wis",'Personal File'!$C$15,IF(C30="Cha",'Personal File'!$C$16))))))</f>
        <v>+7</v>
      </c>
      <c r="E30" s="108" t="str">
        <f t="shared" si="4"/>
        <v>Cha (+7)</v>
      </c>
      <c r="F30" s="394" t="s">
        <v>64</v>
      </c>
      <c r="G30" s="394">
        <f t="shared" si="1"/>
        <v>7</v>
      </c>
      <c r="H30" s="81">
        <f t="shared" ca="1" si="6"/>
        <v>9</v>
      </c>
      <c r="I30" s="97">
        <f t="shared" ca="1" si="7"/>
        <v>16</v>
      </c>
      <c r="J30" s="98"/>
    </row>
    <row r="31" spans="1:10" ht="16.8" x14ac:dyDescent="0.3">
      <c r="A31" s="154" t="s">
        <v>125</v>
      </c>
      <c r="B31" s="155">
        <v>0</v>
      </c>
      <c r="C31" s="156" t="s">
        <v>35</v>
      </c>
      <c r="D31" s="157">
        <f>IF(C31="Str",'Personal File'!$C$11,IF(C31="Dex",'Personal File'!$C$12,IF(C31="Con",'Personal File'!$C$13,IF(C31="Int",'Personal File'!$C$14,IF(C31="Wis",'Personal File'!$C$15,IF(C31="Cha",'Personal File'!$C$16))))))</f>
        <v>-1</v>
      </c>
      <c r="E31" s="158" t="str">
        <f t="shared" ref="E31" si="9">CONCATENATE(C31," (",D31,")")</f>
        <v>Wis (-1)</v>
      </c>
      <c r="F31" s="396" t="s">
        <v>64</v>
      </c>
      <c r="G31" s="417">
        <f t="shared" si="1"/>
        <v>-1</v>
      </c>
      <c r="H31" s="81">
        <f t="shared" ca="1" si="6"/>
        <v>9</v>
      </c>
      <c r="I31" s="159">
        <f t="shared" ca="1" si="7"/>
        <v>8</v>
      </c>
      <c r="J31" s="160"/>
    </row>
    <row r="32" spans="1:10" ht="16.8" x14ac:dyDescent="0.3">
      <c r="A32" s="100" t="s">
        <v>22</v>
      </c>
      <c r="B32" s="78">
        <v>0</v>
      </c>
      <c r="C32" s="101" t="s">
        <v>36</v>
      </c>
      <c r="D32" s="102" t="str">
        <f>IF(C32="Str",'Personal File'!$C$11,IF(C32="Dex",'Personal File'!$C$12,IF(C32="Con",'Personal File'!$C$13,IF(C32="Int",'Personal File'!$C$14,IF(C32="Wis",'Personal File'!$C$15,IF(C32="Cha",'Personal File'!$C$16))))))</f>
        <v>+6</v>
      </c>
      <c r="E32" s="85" t="str">
        <f t="shared" si="4"/>
        <v>Dex (+6)</v>
      </c>
      <c r="F32" s="394" t="s">
        <v>64</v>
      </c>
      <c r="G32" s="394">
        <f t="shared" si="1"/>
        <v>6</v>
      </c>
      <c r="H32" s="81">
        <f t="shared" ca="1" si="6"/>
        <v>1</v>
      </c>
      <c r="I32" s="97">
        <f t="shared" ca="1" si="7"/>
        <v>7</v>
      </c>
      <c r="J32" s="98"/>
    </row>
    <row r="33" spans="1:10" ht="16.8" x14ac:dyDescent="0.3">
      <c r="A33" s="93" t="s">
        <v>23</v>
      </c>
      <c r="B33" s="78">
        <v>0</v>
      </c>
      <c r="C33" s="94" t="s">
        <v>34</v>
      </c>
      <c r="D33" s="95" t="str">
        <f>IF(C33="Str",'Personal File'!$C$11,IF(C33="Dex",'Personal File'!$C$12,IF(C33="Con",'Personal File'!$C$13,IF(C33="Int",'Personal File'!$C$14,IF(C33="Wis",'Personal File'!$C$15,IF(C33="Cha",'Personal File'!$C$16))))))</f>
        <v>+2</v>
      </c>
      <c r="E33" s="96" t="str">
        <f t="shared" si="4"/>
        <v>Int (+2)</v>
      </c>
      <c r="F33" s="394" t="s">
        <v>64</v>
      </c>
      <c r="G33" s="394">
        <f t="shared" si="1"/>
        <v>2</v>
      </c>
      <c r="H33" s="81">
        <f t="shared" ca="1" si="6"/>
        <v>14</v>
      </c>
      <c r="I33" s="97">
        <f t="shared" ca="1" si="7"/>
        <v>16</v>
      </c>
      <c r="J33" s="98"/>
    </row>
    <row r="34" spans="1:10" ht="16.8" x14ac:dyDescent="0.3">
      <c r="A34" s="142" t="s">
        <v>57</v>
      </c>
      <c r="B34" s="78">
        <v>0</v>
      </c>
      <c r="C34" s="143" t="s">
        <v>35</v>
      </c>
      <c r="D34" s="144">
        <f>IF(C34="Str",'Personal File'!$C$11,IF(C34="Dex",'Personal File'!$C$12,IF(C34="Con",'Personal File'!$C$13,IF(C34="Int",'Personal File'!$C$14,IF(C34="Wis",'Personal File'!$C$15,IF(C34="Cha",'Personal File'!$C$16))))))</f>
        <v>-1</v>
      </c>
      <c r="E34" s="145" t="str">
        <f t="shared" si="4"/>
        <v>Wis (-1)</v>
      </c>
      <c r="F34" s="394" t="s">
        <v>64</v>
      </c>
      <c r="G34" s="394">
        <f t="shared" si="1"/>
        <v>-1</v>
      </c>
      <c r="H34" s="81">
        <f t="shared" ca="1" si="6"/>
        <v>4</v>
      </c>
      <c r="I34" s="97">
        <f t="shared" ca="1" si="7"/>
        <v>3</v>
      </c>
      <c r="J34" s="98"/>
    </row>
    <row r="35" spans="1:10" ht="16.8" x14ac:dyDescent="0.3">
      <c r="A35" s="161" t="s">
        <v>90</v>
      </c>
      <c r="B35" s="123">
        <v>0</v>
      </c>
      <c r="C35" s="162" t="s">
        <v>36</v>
      </c>
      <c r="D35" s="163" t="str">
        <f>IF(C35="Str",'Personal File'!$C$11,IF(C35="Dex",'Personal File'!$C$12,IF(C35="Con",'Personal File'!$C$13,IF(C35="Int",'Personal File'!$C$14,IF(C35="Wis",'Personal File'!$C$15,IF(C35="Cha",'Personal File'!$C$16))))))</f>
        <v>+6</v>
      </c>
      <c r="E35" s="164" t="str">
        <f t="shared" si="4"/>
        <v>Dex (+6)</v>
      </c>
      <c r="F35" s="396" t="s">
        <v>64</v>
      </c>
      <c r="G35" s="396">
        <f t="shared" si="1"/>
        <v>6</v>
      </c>
      <c r="H35" s="81">
        <f t="shared" ca="1" si="6"/>
        <v>14</v>
      </c>
      <c r="I35" s="127">
        <f t="shared" ca="1" si="7"/>
        <v>20</v>
      </c>
      <c r="J35" s="128"/>
    </row>
    <row r="36" spans="1:10" ht="16.8" x14ac:dyDescent="0.3">
      <c r="A36" s="122" t="s">
        <v>88</v>
      </c>
      <c r="B36" s="123">
        <v>0</v>
      </c>
      <c r="C36" s="124" t="s">
        <v>34</v>
      </c>
      <c r="D36" s="125" t="str">
        <f>IF(C36="Str",'Personal File'!$C$11,IF(C36="Dex",'Personal File'!$C$12,IF(C36="Con",'Personal File'!$C$13,IF(C36="Int",'Personal File'!$C$14,IF(C36="Wis",'Personal File'!$C$15,IF(C36="Cha",'Personal File'!$C$16))))))</f>
        <v>+2</v>
      </c>
      <c r="E36" s="126" t="str">
        <f t="shared" si="4"/>
        <v>Int (+2)</v>
      </c>
      <c r="F36" s="396" t="s">
        <v>64</v>
      </c>
      <c r="G36" s="396">
        <f t="shared" si="1"/>
        <v>2</v>
      </c>
      <c r="H36" s="81">
        <f t="shared" ca="1" si="6"/>
        <v>7</v>
      </c>
      <c r="I36" s="127">
        <f t="shared" ca="1" si="7"/>
        <v>9</v>
      </c>
      <c r="J36" s="165"/>
    </row>
    <row r="37" spans="1:10" ht="16.8" x14ac:dyDescent="0.3">
      <c r="A37" s="122" t="s">
        <v>58</v>
      </c>
      <c r="B37" s="123">
        <v>0</v>
      </c>
      <c r="C37" s="124" t="s">
        <v>34</v>
      </c>
      <c r="D37" s="125" t="str">
        <f>IF(C37="Str",'Personal File'!$C$11,IF(C37="Dex",'Personal File'!$C$12,IF(C37="Con",'Personal File'!$C$13,IF(C37="Int",'Personal File'!$C$14,IF(C37="Wis",'Personal File'!$C$15,IF(C37="Cha",'Personal File'!$C$16))))))</f>
        <v>+2</v>
      </c>
      <c r="E37" s="126" t="str">
        <f t="shared" si="4"/>
        <v>Int (+2)</v>
      </c>
      <c r="F37" s="396" t="s">
        <v>64</v>
      </c>
      <c r="G37" s="396">
        <f t="shared" si="1"/>
        <v>2</v>
      </c>
      <c r="H37" s="81">
        <f t="shared" ca="1" si="6"/>
        <v>10</v>
      </c>
      <c r="I37" s="127">
        <f t="shared" ca="1" si="7"/>
        <v>12</v>
      </c>
      <c r="J37" s="165"/>
    </row>
    <row r="38" spans="1:10" ht="16.8" x14ac:dyDescent="0.3">
      <c r="A38" s="150" t="s">
        <v>59</v>
      </c>
      <c r="B38" s="116">
        <v>12</v>
      </c>
      <c r="C38" s="151" t="s">
        <v>35</v>
      </c>
      <c r="D38" s="152">
        <f>IF(C38="Str",'Personal File'!$C$11,IF(C38="Dex",'Personal File'!$C$12,IF(C38="Con",'Personal File'!$C$13,IF(C38="Int",'Personal File'!$C$14,IF(C38="Wis",'Personal File'!$C$15,IF(C38="Cha",'Personal File'!$C$16))))))</f>
        <v>-1</v>
      </c>
      <c r="E38" s="153" t="str">
        <f t="shared" si="4"/>
        <v>Wis (-1)</v>
      </c>
      <c r="F38" s="395" t="s">
        <v>204</v>
      </c>
      <c r="G38" s="395">
        <f t="shared" si="1"/>
        <v>19</v>
      </c>
      <c r="H38" s="81">
        <f t="shared" ca="1" si="6"/>
        <v>15</v>
      </c>
      <c r="I38" s="120">
        <f t="shared" ca="1" si="7"/>
        <v>34</v>
      </c>
      <c r="J38" s="121"/>
    </row>
    <row r="39" spans="1:10" ht="16.8" x14ac:dyDescent="0.3">
      <c r="A39" s="142" t="s">
        <v>91</v>
      </c>
      <c r="B39" s="78">
        <v>0</v>
      </c>
      <c r="C39" s="143" t="s">
        <v>35</v>
      </c>
      <c r="D39" s="144">
        <f>IF(C39="Str",'Personal File'!$C$11,IF(C39="Dex",'Personal File'!$C$12,IF(C39="Con",'Personal File'!$C$13,IF(C39="Int",'Personal File'!$C$14,IF(C39="Wis",'Personal File'!$C$15,IF(C39="Cha",'Personal File'!$C$16))))))</f>
        <v>-1</v>
      </c>
      <c r="E39" s="145" t="str">
        <f t="shared" si="4"/>
        <v>Wis (-1)</v>
      </c>
      <c r="F39" s="394" t="s">
        <v>64</v>
      </c>
      <c r="G39" s="394">
        <f t="shared" si="1"/>
        <v>-1</v>
      </c>
      <c r="H39" s="81">
        <f t="shared" ca="1" si="6"/>
        <v>16</v>
      </c>
      <c r="I39" s="97">
        <f t="shared" ca="1" si="7"/>
        <v>15</v>
      </c>
      <c r="J39" s="98"/>
    </row>
    <row r="40" spans="1:10" ht="16.8" x14ac:dyDescent="0.3">
      <c r="A40" s="110" t="s">
        <v>24</v>
      </c>
      <c r="B40" s="78">
        <v>0</v>
      </c>
      <c r="C40" s="111" t="s">
        <v>37</v>
      </c>
      <c r="D40" s="112" t="str">
        <f>IF(C40="Str",'Personal File'!$C$11,IF(C40="Dex",'Personal File'!$C$12,IF(C40="Con",'Personal File'!$C$13,IF(C40="Int",'Personal File'!$C$14,IF(C40="Wis",'Personal File'!$C$15,IF(C40="Cha",'Personal File'!$C$16))))))</f>
        <v>+2</v>
      </c>
      <c r="E40" s="113" t="str">
        <f t="shared" si="4"/>
        <v>Str (+2)</v>
      </c>
      <c r="F40" s="394" t="s">
        <v>64</v>
      </c>
      <c r="G40" s="394">
        <f t="shared" si="1"/>
        <v>2</v>
      </c>
      <c r="H40" s="81">
        <f t="shared" ca="1" si="6"/>
        <v>11</v>
      </c>
      <c r="I40" s="97">
        <f t="shared" ca="1" si="7"/>
        <v>13</v>
      </c>
      <c r="J40" s="98"/>
    </row>
    <row r="41" spans="1:10" ht="16.8" x14ac:dyDescent="0.3">
      <c r="A41" s="146" t="s">
        <v>60</v>
      </c>
      <c r="B41" s="116">
        <v>6</v>
      </c>
      <c r="C41" s="147" t="s">
        <v>36</v>
      </c>
      <c r="D41" s="148" t="str">
        <f>IF(C41="Str",'Personal File'!$C$11,IF(C41="Dex",'Personal File'!$C$12,IF(C41="Con",'Personal File'!$C$13,IF(C41="Int",'Personal File'!$C$14,IF(C41="Wis",'Personal File'!$C$15,IF(C41="Cha",'Personal File'!$C$16))))))</f>
        <v>+6</v>
      </c>
      <c r="E41" s="149" t="str">
        <f t="shared" si="4"/>
        <v>Dex (+6)</v>
      </c>
      <c r="F41" s="395">
        <v>6</v>
      </c>
      <c r="G41" s="395">
        <f t="shared" si="1"/>
        <v>18</v>
      </c>
      <c r="H41" s="81">
        <f t="shared" ca="1" si="6"/>
        <v>10</v>
      </c>
      <c r="I41" s="120">
        <f t="shared" ca="1" si="7"/>
        <v>28</v>
      </c>
      <c r="J41" s="121" t="s">
        <v>205</v>
      </c>
    </row>
    <row r="42" spans="1:10" ht="16.8" x14ac:dyDescent="0.3">
      <c r="A42" s="134" t="s">
        <v>61</v>
      </c>
      <c r="B42" s="116">
        <v>11</v>
      </c>
      <c r="C42" s="135" t="s">
        <v>32</v>
      </c>
      <c r="D42" s="136" t="str">
        <f>IF(C42="Str",'Personal File'!$C$11,IF(C42="Dex",'Personal File'!$C$12,IF(C42="Con",'Personal File'!$C$13,IF(C42="Int",'Personal File'!$C$14,IF(C42="Wis",'Personal File'!$C$15,IF(C42="Cha",'Personal File'!$C$16))))))</f>
        <v>+7</v>
      </c>
      <c r="E42" s="137" t="str">
        <f t="shared" si="4"/>
        <v>Cha (+7)</v>
      </c>
      <c r="F42" s="395" t="s">
        <v>64</v>
      </c>
      <c r="G42" s="395">
        <f t="shared" si="1"/>
        <v>18</v>
      </c>
      <c r="H42" s="81">
        <f t="shared" ca="1" si="6"/>
        <v>19</v>
      </c>
      <c r="I42" s="120">
        <f t="shared" ca="1" si="7"/>
        <v>37</v>
      </c>
      <c r="J42" s="121"/>
    </row>
    <row r="43" spans="1:10" ht="17.399999999999999" thickBot="1" x14ac:dyDescent="0.35">
      <c r="A43" s="166" t="s">
        <v>62</v>
      </c>
      <c r="B43" s="167">
        <v>0</v>
      </c>
      <c r="C43" s="168" t="s">
        <v>36</v>
      </c>
      <c r="D43" s="169" t="str">
        <f>IF(C43="Str",'Personal File'!$C$11,IF(C43="Dex",'Personal File'!$C$12,IF(C43="Con",'Personal File'!$C$13,IF(C43="Int",'Personal File'!$C$14,IF(C43="Wis",'Personal File'!$C$15,IF(C43="Cha",'Personal File'!$C$16))))))</f>
        <v>+6</v>
      </c>
      <c r="E43" s="170" t="str">
        <f t="shared" si="4"/>
        <v>Dex (+6)</v>
      </c>
      <c r="F43" s="397" t="s">
        <v>64</v>
      </c>
      <c r="G43" s="397">
        <f t="shared" si="1"/>
        <v>6</v>
      </c>
      <c r="H43" s="172">
        <f t="shared" ca="1" si="6"/>
        <v>11</v>
      </c>
      <c r="I43" s="171">
        <f t="shared" ca="1" si="7"/>
        <v>17</v>
      </c>
      <c r="J43" s="173"/>
    </row>
    <row r="44" spans="1:10" ht="16.2" thickTop="1" x14ac:dyDescent="0.3">
      <c r="B44" s="174">
        <f>SUM(B6:B43)</f>
        <v>112</v>
      </c>
      <c r="E44" s="324">
        <f>SUM(E45:E58)</f>
        <v>112</v>
      </c>
    </row>
    <row r="45" spans="1:10" x14ac:dyDescent="0.3">
      <c r="B45" s="174"/>
      <c r="E45" s="326">
        <f>4*(8+'Personal File'!$C$14)</f>
        <v>40</v>
      </c>
      <c r="F45" s="176" t="s">
        <v>126</v>
      </c>
    </row>
    <row r="46" spans="1:10" x14ac:dyDescent="0.3">
      <c r="E46" s="326">
        <f>8+'Personal File'!$C$14</f>
        <v>10</v>
      </c>
      <c r="F46" s="176" t="s">
        <v>127</v>
      </c>
    </row>
    <row r="47" spans="1:10" x14ac:dyDescent="0.3">
      <c r="E47" s="325">
        <f>2+'Personal File'!$C$14</f>
        <v>4</v>
      </c>
      <c r="F47" s="176" t="s">
        <v>128</v>
      </c>
    </row>
    <row r="48" spans="1:10" x14ac:dyDescent="0.3">
      <c r="E48" s="325">
        <f>2+'Personal File'!$C$14</f>
        <v>4</v>
      </c>
      <c r="F48" s="176" t="s">
        <v>166</v>
      </c>
    </row>
    <row r="49" spans="5:6" x14ac:dyDescent="0.3">
      <c r="E49" s="326">
        <f>8+'Personal File'!$C$14</f>
        <v>10</v>
      </c>
      <c r="F49" s="176" t="s">
        <v>206</v>
      </c>
    </row>
    <row r="50" spans="5:6" x14ac:dyDescent="0.3">
      <c r="E50" s="326">
        <f>8+'Personal File'!$C$14</f>
        <v>10</v>
      </c>
      <c r="F50" s="176" t="s">
        <v>216</v>
      </c>
    </row>
    <row r="51" spans="5:6" x14ac:dyDescent="0.3">
      <c r="E51" s="325">
        <f>2+'Personal File'!$C$14</f>
        <v>4</v>
      </c>
      <c r="F51" s="176" t="s">
        <v>236</v>
      </c>
    </row>
    <row r="52" spans="5:6" x14ac:dyDescent="0.3">
      <c r="E52" s="326">
        <f>8+'Personal File'!$C$14</f>
        <v>10</v>
      </c>
      <c r="F52" s="176" t="s">
        <v>127</v>
      </c>
    </row>
    <row r="53" spans="5:6" x14ac:dyDescent="0.3">
      <c r="E53" s="326">
        <v>0</v>
      </c>
      <c r="F53" s="176" t="s">
        <v>256</v>
      </c>
    </row>
    <row r="54" spans="5:6" x14ac:dyDescent="0.3">
      <c r="E54" s="326">
        <f>8+'Personal File'!$C$14</f>
        <v>10</v>
      </c>
      <c r="F54" s="176" t="s">
        <v>257</v>
      </c>
    </row>
    <row r="55" spans="5:6" x14ac:dyDescent="0.3">
      <c r="E55" s="326">
        <v>0</v>
      </c>
      <c r="F55" s="176" t="s">
        <v>258</v>
      </c>
    </row>
    <row r="56" spans="5:6" x14ac:dyDescent="0.3">
      <c r="E56" s="326">
        <f>8+'Personal File'!$C$14</f>
        <v>10</v>
      </c>
      <c r="F56" s="176" t="s">
        <v>259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showGridLines="0" workbookViewId="0">
      <pane ySplit="2" topLeftCell="A3" activePane="bottomLeft" state="frozen"/>
      <selection pane="bottomLeft" activeCell="A3" sqref="A3"/>
    </sheetView>
  </sheetViews>
  <sheetFormatPr defaultColWidth="13" defaultRowHeight="15.6" x14ac:dyDescent="0.3"/>
  <cols>
    <col min="1" max="1" width="17.19921875" style="303" bestFit="1" customWidth="1"/>
    <col min="2" max="2" width="7" style="303" bestFit="1" customWidth="1"/>
    <col min="3" max="3" width="5" style="304" bestFit="1" customWidth="1"/>
    <col min="4" max="4" width="11.19921875" style="304" bestFit="1" customWidth="1"/>
    <col min="5" max="5" width="7.19921875" style="304" bestFit="1" customWidth="1"/>
    <col min="6" max="6" width="8.59765625" style="304" bestFit="1" customWidth="1"/>
    <col min="7" max="7" width="9.5" style="304" bestFit="1" customWidth="1"/>
    <col min="8" max="8" width="23.8984375" style="303" customWidth="1"/>
    <col min="9" max="16384" width="13" style="281"/>
  </cols>
  <sheetData>
    <row r="1" spans="1:8" ht="23.4" thickBot="1" x14ac:dyDescent="0.35">
      <c r="A1" s="279" t="s">
        <v>140</v>
      </c>
      <c r="B1" s="280"/>
      <c r="C1" s="280"/>
      <c r="D1" s="280"/>
      <c r="E1" s="280"/>
      <c r="F1" s="280"/>
      <c r="G1" s="280"/>
      <c r="H1" s="280"/>
    </row>
    <row r="2" spans="1:8" s="286" customFormat="1" ht="31.2" x14ac:dyDescent="0.3">
      <c r="A2" s="282" t="s">
        <v>139</v>
      </c>
      <c r="B2" s="283" t="s">
        <v>138</v>
      </c>
      <c r="C2" s="283" t="s">
        <v>137</v>
      </c>
      <c r="D2" s="284" t="s">
        <v>168</v>
      </c>
      <c r="E2" s="284" t="s">
        <v>169</v>
      </c>
      <c r="F2" s="283" t="s">
        <v>136</v>
      </c>
      <c r="G2" s="283" t="s">
        <v>135</v>
      </c>
      <c r="H2" s="285" t="s">
        <v>81</v>
      </c>
    </row>
    <row r="3" spans="1:8" s="286" customFormat="1" ht="16.8" x14ac:dyDescent="0.3">
      <c r="A3" s="287" t="s">
        <v>134</v>
      </c>
      <c r="B3" s="288" t="s">
        <v>133</v>
      </c>
      <c r="C3" s="289">
        <v>1</v>
      </c>
      <c r="D3" s="290" t="s">
        <v>171</v>
      </c>
      <c r="E3" s="290" t="s">
        <v>170</v>
      </c>
      <c r="F3" s="291" t="s">
        <v>180</v>
      </c>
      <c r="G3" s="291" t="s">
        <v>132</v>
      </c>
      <c r="H3" s="292" t="s">
        <v>240</v>
      </c>
    </row>
    <row r="4" spans="1:8" s="286" customFormat="1" ht="16.8" x14ac:dyDescent="0.3">
      <c r="A4" s="287" t="s">
        <v>167</v>
      </c>
      <c r="B4" s="288" t="s">
        <v>131</v>
      </c>
      <c r="C4" s="289">
        <v>2</v>
      </c>
      <c r="D4" s="290" t="s">
        <v>171</v>
      </c>
      <c r="E4" s="290" t="s">
        <v>170</v>
      </c>
      <c r="F4" s="291" t="s">
        <v>130</v>
      </c>
      <c r="G4" s="291" t="s">
        <v>129</v>
      </c>
      <c r="H4" s="292" t="s">
        <v>172</v>
      </c>
    </row>
    <row r="5" spans="1:8" s="286" customFormat="1" ht="17.399999999999999" thickBot="1" x14ac:dyDescent="0.35">
      <c r="A5" s="293" t="s">
        <v>209</v>
      </c>
      <c r="B5" s="294" t="s">
        <v>131</v>
      </c>
      <c r="C5" s="295">
        <v>1</v>
      </c>
      <c r="D5" s="296" t="s">
        <v>171</v>
      </c>
      <c r="E5" s="296" t="s">
        <v>170</v>
      </c>
      <c r="F5" s="297" t="s">
        <v>130</v>
      </c>
      <c r="G5" s="297" t="s">
        <v>129</v>
      </c>
      <c r="H5" s="298" t="s">
        <v>210</v>
      </c>
    </row>
    <row r="6" spans="1:8" ht="17.399999999999999" thickTop="1" x14ac:dyDescent="0.3">
      <c r="A6" s="299"/>
      <c r="B6" s="300"/>
      <c r="C6" s="301"/>
      <c r="D6" s="301"/>
      <c r="E6" s="301"/>
      <c r="F6" s="301"/>
      <c r="G6" s="301"/>
      <c r="H6" s="302"/>
    </row>
    <row r="7" spans="1:8" ht="16.8" x14ac:dyDescent="0.3">
      <c r="A7" s="299"/>
      <c r="B7" s="300"/>
      <c r="C7" s="301"/>
      <c r="D7" s="301"/>
      <c r="E7" s="301"/>
      <c r="F7" s="301"/>
      <c r="G7" s="301"/>
      <c r="H7" s="302"/>
    </row>
    <row r="8" spans="1:8" x14ac:dyDescent="0.3">
      <c r="A8" s="281"/>
      <c r="B8" s="281"/>
      <c r="C8" s="281"/>
      <c r="D8" s="281"/>
      <c r="E8" s="281"/>
      <c r="F8" s="281"/>
      <c r="G8" s="281"/>
      <c r="H8" s="281"/>
    </row>
    <row r="9" spans="1:8" x14ac:dyDescent="0.3">
      <c r="A9" s="281"/>
      <c r="B9" s="281"/>
      <c r="C9" s="281"/>
      <c r="D9" s="281"/>
      <c r="E9" s="281"/>
      <c r="F9" s="281"/>
      <c r="G9" s="281"/>
      <c r="H9" s="281"/>
    </row>
    <row r="10" spans="1:8" x14ac:dyDescent="0.3">
      <c r="A10" s="281"/>
      <c r="B10" s="281"/>
      <c r="C10" s="281"/>
      <c r="D10" s="281"/>
      <c r="E10" s="281"/>
      <c r="F10" s="281"/>
      <c r="G10" s="281"/>
      <c r="H10" s="281"/>
    </row>
    <row r="11" spans="1:8" x14ac:dyDescent="0.3">
      <c r="A11" s="281"/>
      <c r="B11" s="281"/>
      <c r="C11" s="281"/>
      <c r="D11" s="281"/>
      <c r="E11" s="281"/>
      <c r="F11" s="281"/>
      <c r="G11" s="281"/>
      <c r="H11" s="281"/>
    </row>
    <row r="12" spans="1:8" x14ac:dyDescent="0.3">
      <c r="A12" s="281"/>
      <c r="B12" s="281"/>
      <c r="C12" s="281"/>
      <c r="D12" s="281"/>
      <c r="E12" s="281"/>
      <c r="F12" s="281"/>
      <c r="G12" s="281"/>
      <c r="H12" s="281"/>
    </row>
    <row r="13" spans="1:8" x14ac:dyDescent="0.3">
      <c r="A13" s="281"/>
      <c r="B13" s="281"/>
      <c r="C13" s="281"/>
      <c r="D13" s="281"/>
      <c r="E13" s="281"/>
      <c r="F13" s="281"/>
      <c r="G13" s="281"/>
      <c r="H13" s="281"/>
    </row>
    <row r="14" spans="1:8" x14ac:dyDescent="0.3">
      <c r="A14" s="281"/>
      <c r="B14" s="281"/>
      <c r="C14" s="281"/>
      <c r="D14" s="281"/>
      <c r="E14" s="281"/>
      <c r="F14" s="281"/>
      <c r="G14" s="281"/>
      <c r="H14" s="281"/>
    </row>
    <row r="15" spans="1:8" x14ac:dyDescent="0.3">
      <c r="A15" s="281"/>
      <c r="B15" s="281"/>
      <c r="C15" s="281"/>
      <c r="D15" s="281"/>
      <c r="E15" s="281"/>
      <c r="F15" s="281"/>
      <c r="G15" s="281"/>
      <c r="H15" s="281"/>
    </row>
    <row r="16" spans="1:8" x14ac:dyDescent="0.3">
      <c r="A16" s="281"/>
      <c r="B16" s="281"/>
      <c r="C16" s="281"/>
      <c r="D16" s="281"/>
      <c r="E16" s="281"/>
      <c r="F16" s="281"/>
      <c r="G16" s="281"/>
      <c r="H16" s="281"/>
    </row>
    <row r="17" spans="1:8" x14ac:dyDescent="0.3">
      <c r="A17" s="281"/>
      <c r="B17" s="281"/>
      <c r="C17" s="281"/>
      <c r="D17" s="281"/>
      <c r="E17" s="281"/>
      <c r="F17" s="281"/>
      <c r="G17" s="281"/>
      <c r="H17" s="281"/>
    </row>
    <row r="18" spans="1:8" x14ac:dyDescent="0.3">
      <c r="A18" s="281"/>
      <c r="B18" s="281"/>
      <c r="C18" s="281"/>
      <c r="D18" s="281"/>
      <c r="E18" s="281"/>
      <c r="F18" s="281"/>
      <c r="G18" s="281"/>
      <c r="H18" s="281"/>
    </row>
    <row r="19" spans="1:8" x14ac:dyDescent="0.3">
      <c r="A19" s="281"/>
      <c r="B19" s="281"/>
      <c r="C19" s="281"/>
      <c r="D19" s="281"/>
      <c r="E19" s="281"/>
      <c r="F19" s="281"/>
      <c r="G19" s="281"/>
      <c r="H19" s="281"/>
    </row>
    <row r="20" spans="1:8" x14ac:dyDescent="0.3">
      <c r="A20" s="281"/>
      <c r="B20" s="281"/>
      <c r="C20" s="281"/>
      <c r="D20" s="281"/>
      <c r="E20" s="281"/>
      <c r="F20" s="281"/>
      <c r="G20" s="281"/>
    </row>
    <row r="21" spans="1:8" x14ac:dyDescent="0.3">
      <c r="A21" s="281"/>
      <c r="B21" s="281"/>
      <c r="C21" s="281"/>
      <c r="D21" s="281"/>
      <c r="E21" s="281"/>
      <c r="F21" s="281"/>
      <c r="G21" s="281"/>
    </row>
    <row r="22" spans="1:8" x14ac:dyDescent="0.3">
      <c r="A22" s="281"/>
      <c r="B22" s="281"/>
      <c r="C22" s="281"/>
      <c r="D22" s="281"/>
      <c r="E22" s="281"/>
      <c r="F22" s="281"/>
      <c r="G22" s="281"/>
    </row>
    <row r="23" spans="1:8" x14ac:dyDescent="0.3">
      <c r="A23" s="281"/>
      <c r="B23" s="281"/>
      <c r="C23" s="281"/>
    </row>
    <row r="24" spans="1:8" x14ac:dyDescent="0.3">
      <c r="A24" s="281"/>
      <c r="B24" s="281"/>
      <c r="C24" s="281"/>
    </row>
    <row r="25" spans="1:8" x14ac:dyDescent="0.3">
      <c r="A25" s="281"/>
      <c r="B25" s="281"/>
      <c r="C25" s="281"/>
    </row>
    <row r="26" spans="1:8" x14ac:dyDescent="0.3">
      <c r="A26" s="281"/>
      <c r="B26" s="281"/>
      <c r="C26" s="281"/>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showGridLines="0" zoomScaleNormal="100" workbookViewId="0"/>
  </sheetViews>
  <sheetFormatPr defaultColWidth="10.8984375" defaultRowHeight="16.8" x14ac:dyDescent="0.3"/>
  <cols>
    <col min="1" max="1" width="28" style="195" bestFit="1" customWidth="1"/>
    <col min="2" max="2" width="2.09765625" style="205" customWidth="1"/>
    <col min="3" max="3" width="28.3984375" style="177" bestFit="1" customWidth="1"/>
    <col min="4" max="4" width="2.5" style="178" customWidth="1"/>
    <col min="5" max="5" width="20.59765625" style="177" bestFit="1" customWidth="1"/>
    <col min="6" max="6" width="6.19921875" style="177" bestFit="1" customWidth="1"/>
    <col min="7" max="7" width="4.09765625" style="177" bestFit="1" customWidth="1"/>
    <col min="8" max="8" width="6.3984375" style="177" bestFit="1" customWidth="1"/>
    <col min="9" max="16384" width="10.8984375" style="177"/>
  </cols>
  <sheetData>
    <row r="1" spans="1:8" ht="24" thickTop="1" thickBot="1" x14ac:dyDescent="0.35">
      <c r="A1" s="328" t="s">
        <v>99</v>
      </c>
      <c r="B1" s="177"/>
      <c r="C1" s="328" t="s">
        <v>93</v>
      </c>
      <c r="E1" s="179" t="s">
        <v>155</v>
      </c>
      <c r="F1" s="180"/>
      <c r="G1" s="180"/>
      <c r="H1" s="181"/>
    </row>
    <row r="2" spans="1:8" ht="17.399999999999999" thickTop="1" x14ac:dyDescent="0.3">
      <c r="A2" s="182" t="s">
        <v>232</v>
      </c>
      <c r="B2" s="177"/>
      <c r="C2" s="183" t="s">
        <v>104</v>
      </c>
      <c r="E2" s="184" t="s">
        <v>139</v>
      </c>
      <c r="F2" s="185" t="s">
        <v>152</v>
      </c>
      <c r="G2" s="186" t="s">
        <v>153</v>
      </c>
      <c r="H2" s="187" t="s">
        <v>154</v>
      </c>
    </row>
    <row r="3" spans="1:8" x14ac:dyDescent="0.3">
      <c r="A3" s="310" t="s">
        <v>233</v>
      </c>
      <c r="B3" s="177"/>
      <c r="C3" s="183" t="s">
        <v>247</v>
      </c>
      <c r="E3" s="188" t="s">
        <v>156</v>
      </c>
      <c r="F3" s="189">
        <v>0</v>
      </c>
      <c r="G3" s="190">
        <f>10+F3+'Personal File'!$C$16</f>
        <v>17</v>
      </c>
      <c r="H3" s="191" t="s">
        <v>276</v>
      </c>
    </row>
    <row r="4" spans="1:8" x14ac:dyDescent="0.3">
      <c r="A4" s="310" t="s">
        <v>234</v>
      </c>
      <c r="B4" s="177"/>
      <c r="C4" s="182" t="s">
        <v>271</v>
      </c>
      <c r="E4" s="192" t="s">
        <v>157</v>
      </c>
      <c r="F4" s="78">
        <v>0</v>
      </c>
      <c r="G4" s="193">
        <f>10+F4+'Personal File'!$C$16</f>
        <v>17</v>
      </c>
      <c r="H4" s="194" t="s">
        <v>276</v>
      </c>
    </row>
    <row r="5" spans="1:8" ht="17.399999999999999" thickBot="1" x14ac:dyDescent="0.35">
      <c r="A5" s="413" t="s">
        <v>248</v>
      </c>
      <c r="B5" s="177"/>
      <c r="C5" s="412" t="s">
        <v>261</v>
      </c>
      <c r="E5" s="197" t="s">
        <v>158</v>
      </c>
      <c r="F5" s="167">
        <v>0</v>
      </c>
      <c r="G5" s="198">
        <f>10+F5+'Personal File'!$C$16</f>
        <v>17</v>
      </c>
      <c r="H5" s="199" t="s">
        <v>276</v>
      </c>
    </row>
    <row r="6" spans="1:8" ht="18" thickTop="1" thickBot="1" x14ac:dyDescent="0.35">
      <c r="A6" s="182" t="s">
        <v>280</v>
      </c>
      <c r="B6" s="177"/>
      <c r="C6" s="196" t="s">
        <v>105</v>
      </c>
    </row>
    <row r="7" spans="1:8" ht="18" thickTop="1" thickBot="1" x14ac:dyDescent="0.35">
      <c r="A7" s="182" t="s">
        <v>282</v>
      </c>
      <c r="B7" s="177"/>
      <c r="C7" s="195"/>
    </row>
    <row r="8" spans="1:8" ht="22.2" thickTop="1" thickBot="1" x14ac:dyDescent="0.35">
      <c r="A8" s="460" t="s">
        <v>283</v>
      </c>
      <c r="B8" s="177"/>
      <c r="C8" s="311" t="s">
        <v>199</v>
      </c>
    </row>
    <row r="9" spans="1:8" ht="18" thickTop="1" thickBot="1" x14ac:dyDescent="0.35">
      <c r="B9" s="177"/>
      <c r="C9" s="201" t="s">
        <v>200</v>
      </c>
    </row>
    <row r="10" spans="1:8" ht="22.2" thickTop="1" thickBot="1" x14ac:dyDescent="0.35">
      <c r="A10" s="329" t="s">
        <v>219</v>
      </c>
      <c r="B10" s="177"/>
      <c r="C10" s="202" t="s">
        <v>239</v>
      </c>
      <c r="D10" s="68" t="s">
        <v>281</v>
      </c>
    </row>
    <row r="11" spans="1:8" x14ac:dyDescent="0.3">
      <c r="A11" s="202" t="s">
        <v>95</v>
      </c>
      <c r="B11" s="177"/>
      <c r="C11" s="202" t="s">
        <v>217</v>
      </c>
      <c r="D11" s="68" t="s">
        <v>281</v>
      </c>
    </row>
    <row r="12" spans="1:8" x14ac:dyDescent="0.3">
      <c r="A12" s="200" t="s">
        <v>178</v>
      </c>
      <c r="C12" s="202" t="s">
        <v>262</v>
      </c>
      <c r="D12" s="177"/>
    </row>
    <row r="13" spans="1:8" x14ac:dyDescent="0.3">
      <c r="A13" s="202" t="s">
        <v>123</v>
      </c>
      <c r="C13" s="202" t="s">
        <v>263</v>
      </c>
    </row>
    <row r="14" spans="1:8" ht="17.399999999999999" thickBot="1" x14ac:dyDescent="0.35">
      <c r="A14" s="204" t="s">
        <v>142</v>
      </c>
      <c r="C14" s="202" t="s">
        <v>264</v>
      </c>
    </row>
    <row r="15" spans="1:8" ht="18" thickTop="1" thickBot="1" x14ac:dyDescent="0.35">
      <c r="C15" s="202" t="s">
        <v>265</v>
      </c>
    </row>
    <row r="16" spans="1:8" ht="22.2" thickTop="1" thickBot="1" x14ac:dyDescent="0.35">
      <c r="A16" s="327" t="s">
        <v>77</v>
      </c>
      <c r="C16" s="202" t="s">
        <v>266</v>
      </c>
    </row>
    <row r="17" spans="1:4" x14ac:dyDescent="0.3">
      <c r="A17" s="201" t="s">
        <v>122</v>
      </c>
      <c r="C17" s="202" t="s">
        <v>267</v>
      </c>
    </row>
    <row r="18" spans="1:4" x14ac:dyDescent="0.3">
      <c r="A18" s="202" t="s">
        <v>272</v>
      </c>
      <c r="C18" s="202" t="s">
        <v>268</v>
      </c>
      <c r="D18" s="68" t="s">
        <v>281</v>
      </c>
    </row>
    <row r="19" spans="1:4" ht="17.399999999999999" thickBot="1" x14ac:dyDescent="0.35">
      <c r="A19" s="203" t="s">
        <v>270</v>
      </c>
      <c r="C19" s="202" t="s">
        <v>218</v>
      </c>
    </row>
    <row r="20" spans="1:4" ht="17.399999999999999" thickTop="1" x14ac:dyDescent="0.3">
      <c r="C20" s="202" t="str">
        <f>CONCATENATE("Spell Resistance ",6+SUM('Personal File'!E4:E5))</f>
        <v>Spell Resistance 12</v>
      </c>
    </row>
    <row r="21" spans="1:4" ht="17.399999999999999" thickBot="1" x14ac:dyDescent="0.35">
      <c r="C21" s="312" t="s">
        <v>201</v>
      </c>
    </row>
    <row r="22" spans="1:4" ht="17.399999999999999" thickTop="1" x14ac:dyDescent="0.3"/>
  </sheetData>
  <sortState xmlns:xlrd2="http://schemas.microsoft.com/office/spreadsheetml/2017/richdata2" ref="A2:A6">
    <sortCondition ref="A2:A6"/>
  </sortState>
  <phoneticPr fontId="0" type="noConversion"/>
  <conditionalFormatting sqref="G3:H5">
    <cfRule type="cellIs" dxfId="4" priority="5"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9"/>
  <sheetViews>
    <sheetView showGridLines="0" zoomScaleNormal="100" workbookViewId="0"/>
  </sheetViews>
  <sheetFormatPr defaultColWidth="13" defaultRowHeight="15.6" x14ac:dyDescent="0.3"/>
  <cols>
    <col min="1" max="1" width="29.5" style="175" bestFit="1" customWidth="1"/>
    <col min="2" max="2" width="8.59765625" style="175" customWidth="1"/>
    <col min="3" max="3" width="6.59765625" style="175" bestFit="1" customWidth="1"/>
    <col min="4" max="4" width="7.5" style="175" customWidth="1"/>
    <col min="5" max="5" width="9" style="175" bestFit="1" customWidth="1"/>
    <col min="6" max="6" width="8.8984375" style="175" bestFit="1" customWidth="1"/>
    <col min="7" max="7" width="4.3984375" style="175" bestFit="1" customWidth="1"/>
    <col min="8" max="8" width="5.59765625" style="175" bestFit="1" customWidth="1"/>
    <col min="9" max="9" width="5.5" style="175" bestFit="1" customWidth="1"/>
    <col min="10" max="10" width="6.19921875" style="175" bestFit="1" customWidth="1"/>
    <col min="11" max="11" width="13.8984375" style="175" bestFit="1" customWidth="1"/>
    <col min="12" max="12" width="3" style="31" customWidth="1"/>
    <col min="13" max="13" width="6.3984375" style="31" bestFit="1" customWidth="1"/>
    <col min="14" max="16384" width="13" style="31"/>
  </cols>
  <sheetData>
    <row r="1" spans="1:13" ht="23.4" thickBot="1" x14ac:dyDescent="0.35">
      <c r="A1" s="206" t="s">
        <v>25</v>
      </c>
      <c r="B1" s="206"/>
      <c r="C1" s="206"/>
      <c r="D1" s="206"/>
      <c r="E1" s="206"/>
      <c r="F1" s="206"/>
      <c r="G1" s="206"/>
      <c r="H1" s="206"/>
      <c r="I1" s="206"/>
      <c r="J1" s="206"/>
      <c r="K1" s="206"/>
    </row>
    <row r="2" spans="1:13" ht="16.8" thickTop="1" thickBot="1" x14ac:dyDescent="0.35">
      <c r="A2" s="207" t="s">
        <v>6</v>
      </c>
      <c r="B2" s="208" t="s">
        <v>7</v>
      </c>
      <c r="C2" s="208" t="s">
        <v>28</v>
      </c>
      <c r="D2" s="208" t="s">
        <v>29</v>
      </c>
      <c r="E2" s="209" t="s">
        <v>69</v>
      </c>
      <c r="F2" s="208" t="s">
        <v>26</v>
      </c>
      <c r="G2" s="208" t="s">
        <v>30</v>
      </c>
      <c r="H2" s="210" t="s">
        <v>96</v>
      </c>
      <c r="I2" s="211" t="s">
        <v>118</v>
      </c>
      <c r="J2" s="210" t="s">
        <v>83</v>
      </c>
      <c r="K2" s="212" t="s">
        <v>81</v>
      </c>
      <c r="M2" s="213" t="s">
        <v>188</v>
      </c>
    </row>
    <row r="3" spans="1:13" x14ac:dyDescent="0.3">
      <c r="A3" s="448" t="s">
        <v>284</v>
      </c>
      <c r="B3" s="449" t="s">
        <v>285</v>
      </c>
      <c r="C3" s="450" t="s">
        <v>274</v>
      </c>
      <c r="D3" s="451" t="s">
        <v>108</v>
      </c>
      <c r="E3" s="451" t="s">
        <v>191</v>
      </c>
      <c r="F3" s="452" t="s">
        <v>275</v>
      </c>
      <c r="G3" s="453">
        <v>1</v>
      </c>
      <c r="H3" s="454" t="str">
        <f>CONCATENATE("+",RIGHT('Personal File'!$B$9,1)+RIGHT('Personal File'!$C$12)+D3)</f>
        <v>+16</v>
      </c>
      <c r="I3" s="455">
        <f t="shared" ref="I3:I5" ca="1" si="0">RANDBETWEEN(1,20)</f>
        <v>1</v>
      </c>
      <c r="J3" s="456">
        <f t="shared" ref="J3:J4" ca="1" si="1">I3+H3</f>
        <v>17</v>
      </c>
      <c r="K3" s="458" t="s">
        <v>291</v>
      </c>
      <c r="M3" s="319">
        <v>16000</v>
      </c>
    </row>
    <row r="4" spans="1:13" x14ac:dyDescent="0.3">
      <c r="A4" s="378" t="s">
        <v>249</v>
      </c>
      <c r="B4" s="414" t="s">
        <v>285</v>
      </c>
      <c r="C4" s="457" t="s">
        <v>274</v>
      </c>
      <c r="D4" s="416">
        <v>2</v>
      </c>
      <c r="E4" s="372" t="s">
        <v>191</v>
      </c>
      <c r="F4" s="373" t="s">
        <v>275</v>
      </c>
      <c r="G4" s="374" t="s">
        <v>141</v>
      </c>
      <c r="H4" s="415" t="str">
        <f>CONCATENATE("+",RIGHT('Personal File'!$B$9,1)+RIGHT('Personal File'!$C$12)+D3-5)</f>
        <v>+11</v>
      </c>
      <c r="I4" s="385">
        <f t="shared" ca="1" si="0"/>
        <v>14</v>
      </c>
      <c r="J4" s="375">
        <f t="shared" ca="1" si="1"/>
        <v>25</v>
      </c>
      <c r="K4" s="376"/>
      <c r="M4" s="377" t="s">
        <v>141</v>
      </c>
    </row>
    <row r="5" spans="1:13" x14ac:dyDescent="0.3">
      <c r="A5" s="378" t="s">
        <v>288</v>
      </c>
      <c r="B5" s="414" t="s">
        <v>285</v>
      </c>
      <c r="C5" s="457" t="s">
        <v>274</v>
      </c>
      <c r="D5" s="416">
        <v>2</v>
      </c>
      <c r="E5" s="372" t="s">
        <v>191</v>
      </c>
      <c r="F5" s="373" t="s">
        <v>275</v>
      </c>
      <c r="G5" s="374" t="s">
        <v>141</v>
      </c>
      <c r="H5" s="415" t="str">
        <f>CONCATENATE("+",RIGHT('Personal File'!$B$9,1)+RIGHT('Personal File'!$C$12)+D4)</f>
        <v>+16</v>
      </c>
      <c r="I5" s="385">
        <f t="shared" ca="1" si="0"/>
        <v>11</v>
      </c>
      <c r="J5" s="375">
        <f t="shared" ref="J5" ca="1" si="2">I5+H5</f>
        <v>27</v>
      </c>
      <c r="K5" s="376"/>
      <c r="M5" s="380" t="s">
        <v>141</v>
      </c>
    </row>
    <row r="6" spans="1:13" x14ac:dyDescent="0.3">
      <c r="A6" s="379" t="s">
        <v>197</v>
      </c>
      <c r="B6" s="1" t="s">
        <v>189</v>
      </c>
      <c r="C6" s="2">
        <f>'Personal File'!$C$11+1</f>
        <v>3</v>
      </c>
      <c r="D6" s="3" t="s">
        <v>97</v>
      </c>
      <c r="E6" s="3" t="s">
        <v>146</v>
      </c>
      <c r="F6" s="4" t="s">
        <v>147</v>
      </c>
      <c r="G6" s="5">
        <v>1</v>
      </c>
      <c r="H6" s="306" t="str">
        <f>CONCATENATE("+",RIGHT('Personal File'!$B$9,1)+RIGHT('Personal File'!$C$12)+D6)</f>
        <v>+15</v>
      </c>
      <c r="I6" s="12">
        <f t="shared" ref="I6:I8" ca="1" si="3">RANDBETWEEN(1,20)</f>
        <v>19</v>
      </c>
      <c r="J6" s="13">
        <f t="shared" ref="J6:J7" ca="1" si="4">I6+H6</f>
        <v>34</v>
      </c>
      <c r="K6" s="23"/>
      <c r="M6" s="377">
        <v>2300</v>
      </c>
    </row>
    <row r="7" spans="1:13" x14ac:dyDescent="0.3">
      <c r="A7" s="378" t="s">
        <v>249</v>
      </c>
      <c r="B7" s="414" t="s">
        <v>189</v>
      </c>
      <c r="C7" s="371">
        <v>1</v>
      </c>
      <c r="D7" s="372" t="s">
        <v>97</v>
      </c>
      <c r="E7" s="372" t="s">
        <v>146</v>
      </c>
      <c r="F7" s="373" t="s">
        <v>147</v>
      </c>
      <c r="G7" s="374" t="s">
        <v>141</v>
      </c>
      <c r="H7" s="415" t="str">
        <f>CONCATENATE("+",RIGHT('Personal File'!$B$9,1)+RIGHT('Personal File'!$C$12)+D7-5)</f>
        <v>+10</v>
      </c>
      <c r="I7" s="385">
        <f t="shared" ca="1" si="3"/>
        <v>19</v>
      </c>
      <c r="J7" s="375">
        <f t="shared" ca="1" si="4"/>
        <v>29</v>
      </c>
      <c r="K7" s="376"/>
      <c r="M7" s="377" t="s">
        <v>141</v>
      </c>
    </row>
    <row r="8" spans="1:13" x14ac:dyDescent="0.3">
      <c r="A8" s="378" t="s">
        <v>286</v>
      </c>
      <c r="B8" s="414" t="s">
        <v>189</v>
      </c>
      <c r="C8" s="371">
        <v>1</v>
      </c>
      <c r="D8" s="372" t="s">
        <v>97</v>
      </c>
      <c r="E8" s="372" t="s">
        <v>146</v>
      </c>
      <c r="F8" s="373" t="s">
        <v>147</v>
      </c>
      <c r="G8" s="374" t="s">
        <v>141</v>
      </c>
      <c r="H8" s="415" t="str">
        <f>CONCATENATE("+",RIGHT('Personal File'!$B$9,1)+RIGHT('Personal File'!$C$12)+D8)</f>
        <v>+15</v>
      </c>
      <c r="I8" s="385">
        <f t="shared" ca="1" si="3"/>
        <v>18</v>
      </c>
      <c r="J8" s="375">
        <f t="shared" ref="J8" ca="1" si="5">I8+H8</f>
        <v>33</v>
      </c>
      <c r="K8" s="376"/>
      <c r="M8" s="377" t="s">
        <v>141</v>
      </c>
    </row>
    <row r="9" spans="1:13" x14ac:dyDescent="0.3">
      <c r="A9" s="466" t="s">
        <v>251</v>
      </c>
      <c r="B9" s="467" t="s">
        <v>250</v>
      </c>
      <c r="C9" s="468" t="s">
        <v>141</v>
      </c>
      <c r="D9" s="469" t="s">
        <v>141</v>
      </c>
      <c r="E9" s="469" t="s">
        <v>141</v>
      </c>
      <c r="F9" s="470" t="s">
        <v>252</v>
      </c>
      <c r="G9" s="471" t="s">
        <v>141</v>
      </c>
      <c r="H9" s="472" t="s">
        <v>141</v>
      </c>
      <c r="I9" s="473" t="s">
        <v>141</v>
      </c>
      <c r="J9" s="474" t="s">
        <v>141</v>
      </c>
      <c r="K9" s="459"/>
      <c r="M9" s="380">
        <v>5000</v>
      </c>
    </row>
    <row r="10" spans="1:13" x14ac:dyDescent="0.3">
      <c r="A10" s="378" t="s">
        <v>207</v>
      </c>
      <c r="B10" s="414" t="s">
        <v>190</v>
      </c>
      <c r="C10" s="457" t="s">
        <v>162</v>
      </c>
      <c r="D10" s="464" t="s">
        <v>97</v>
      </c>
      <c r="E10" s="464" t="s">
        <v>160</v>
      </c>
      <c r="F10" s="373" t="s">
        <v>208</v>
      </c>
      <c r="G10" s="374">
        <v>1.5</v>
      </c>
      <c r="H10" s="415" t="str">
        <f>CONCATENATE("+",RIGHT('Personal File'!$B$9,1)+RIGHT('Personal File'!$C$12)+D10)</f>
        <v>+15</v>
      </c>
      <c r="I10" s="385">
        <f t="shared" ref="I10:I12" ca="1" si="6">RANDBETWEEN(1,20)</f>
        <v>2</v>
      </c>
      <c r="J10" s="375">
        <f t="shared" ref="J10:J13" ca="1" si="7">I10+H10</f>
        <v>17</v>
      </c>
      <c r="K10" s="465"/>
      <c r="M10" s="486">
        <v>300</v>
      </c>
    </row>
    <row r="11" spans="1:13" x14ac:dyDescent="0.3">
      <c r="A11" s="378" t="s">
        <v>249</v>
      </c>
      <c r="B11" s="414" t="s">
        <v>190</v>
      </c>
      <c r="C11" s="457" t="s">
        <v>162</v>
      </c>
      <c r="D11" s="416" t="s">
        <v>97</v>
      </c>
      <c r="E11" s="372" t="s">
        <v>160</v>
      </c>
      <c r="F11" s="373" t="s">
        <v>208</v>
      </c>
      <c r="G11" s="374">
        <v>1.5</v>
      </c>
      <c r="H11" s="415" t="str">
        <f>CONCATENATE("+",RIGHT('Personal File'!$B$9,1)+RIGHT('Personal File'!$C$12)+D11-5)</f>
        <v>+10</v>
      </c>
      <c r="I11" s="385">
        <f t="shared" ca="1" si="6"/>
        <v>10</v>
      </c>
      <c r="J11" s="375">
        <f t="shared" ref="J11:J12" ca="1" si="8">I11+H11</f>
        <v>20</v>
      </c>
      <c r="K11" s="376"/>
      <c r="M11" s="485" t="s">
        <v>141</v>
      </c>
    </row>
    <row r="12" spans="1:13" x14ac:dyDescent="0.3">
      <c r="A12" s="466" t="s">
        <v>289</v>
      </c>
      <c r="B12" s="488" t="s">
        <v>190</v>
      </c>
      <c r="C12" s="489" t="s">
        <v>162</v>
      </c>
      <c r="D12" s="490" t="s">
        <v>97</v>
      </c>
      <c r="E12" s="469" t="s">
        <v>160</v>
      </c>
      <c r="F12" s="470" t="s">
        <v>208</v>
      </c>
      <c r="G12" s="471">
        <v>1.5</v>
      </c>
      <c r="H12" s="491" t="str">
        <f>CONCATENATE("+",RIGHT('Personal File'!$B$9,1)+RIGHT('Personal File'!$C$12)+D12)</f>
        <v>+15</v>
      </c>
      <c r="I12" s="473">
        <f t="shared" ca="1" si="6"/>
        <v>9</v>
      </c>
      <c r="J12" s="474">
        <f t="shared" ca="1" si="8"/>
        <v>24</v>
      </c>
      <c r="K12" s="459"/>
      <c r="M12" s="487" t="s">
        <v>141</v>
      </c>
    </row>
    <row r="13" spans="1:13" x14ac:dyDescent="0.3">
      <c r="A13" s="475" t="s">
        <v>198</v>
      </c>
      <c r="B13" s="476" t="s">
        <v>190</v>
      </c>
      <c r="C13" s="477">
        <v>1</v>
      </c>
      <c r="D13" s="478" t="s">
        <v>64</v>
      </c>
      <c r="E13" s="478" t="s">
        <v>191</v>
      </c>
      <c r="F13" s="479" t="s">
        <v>192</v>
      </c>
      <c r="G13" s="480">
        <v>0</v>
      </c>
      <c r="H13" s="481" t="str">
        <f>CONCATENATE("+",RIGHT('Personal File'!$B$9,1)+RIGHT('Personal File'!$C$12)+D13)</f>
        <v>+14</v>
      </c>
      <c r="I13" s="385">
        <f ca="1">RANDBETWEEN(1,20)</f>
        <v>11</v>
      </c>
      <c r="J13" s="482">
        <f t="shared" ca="1" si="7"/>
        <v>25</v>
      </c>
      <c r="K13" s="483"/>
      <c r="M13" s="485" t="s">
        <v>141</v>
      </c>
    </row>
    <row r="14" spans="1:13" x14ac:dyDescent="0.3">
      <c r="A14" s="475" t="s">
        <v>249</v>
      </c>
      <c r="B14" s="476" t="s">
        <v>190</v>
      </c>
      <c r="C14" s="477">
        <v>1</v>
      </c>
      <c r="D14" s="478" t="s">
        <v>64</v>
      </c>
      <c r="E14" s="478" t="s">
        <v>191</v>
      </c>
      <c r="F14" s="479" t="s">
        <v>192</v>
      </c>
      <c r="G14" s="480">
        <v>0</v>
      </c>
      <c r="H14" s="481" t="str">
        <f>CONCATENATE("+",RIGHT('Personal File'!$B$9,1)+RIGHT('Personal File'!$C$12)+D14-5)</f>
        <v>+9</v>
      </c>
      <c r="I14" s="385">
        <f t="shared" ref="I14:I15" ca="1" si="9">RANDBETWEEN(1,20)</f>
        <v>15</v>
      </c>
      <c r="J14" s="482">
        <f t="shared" ref="J14:J15" ca="1" si="10">I14+H14</f>
        <v>24</v>
      </c>
      <c r="K14" s="483"/>
      <c r="M14" s="485" t="s">
        <v>141</v>
      </c>
    </row>
    <row r="15" spans="1:13" ht="16.2" thickBot="1" x14ac:dyDescent="0.35">
      <c r="A15" s="398" t="s">
        <v>290</v>
      </c>
      <c r="B15" s="399" t="s">
        <v>190</v>
      </c>
      <c r="C15" s="400">
        <v>1</v>
      </c>
      <c r="D15" s="401" t="s">
        <v>64</v>
      </c>
      <c r="E15" s="401" t="s">
        <v>191</v>
      </c>
      <c r="F15" s="402" t="s">
        <v>192</v>
      </c>
      <c r="G15" s="403">
        <v>0</v>
      </c>
      <c r="H15" s="404" t="str">
        <f>CONCATENATE("+",RIGHT('Personal File'!$B$9,1)+RIGHT('Personal File'!$C$12)+D15)</f>
        <v>+14</v>
      </c>
      <c r="I15" s="214">
        <f t="shared" ca="1" si="9"/>
        <v>18</v>
      </c>
      <c r="J15" s="405">
        <f t="shared" ca="1" si="10"/>
        <v>32</v>
      </c>
      <c r="K15" s="406"/>
      <c r="M15" s="484" t="s">
        <v>141</v>
      </c>
    </row>
    <row r="16" spans="1:13" ht="6" customHeight="1" thickTop="1" thickBot="1" x14ac:dyDescent="0.35">
      <c r="I16" s="216"/>
      <c r="J16" s="216"/>
    </row>
    <row r="17" spans="1:13" ht="16.8" thickTop="1" thickBot="1" x14ac:dyDescent="0.35">
      <c r="A17" s="207" t="s">
        <v>9</v>
      </c>
      <c r="B17" s="208" t="s">
        <v>10</v>
      </c>
      <c r="C17" s="208" t="s">
        <v>28</v>
      </c>
      <c r="D17" s="208" t="s">
        <v>29</v>
      </c>
      <c r="E17" s="209" t="s">
        <v>69</v>
      </c>
      <c r="F17" s="208" t="s">
        <v>11</v>
      </c>
      <c r="G17" s="208" t="s">
        <v>30</v>
      </c>
      <c r="H17" s="210" t="s">
        <v>96</v>
      </c>
      <c r="I17" s="211" t="s">
        <v>118</v>
      </c>
      <c r="J17" s="210" t="s">
        <v>83</v>
      </c>
      <c r="K17" s="212" t="s">
        <v>81</v>
      </c>
      <c r="M17" s="213" t="s">
        <v>188</v>
      </c>
    </row>
    <row r="18" spans="1:13" x14ac:dyDescent="0.3">
      <c r="A18" s="425" t="s">
        <v>269</v>
      </c>
      <c r="B18" s="426" t="s">
        <v>235</v>
      </c>
      <c r="C18" s="427" t="s">
        <v>241</v>
      </c>
      <c r="D18" s="428">
        <f>2</f>
        <v>2</v>
      </c>
      <c r="E18" s="429" t="s">
        <v>191</v>
      </c>
      <c r="F18" s="430" t="s">
        <v>211</v>
      </c>
      <c r="G18" s="431">
        <v>0</v>
      </c>
      <c r="H18" s="432" t="str">
        <f>CONCATENATE("+",RIGHT('Personal File'!$B$9,1)+RIGHT('Personal File'!$C$12)+D18+1)</f>
        <v>+17</v>
      </c>
      <c r="I18" s="22">
        <f t="shared" ref="I18:I22" ca="1" si="11">RANDBETWEEN(1,20)</f>
        <v>8</v>
      </c>
      <c r="J18" s="433">
        <f t="shared" ref="J18" ca="1" si="12">I18+H18</f>
        <v>25</v>
      </c>
      <c r="K18" s="446" t="s">
        <v>273</v>
      </c>
      <c r="M18" s="434" t="s">
        <v>141</v>
      </c>
    </row>
    <row r="19" spans="1:13" x14ac:dyDescent="0.3">
      <c r="A19" s="435" t="s">
        <v>134</v>
      </c>
      <c r="B19" s="436" t="s">
        <v>235</v>
      </c>
      <c r="C19" s="437">
        <v>0</v>
      </c>
      <c r="D19" s="438" t="s">
        <v>97</v>
      </c>
      <c r="E19" s="438" t="s">
        <v>191</v>
      </c>
      <c r="F19" s="439" t="s">
        <v>211</v>
      </c>
      <c r="G19" s="440">
        <v>0</v>
      </c>
      <c r="H19" s="441" t="str">
        <f>CONCATENATE("+",RIGHT('Personal File'!$B$9,1)+RIGHT('Personal File'!$C$12)+D19+1)</f>
        <v>+16</v>
      </c>
      <c r="I19" s="22">
        <f t="shared" ca="1" si="11"/>
        <v>3</v>
      </c>
      <c r="J19" s="442">
        <f t="shared" ref="J19:J23" ca="1" si="13">I19+H19</f>
        <v>19</v>
      </c>
      <c r="K19" s="447" t="s">
        <v>273</v>
      </c>
      <c r="M19" s="443" t="s">
        <v>141</v>
      </c>
    </row>
    <row r="20" spans="1:13" x14ac:dyDescent="0.3">
      <c r="A20" s="435" t="s">
        <v>287</v>
      </c>
      <c r="B20" s="436" t="s">
        <v>235</v>
      </c>
      <c r="C20" s="437">
        <v>0</v>
      </c>
      <c r="D20" s="438" t="s">
        <v>97</v>
      </c>
      <c r="E20" s="438" t="s">
        <v>191</v>
      </c>
      <c r="F20" s="439" t="s">
        <v>211</v>
      </c>
      <c r="G20" s="440">
        <v>0</v>
      </c>
      <c r="H20" s="441" t="str">
        <f>CONCATENATE("+",RIGHT('Personal File'!$B$9,1)+RIGHT('Personal File'!$C$12)+D20+1)</f>
        <v>+16</v>
      </c>
      <c r="I20" s="22">
        <f t="shared" ca="1" si="11"/>
        <v>14</v>
      </c>
      <c r="J20" s="442">
        <f t="shared" ref="J20" ca="1" si="14">I20+H20</f>
        <v>30</v>
      </c>
      <c r="K20" s="447" t="s">
        <v>273</v>
      </c>
      <c r="M20" s="443" t="s">
        <v>141</v>
      </c>
    </row>
    <row r="21" spans="1:13" x14ac:dyDescent="0.3">
      <c r="A21" s="16" t="s">
        <v>214</v>
      </c>
      <c r="B21" s="17" t="s">
        <v>189</v>
      </c>
      <c r="C21" s="18">
        <v>0</v>
      </c>
      <c r="D21" s="19" t="s">
        <v>97</v>
      </c>
      <c r="E21" s="19" t="s">
        <v>160</v>
      </c>
      <c r="F21" s="20" t="s">
        <v>177</v>
      </c>
      <c r="G21" s="21">
        <v>2</v>
      </c>
      <c r="H21" s="307" t="str">
        <f>CONCATENATE("+",RIGHT('Personal File'!$B$9,1)+RIGHT('Personal File'!$C$12)+D21)</f>
        <v>+15</v>
      </c>
      <c r="I21" s="22">
        <f t="shared" ca="1" si="11"/>
        <v>18</v>
      </c>
      <c r="J21" s="24">
        <f t="shared" ca="1" si="13"/>
        <v>33</v>
      </c>
      <c r="K21" s="445" t="s">
        <v>273</v>
      </c>
      <c r="M21" s="318">
        <v>2300</v>
      </c>
    </row>
    <row r="22" spans="1:13" x14ac:dyDescent="0.3">
      <c r="A22" s="16" t="s">
        <v>224</v>
      </c>
      <c r="B22" s="362" t="s">
        <v>212</v>
      </c>
      <c r="C22" s="19" t="s">
        <v>64</v>
      </c>
      <c r="D22" s="19" t="s">
        <v>103</v>
      </c>
      <c r="E22" s="19" t="s">
        <v>191</v>
      </c>
      <c r="F22" s="20" t="s">
        <v>225</v>
      </c>
      <c r="G22" s="21">
        <v>0.5</v>
      </c>
      <c r="H22" s="307" t="str">
        <f>CONCATENATE("+",RIGHT('Personal File'!$B$9,1)+RIGHT('Personal File'!$C$12)+D22)</f>
        <v>+18</v>
      </c>
      <c r="I22" s="22">
        <f t="shared" ca="1" si="11"/>
        <v>4</v>
      </c>
      <c r="J22" s="24">
        <f t="shared" ref="J22" ca="1" si="15">I22+H22</f>
        <v>22</v>
      </c>
      <c r="K22" s="445" t="s">
        <v>273</v>
      </c>
      <c r="M22" s="320" t="s">
        <v>141</v>
      </c>
    </row>
    <row r="23" spans="1:13" ht="16.2" thickBot="1" x14ac:dyDescent="0.35">
      <c r="A23" s="14" t="s">
        <v>179</v>
      </c>
      <c r="B23" s="15" t="s">
        <v>187</v>
      </c>
      <c r="C23" s="15" t="str">
        <f>'Personal File'!C11</f>
        <v>+2</v>
      </c>
      <c r="D23" s="217" t="s">
        <v>103</v>
      </c>
      <c r="E23" s="15" t="s">
        <v>187</v>
      </c>
      <c r="F23" s="217" t="s">
        <v>187</v>
      </c>
      <c r="G23" s="218" t="s">
        <v>141</v>
      </c>
      <c r="H23" s="308" t="str">
        <f>CONCATENATE("+",RIGHT('Personal File'!$B$9,1)+RIGHT('Personal File'!$C$12)+D23)</f>
        <v>+18</v>
      </c>
      <c r="I23" s="214">
        <f ca="1">RANDBETWEEN(1,20)</f>
        <v>8</v>
      </c>
      <c r="J23" s="215">
        <f t="shared" ca="1" si="13"/>
        <v>26</v>
      </c>
      <c r="K23" s="219" t="s">
        <v>273</v>
      </c>
      <c r="M23" s="321" t="s">
        <v>141</v>
      </c>
    </row>
    <row r="24" spans="1:13" ht="6" customHeight="1" thickTop="1" thickBot="1" x14ac:dyDescent="0.35">
      <c r="D24" s="220"/>
      <c r="E24" s="220"/>
      <c r="G24" s="221"/>
      <c r="H24" s="221"/>
      <c r="I24" s="221"/>
      <c r="J24" s="221"/>
    </row>
    <row r="25" spans="1:13" ht="16.8" thickTop="1" thickBot="1" x14ac:dyDescent="0.35">
      <c r="A25" s="207" t="s">
        <v>73</v>
      </c>
      <c r="B25" s="208" t="s">
        <v>19</v>
      </c>
      <c r="C25" s="208" t="s">
        <v>36</v>
      </c>
      <c r="D25" s="208" t="s">
        <v>83</v>
      </c>
      <c r="E25" s="208" t="s">
        <v>84</v>
      </c>
      <c r="F25" s="208" t="s">
        <v>85</v>
      </c>
      <c r="G25" s="208" t="s">
        <v>30</v>
      </c>
      <c r="H25" s="222" t="s">
        <v>81</v>
      </c>
      <c r="I25" s="223"/>
      <c r="J25" s="223"/>
      <c r="K25" s="224"/>
      <c r="M25" s="213" t="s">
        <v>188</v>
      </c>
    </row>
    <row r="26" spans="1:13" x14ac:dyDescent="0.3">
      <c r="A26" s="381" t="s">
        <v>254</v>
      </c>
      <c r="B26" s="1">
        <v>6</v>
      </c>
      <c r="C26" s="382">
        <v>8</v>
      </c>
      <c r="D26" s="1">
        <v>0</v>
      </c>
      <c r="E26" s="383">
        <v>0</v>
      </c>
      <c r="F26" s="382" t="s">
        <v>215</v>
      </c>
      <c r="G26" s="384">
        <v>25</v>
      </c>
      <c r="H26" s="225"/>
      <c r="I26" s="226"/>
      <c r="J26" s="226"/>
      <c r="K26" s="227"/>
      <c r="M26" s="319">
        <v>300</v>
      </c>
    </row>
    <row r="27" spans="1:13" ht="16.2" thickBot="1" x14ac:dyDescent="0.35">
      <c r="A27" s="228" t="s">
        <v>213</v>
      </c>
      <c r="B27" s="305" t="s">
        <v>244</v>
      </c>
      <c r="C27" s="411" t="s">
        <v>141</v>
      </c>
      <c r="D27" s="229" t="s">
        <v>141</v>
      </c>
      <c r="E27" s="230" t="s">
        <v>141</v>
      </c>
      <c r="F27" s="305" t="s">
        <v>141</v>
      </c>
      <c r="G27" s="231">
        <v>0</v>
      </c>
      <c r="H27" s="232"/>
      <c r="I27" s="233"/>
      <c r="J27" s="233"/>
      <c r="K27" s="234"/>
      <c r="M27" s="322">
        <v>2500</v>
      </c>
    </row>
    <row r="28" spans="1:13" ht="6.75" customHeight="1" thickTop="1" thickBot="1" x14ac:dyDescent="0.35">
      <c r="M28" s="323"/>
    </row>
    <row r="29" spans="1:13" ht="16.8" thickTop="1" thickBot="1" x14ac:dyDescent="0.35">
      <c r="A29" s="216"/>
      <c r="B29" s="216"/>
      <c r="D29" s="235" t="s">
        <v>74</v>
      </c>
      <c r="E29" s="236"/>
      <c r="F29" s="222" t="s">
        <v>8</v>
      </c>
      <c r="G29" s="208" t="s">
        <v>30</v>
      </c>
      <c r="H29" s="210" t="s">
        <v>96</v>
      </c>
      <c r="I29" s="222" t="s">
        <v>81</v>
      </c>
      <c r="J29" s="223"/>
      <c r="K29" s="224"/>
      <c r="M29" s="213" t="s">
        <v>188</v>
      </c>
    </row>
    <row r="30" spans="1:13" x14ac:dyDescent="0.3">
      <c r="A30" s="216"/>
      <c r="B30" s="216"/>
      <c r="D30" s="353" t="s">
        <v>161</v>
      </c>
      <c r="E30" s="354"/>
      <c r="F30" s="355">
        <v>10</v>
      </c>
      <c r="G30" s="356">
        <f t="shared" ref="G30:G31" si="16">F30*0.1</f>
        <v>1</v>
      </c>
      <c r="H30" s="357" t="s">
        <v>162</v>
      </c>
      <c r="I30" s="358"/>
      <c r="J30" s="359"/>
      <c r="K30" s="360"/>
      <c r="M30" s="361" t="s">
        <v>141</v>
      </c>
    </row>
    <row r="31" spans="1:13" x14ac:dyDescent="0.3">
      <c r="A31" s="216"/>
      <c r="B31" s="216"/>
      <c r="D31" s="363" t="s">
        <v>226</v>
      </c>
      <c r="E31" s="364"/>
      <c r="F31" s="365">
        <v>1</v>
      </c>
      <c r="G31" s="366">
        <f t="shared" si="16"/>
        <v>0.1</v>
      </c>
      <c r="H31" s="367" t="s">
        <v>227</v>
      </c>
      <c r="I31" s="368"/>
      <c r="J31" s="369"/>
      <c r="K31" s="370"/>
      <c r="M31" s="318" t="s">
        <v>193</v>
      </c>
    </row>
    <row r="32" spans="1:13" ht="16.2" thickBot="1" x14ac:dyDescent="0.35">
      <c r="A32" s="216"/>
      <c r="B32" s="216"/>
      <c r="D32" s="348" t="s">
        <v>223</v>
      </c>
      <c r="E32" s="349"/>
      <c r="F32" s="350">
        <v>2</v>
      </c>
      <c r="G32" s="351">
        <f>F32*0.1</f>
        <v>0.2</v>
      </c>
      <c r="H32" s="217" t="s">
        <v>162</v>
      </c>
      <c r="I32" s="237"/>
      <c r="J32" s="238"/>
      <c r="K32" s="352"/>
      <c r="M32" s="444" t="s">
        <v>193</v>
      </c>
    </row>
    <row r="33" spans="1:13" ht="16.8" thickTop="1" thickBot="1" x14ac:dyDescent="0.35">
      <c r="A33" s="216"/>
      <c r="B33" s="216"/>
    </row>
    <row r="34" spans="1:13" ht="16.8" thickTop="1" thickBot="1" x14ac:dyDescent="0.35">
      <c r="A34" s="216"/>
      <c r="B34" s="216"/>
      <c r="D34" s="235" t="s">
        <v>220</v>
      </c>
      <c r="E34" s="223"/>
      <c r="F34" s="223"/>
      <c r="G34" s="330" t="s">
        <v>8</v>
      </c>
      <c r="H34" s="330" t="s">
        <v>152</v>
      </c>
      <c r="I34" s="330" t="s">
        <v>221</v>
      </c>
      <c r="J34" s="331" t="s">
        <v>81</v>
      </c>
      <c r="K34" s="224"/>
      <c r="L34" s="332"/>
      <c r="M34" s="213" t="s">
        <v>188</v>
      </c>
    </row>
    <row r="35" spans="1:13" x14ac:dyDescent="0.3">
      <c r="A35" s="216"/>
      <c r="B35" s="216"/>
      <c r="D35" s="333"/>
      <c r="E35" s="334"/>
      <c r="F35" s="334"/>
      <c r="G35" s="335"/>
      <c r="H35" s="335"/>
      <c r="I35" s="335"/>
      <c r="J35" s="336"/>
      <c r="K35" s="337"/>
      <c r="L35" s="332"/>
      <c r="M35" s="338"/>
    </row>
    <row r="36" spans="1:13" x14ac:dyDescent="0.3">
      <c r="D36" s="339"/>
      <c r="E36" s="340"/>
      <c r="F36" s="340"/>
      <c r="G36" s="17"/>
      <c r="H36" s="17"/>
      <c r="I36" s="17"/>
      <c r="J36" s="341"/>
      <c r="K36" s="342"/>
      <c r="L36" s="332"/>
      <c r="M36" s="338"/>
    </row>
    <row r="37" spans="1:13" ht="16.2" thickBot="1" x14ac:dyDescent="0.35">
      <c r="D37" s="343"/>
      <c r="E37" s="344"/>
      <c r="F37" s="344"/>
      <c r="G37" s="305"/>
      <c r="H37" s="305"/>
      <c r="I37" s="305"/>
      <c r="J37" s="345"/>
      <c r="K37" s="346"/>
      <c r="L37" s="332"/>
      <c r="M37" s="347"/>
    </row>
    <row r="38" spans="1:13" ht="16.2" thickTop="1" x14ac:dyDescent="0.3"/>
    <row r="39" spans="1:13" x14ac:dyDescent="0.3">
      <c r="K39" s="73" t="s">
        <v>238</v>
      </c>
      <c r="M39" s="325">
        <f>SUM(M3:M37)</f>
        <v>28700</v>
      </c>
    </row>
  </sheetData>
  <phoneticPr fontId="0" type="noConversion"/>
  <conditionalFormatting sqref="I3:I15">
    <cfRule type="cellIs" dxfId="3" priority="1" operator="equal">
      <formula>20</formula>
    </cfRule>
    <cfRule type="cellIs" dxfId="2" priority="2" operator="equal">
      <formula>1</formula>
    </cfRule>
  </conditionalFormatting>
  <conditionalFormatting sqref="I18:I23">
    <cfRule type="cellIs" dxfId="1" priority="7" operator="equal">
      <formula>20</formula>
    </cfRule>
    <cfRule type="cellIs" dxfId="0"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5"/>
  <sheetViews>
    <sheetView showGridLines="0" workbookViewId="0"/>
  </sheetViews>
  <sheetFormatPr defaultColWidth="13" defaultRowHeight="15.6" x14ac:dyDescent="0.3"/>
  <cols>
    <col min="1" max="1" width="32.3984375" style="175" bestFit="1" customWidth="1"/>
    <col min="2" max="2" width="4.5" style="175" bestFit="1" customWidth="1"/>
    <col min="3" max="3" width="5.59765625" style="221" bestFit="1" customWidth="1"/>
    <col min="4" max="5" width="26.59765625" style="31" customWidth="1"/>
    <col min="6" max="6" width="2.59765625" style="175" customWidth="1"/>
    <col min="7" max="7" width="5.69921875" style="323" bestFit="1" customWidth="1"/>
    <col min="8" max="16384" width="13" style="31"/>
  </cols>
  <sheetData>
    <row r="1" spans="1:7" ht="23.4" thickBot="1" x14ac:dyDescent="0.35">
      <c r="A1" s="206" t="s">
        <v>78</v>
      </c>
      <c r="B1" s="206"/>
      <c r="C1" s="239"/>
      <c r="D1" s="206"/>
      <c r="E1" s="206"/>
    </row>
    <row r="2" spans="1:7" s="175" customFormat="1" ht="16.8" thickTop="1" thickBot="1" x14ac:dyDescent="0.35">
      <c r="A2" s="240" t="s">
        <v>79</v>
      </c>
      <c r="B2" s="240" t="s">
        <v>8</v>
      </c>
      <c r="C2" s="241" t="s">
        <v>30</v>
      </c>
      <c r="D2" s="242" t="s">
        <v>80</v>
      </c>
      <c r="E2" s="243" t="s">
        <v>81</v>
      </c>
      <c r="G2" s="386" t="s">
        <v>188</v>
      </c>
    </row>
    <row r="3" spans="1:7" x14ac:dyDescent="0.3">
      <c r="A3" s="244" t="s">
        <v>106</v>
      </c>
      <c r="B3" s="245">
        <v>1</v>
      </c>
      <c r="C3" s="246">
        <v>0.5</v>
      </c>
      <c r="D3" s="247"/>
      <c r="E3" s="248"/>
      <c r="G3" s="387">
        <v>500</v>
      </c>
    </row>
    <row r="4" spans="1:7" x14ac:dyDescent="0.3">
      <c r="A4" s="244" t="s">
        <v>173</v>
      </c>
      <c r="B4" s="249">
        <v>1</v>
      </c>
      <c r="C4" s="250" t="s">
        <v>163</v>
      </c>
      <c r="D4" s="251"/>
      <c r="E4" s="248"/>
      <c r="G4" s="388"/>
    </row>
    <row r="5" spans="1:7" x14ac:dyDescent="0.3">
      <c r="A5" s="244" t="s">
        <v>242</v>
      </c>
      <c r="B5" s="249">
        <v>1</v>
      </c>
      <c r="C5" s="250">
        <v>0</v>
      </c>
      <c r="D5" s="251"/>
      <c r="E5" s="248"/>
      <c r="G5" s="389" t="s">
        <v>193</v>
      </c>
    </row>
    <row r="6" spans="1:7" x14ac:dyDescent="0.3">
      <c r="A6" s="244" t="s">
        <v>222</v>
      </c>
      <c r="B6" s="249">
        <v>1</v>
      </c>
      <c r="C6" s="250">
        <v>0</v>
      </c>
      <c r="D6" s="247"/>
      <c r="E6" s="248"/>
      <c r="G6" s="389">
        <v>100</v>
      </c>
    </row>
    <row r="7" spans="1:7" x14ac:dyDescent="0.3">
      <c r="A7" s="244" t="s">
        <v>111</v>
      </c>
      <c r="B7" s="249">
        <v>1</v>
      </c>
      <c r="C7" s="246">
        <v>0.5</v>
      </c>
      <c r="D7" s="247"/>
      <c r="E7" s="248"/>
      <c r="G7" s="390"/>
    </row>
    <row r="8" spans="1:7" x14ac:dyDescent="0.3">
      <c r="A8" s="260" t="s">
        <v>243</v>
      </c>
      <c r="B8" s="408">
        <v>1</v>
      </c>
      <c r="C8" s="409" t="s">
        <v>193</v>
      </c>
      <c r="D8" s="265"/>
      <c r="E8" s="264"/>
      <c r="G8" s="389" t="s">
        <v>193</v>
      </c>
    </row>
    <row r="9" spans="1:7" ht="16.2" thickBot="1" x14ac:dyDescent="0.35">
      <c r="A9" s="252" t="s">
        <v>115</v>
      </c>
      <c r="B9" s="253">
        <v>1</v>
      </c>
      <c r="C9" s="254">
        <v>0</v>
      </c>
      <c r="D9" s="255"/>
      <c r="E9" s="256"/>
      <c r="G9" s="391"/>
    </row>
    <row r="10" spans="1:7" ht="24" thickTop="1" thickBot="1" x14ac:dyDescent="0.35">
      <c r="A10" s="206" t="s">
        <v>82</v>
      </c>
      <c r="B10" s="206"/>
      <c r="C10" s="257"/>
      <c r="D10" s="206"/>
      <c r="E10" s="258"/>
    </row>
    <row r="11" spans="1:7" ht="16.8" thickTop="1" thickBot="1" x14ac:dyDescent="0.35">
      <c r="A11" s="240" t="s">
        <v>79</v>
      </c>
      <c r="B11" s="240" t="s">
        <v>8</v>
      </c>
      <c r="C11" s="241" t="s">
        <v>30</v>
      </c>
      <c r="D11" s="242" t="s">
        <v>80</v>
      </c>
      <c r="E11" s="243" t="s">
        <v>81</v>
      </c>
      <c r="G11" s="386" t="s">
        <v>188</v>
      </c>
    </row>
    <row r="12" spans="1:7" x14ac:dyDescent="0.3">
      <c r="A12" s="244" t="s">
        <v>159</v>
      </c>
      <c r="B12" s="245">
        <v>1</v>
      </c>
      <c r="C12" s="250">
        <v>1</v>
      </c>
      <c r="D12" s="314"/>
      <c r="E12" s="316"/>
      <c r="F12" s="216"/>
      <c r="G12" s="392"/>
    </row>
    <row r="13" spans="1:7" x14ac:dyDescent="0.3">
      <c r="A13" s="244" t="s">
        <v>144</v>
      </c>
      <c r="B13" s="249">
        <v>1</v>
      </c>
      <c r="C13" s="250">
        <v>2.5</v>
      </c>
      <c r="D13" s="251"/>
      <c r="E13" s="248"/>
      <c r="F13" s="216"/>
      <c r="G13" s="390"/>
    </row>
    <row r="14" spans="1:7" x14ac:dyDescent="0.3">
      <c r="A14" s="244" t="s">
        <v>181</v>
      </c>
      <c r="B14" s="249">
        <v>1</v>
      </c>
      <c r="C14" s="246">
        <v>0</v>
      </c>
      <c r="D14" s="247"/>
      <c r="E14" s="248"/>
      <c r="F14" s="216"/>
      <c r="G14" s="390"/>
    </row>
    <row r="15" spans="1:7" x14ac:dyDescent="0.3">
      <c r="A15" s="244" t="s">
        <v>174</v>
      </c>
      <c r="B15" s="249">
        <v>1</v>
      </c>
      <c r="C15" s="246">
        <v>2.5</v>
      </c>
      <c r="D15" s="259" t="s">
        <v>109</v>
      </c>
      <c r="E15" s="248"/>
      <c r="F15" s="216"/>
      <c r="G15" s="389">
        <v>80</v>
      </c>
    </row>
    <row r="16" spans="1:7" x14ac:dyDescent="0.3">
      <c r="A16" s="260" t="s">
        <v>116</v>
      </c>
      <c r="B16" s="249">
        <v>1</v>
      </c>
      <c r="C16" s="261">
        <v>0</v>
      </c>
      <c r="D16" s="265"/>
      <c r="E16" s="248"/>
      <c r="F16" s="216"/>
      <c r="G16" s="389">
        <v>200</v>
      </c>
    </row>
    <row r="17" spans="1:7" x14ac:dyDescent="0.3">
      <c r="A17" s="244" t="s">
        <v>117</v>
      </c>
      <c r="B17" s="249">
        <v>1</v>
      </c>
      <c r="C17" s="246">
        <v>0</v>
      </c>
      <c r="D17" s="265"/>
      <c r="E17" s="264"/>
      <c r="F17" s="216"/>
      <c r="G17" s="389">
        <v>350</v>
      </c>
    </row>
    <row r="18" spans="1:7" x14ac:dyDescent="0.3">
      <c r="A18" s="260" t="s">
        <v>164</v>
      </c>
      <c r="B18" s="249">
        <v>150</v>
      </c>
      <c r="C18" s="261">
        <f>B18/100</f>
        <v>1.5</v>
      </c>
      <c r="D18" s="265"/>
      <c r="E18" s="264"/>
      <c r="F18" s="216"/>
      <c r="G18" s="389">
        <f>B18</f>
        <v>150</v>
      </c>
    </row>
    <row r="19" spans="1:7" x14ac:dyDescent="0.3">
      <c r="A19" s="260" t="s">
        <v>228</v>
      </c>
      <c r="B19" s="249" t="s">
        <v>245</v>
      </c>
      <c r="C19" s="261">
        <v>2</v>
      </c>
      <c r="D19" s="265"/>
      <c r="E19" s="264"/>
      <c r="F19" s="216"/>
      <c r="G19" s="390"/>
    </row>
    <row r="20" spans="1:7" x14ac:dyDescent="0.3">
      <c r="A20" s="260" t="s">
        <v>253</v>
      </c>
      <c r="B20" s="249">
        <v>6</v>
      </c>
      <c r="C20" s="261">
        <v>0.5</v>
      </c>
      <c r="D20" s="265"/>
      <c r="E20" s="264"/>
      <c r="F20" s="216"/>
      <c r="G20" s="390"/>
    </row>
    <row r="21" spans="1:7" x14ac:dyDescent="0.3">
      <c r="A21" s="260" t="s">
        <v>112</v>
      </c>
      <c r="B21" s="249">
        <v>1</v>
      </c>
      <c r="C21" s="261">
        <v>0</v>
      </c>
      <c r="D21" s="265"/>
      <c r="E21" s="264"/>
      <c r="F21" s="216"/>
      <c r="G21" s="390"/>
    </row>
    <row r="22" spans="1:7" x14ac:dyDescent="0.3">
      <c r="A22" s="260" t="s">
        <v>113</v>
      </c>
      <c r="B22" s="249">
        <v>1</v>
      </c>
      <c r="C22" s="261">
        <v>0</v>
      </c>
      <c r="D22" s="265"/>
      <c r="E22" s="264"/>
      <c r="F22" s="216"/>
      <c r="G22" s="390"/>
    </row>
    <row r="23" spans="1:7" x14ac:dyDescent="0.3">
      <c r="A23" s="260" t="s">
        <v>175</v>
      </c>
      <c r="B23" s="249">
        <v>1</v>
      </c>
      <c r="C23" s="261">
        <v>1</v>
      </c>
      <c r="D23" s="262" t="s">
        <v>176</v>
      </c>
      <c r="E23" s="264"/>
      <c r="F23" s="216"/>
      <c r="G23" s="390"/>
    </row>
    <row r="24" spans="1:7" x14ac:dyDescent="0.3">
      <c r="A24" s="244" t="s">
        <v>145</v>
      </c>
      <c r="B24" s="249">
        <v>5</v>
      </c>
      <c r="C24" s="261">
        <v>0</v>
      </c>
      <c r="D24" s="262" t="s">
        <v>176</v>
      </c>
      <c r="E24" s="264"/>
      <c r="F24" s="216"/>
      <c r="G24" s="390"/>
    </row>
    <row r="25" spans="1:7" x14ac:dyDescent="0.3">
      <c r="A25" s="260" t="s">
        <v>114</v>
      </c>
      <c r="B25" s="249">
        <v>1</v>
      </c>
      <c r="C25" s="261">
        <v>1</v>
      </c>
      <c r="D25" s="262" t="s">
        <v>176</v>
      </c>
      <c r="E25" s="264"/>
      <c r="F25" s="216"/>
      <c r="G25" s="390"/>
    </row>
    <row r="26" spans="1:7" x14ac:dyDescent="0.3">
      <c r="A26" s="260" t="s">
        <v>184</v>
      </c>
      <c r="B26" s="249">
        <v>1</v>
      </c>
      <c r="C26" s="250">
        <f>B26</f>
        <v>1</v>
      </c>
      <c r="D26" s="263"/>
      <c r="E26" s="264"/>
      <c r="F26" s="216"/>
      <c r="G26" s="390"/>
    </row>
    <row r="27" spans="1:7" ht="16.2" thickBot="1" x14ac:dyDescent="0.35">
      <c r="A27" s="252" t="s">
        <v>107</v>
      </c>
      <c r="B27" s="253">
        <v>1</v>
      </c>
      <c r="C27" s="254">
        <v>1</v>
      </c>
      <c r="D27" s="315" t="s">
        <v>110</v>
      </c>
      <c r="E27" s="256"/>
      <c r="F27" s="216"/>
      <c r="G27" s="393">
        <v>100</v>
      </c>
    </row>
    <row r="28" spans="1:7" ht="24" thickTop="1" thickBot="1" x14ac:dyDescent="0.35">
      <c r="A28" s="73"/>
      <c r="B28" s="73"/>
      <c r="D28" s="266" t="s">
        <v>98</v>
      </c>
      <c r="E28" s="258"/>
    </row>
    <row r="29" spans="1:7" ht="16.8" thickTop="1" thickBot="1" x14ac:dyDescent="0.35">
      <c r="A29" s="240" t="s">
        <v>79</v>
      </c>
      <c r="B29" s="240" t="s">
        <v>8</v>
      </c>
      <c r="C29" s="241" t="s">
        <v>30</v>
      </c>
      <c r="D29" s="242" t="s">
        <v>80</v>
      </c>
      <c r="E29" s="243" t="s">
        <v>81</v>
      </c>
      <c r="G29" s="386" t="s">
        <v>188</v>
      </c>
    </row>
    <row r="30" spans="1:7" x14ac:dyDescent="0.3">
      <c r="A30" s="267"/>
      <c r="B30" s="268"/>
      <c r="C30" s="269"/>
      <c r="D30" s="270"/>
      <c r="E30" s="271"/>
      <c r="G30" s="387"/>
    </row>
    <row r="31" spans="1:7" x14ac:dyDescent="0.3">
      <c r="A31" s="267"/>
      <c r="B31" s="272"/>
      <c r="C31" s="273"/>
      <c r="D31" s="274"/>
      <c r="E31" s="275"/>
      <c r="G31" s="389"/>
    </row>
    <row r="32" spans="1:7" x14ac:dyDescent="0.3">
      <c r="A32" s="267"/>
      <c r="B32" s="272"/>
      <c r="C32" s="273"/>
      <c r="D32" s="274"/>
      <c r="E32" s="275"/>
      <c r="G32" s="389"/>
    </row>
    <row r="33" spans="1:7" x14ac:dyDescent="0.3">
      <c r="A33" s="267"/>
      <c r="B33" s="272"/>
      <c r="C33" s="273"/>
      <c r="D33" s="274"/>
      <c r="E33" s="275"/>
      <c r="G33" s="389"/>
    </row>
    <row r="34" spans="1:7" ht="16.2" thickBot="1" x14ac:dyDescent="0.35">
      <c r="A34" s="276"/>
      <c r="B34" s="277"/>
      <c r="C34" s="254"/>
      <c r="D34" s="278"/>
      <c r="E34" s="256"/>
      <c r="G34" s="393"/>
    </row>
    <row r="35" spans="1:7" ht="24" thickTop="1" thickBot="1" x14ac:dyDescent="0.35">
      <c r="A35" s="73" t="s">
        <v>182</v>
      </c>
      <c r="B35" s="73"/>
      <c r="C35" s="221">
        <f>SUM(C30:C34)</f>
        <v>0</v>
      </c>
      <c r="D35" s="266" t="s">
        <v>246</v>
      </c>
      <c r="E35" s="258"/>
    </row>
    <row r="36" spans="1:7" s="175" customFormat="1" ht="16.8" thickTop="1" thickBot="1" x14ac:dyDescent="0.35">
      <c r="A36" s="240" t="s">
        <v>79</v>
      </c>
      <c r="B36" s="240" t="s">
        <v>8</v>
      </c>
      <c r="C36" s="241" t="s">
        <v>30</v>
      </c>
      <c r="D36" s="242" t="s">
        <v>80</v>
      </c>
      <c r="E36" s="243" t="s">
        <v>81</v>
      </c>
      <c r="G36" s="386" t="s">
        <v>188</v>
      </c>
    </row>
    <row r="37" spans="1:7" x14ac:dyDescent="0.3">
      <c r="A37" s="244" t="s">
        <v>106</v>
      </c>
      <c r="B37" s="245">
        <v>1</v>
      </c>
      <c r="C37" s="246">
        <v>0.5</v>
      </c>
      <c r="D37" s="247"/>
      <c r="E37" s="248"/>
      <c r="G37" s="387">
        <v>500</v>
      </c>
    </row>
    <row r="38" spans="1:7" x14ac:dyDescent="0.3">
      <c r="A38" s="267"/>
      <c r="B38" s="272"/>
      <c r="C38" s="273"/>
      <c r="D38" s="274"/>
      <c r="E38" s="275"/>
      <c r="G38" s="389"/>
    </row>
    <row r="39" spans="1:7" x14ac:dyDescent="0.3">
      <c r="A39" s="267"/>
      <c r="B39" s="272"/>
      <c r="C39" s="273"/>
      <c r="D39" s="274"/>
      <c r="E39" s="275"/>
      <c r="G39" s="389"/>
    </row>
    <row r="40" spans="1:7" x14ac:dyDescent="0.3">
      <c r="A40" s="267"/>
      <c r="B40" s="272"/>
      <c r="C40" s="273"/>
      <c r="D40" s="274"/>
      <c r="E40" s="275"/>
      <c r="G40" s="389"/>
    </row>
    <row r="41" spans="1:7" x14ac:dyDescent="0.3">
      <c r="A41" s="267"/>
      <c r="B41" s="272"/>
      <c r="C41" s="273"/>
      <c r="D41" s="274"/>
      <c r="E41" s="275"/>
      <c r="G41" s="389"/>
    </row>
    <row r="42" spans="1:7" ht="16.2" thickBot="1" x14ac:dyDescent="0.35">
      <c r="A42" s="276"/>
      <c r="B42" s="277"/>
      <c r="C42" s="254"/>
      <c r="D42" s="278"/>
      <c r="E42" s="256"/>
      <c r="G42" s="393"/>
    </row>
    <row r="43" spans="1:7" ht="16.2" thickTop="1" x14ac:dyDescent="0.3"/>
    <row r="44" spans="1:7" x14ac:dyDescent="0.3">
      <c r="A44" s="31"/>
      <c r="B44" s="31"/>
      <c r="E44" s="73" t="s">
        <v>238</v>
      </c>
      <c r="G44" s="325">
        <f>SUM(G3:G42)</f>
        <v>1980</v>
      </c>
    </row>
    <row r="45" spans="1:7" x14ac:dyDescent="0.3">
      <c r="E45" s="73" t="s">
        <v>237</v>
      </c>
      <c r="G45" s="325">
        <f>G44+Martial!M39</f>
        <v>30680</v>
      </c>
    </row>
  </sheetData>
  <sortState xmlns:xlrd2="http://schemas.microsoft.com/office/spreadsheetml/2017/richdata2" ref="A9:E22">
    <sortCondition ref="A9:A2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Invocations</vt:lpstr>
      <vt:lpstr>Feats</vt:lpstr>
      <vt:lpstr>Martial</vt:lpstr>
      <vt:lpstr>Equipment</vt:lpstr>
      <vt:lpstr>Invocations!Print_Area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2012-10-13T20:58:41Z</cp:lastPrinted>
  <dcterms:created xsi:type="dcterms:W3CDTF">2000-10-24T15:39:59Z</dcterms:created>
  <dcterms:modified xsi:type="dcterms:W3CDTF">2023-11-04T13:42:14Z</dcterms:modified>
</cp:coreProperties>
</file>