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A\Juegos\FoL\PCs\"/>
    </mc:Choice>
  </mc:AlternateContent>
  <xr:revisionPtr revIDLastSave="0" documentId="13_ncr:1_{D3A55989-D584-432D-8479-F76CD5653C70}"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2" r:id="rId3"/>
    <sheet name="Spells" sheetId="23" r:id="rId4"/>
    <sheet name="Feats" sheetId="20" r:id="rId5"/>
    <sheet name="Martial" sheetId="6" r:id="rId6"/>
    <sheet name="Equipment" sheetId="19" r:id="rId7"/>
    <sheet name="Familiar" sheetId="25" r:id="rId8"/>
    <sheet name="Animal" sheetId="24" r:id="rId9"/>
    <sheet name="XP Awards" sheetId="21" r:id="rId10"/>
  </sheets>
  <externalReferences>
    <externalReference r:id="rId11"/>
  </externalReferences>
  <definedNames>
    <definedName name="NoShade">'[1]Spell Sheet'!$FH$1</definedName>
    <definedName name="OLE_LINK1" localSheetId="4">Feats!#REF!</definedName>
    <definedName name="OLE_LINK1" localSheetId="3">Spells!#REF!</definedName>
    <definedName name="_xlnm.Print_Area" localSheetId="8">Animal!$A$1:$H$13</definedName>
    <definedName name="_xlnm.Print_Area" localSheetId="6">Equipment!#REF!</definedName>
    <definedName name="_xlnm.Print_Area" localSheetId="7">Familiar!$A$1:$H$12</definedName>
    <definedName name="_xlnm.Print_Area" localSheetId="4">Feats!#REF!</definedName>
    <definedName name="_xlnm.Print_Area" localSheetId="5">Martial!#REF!</definedName>
    <definedName name="_xlnm.Print_Area" localSheetId="0">'Personal File'!$A$1:$H$25</definedName>
    <definedName name="_xlnm.Print_Area" localSheetId="1">Skills!$A$1:$K$32</definedName>
    <definedName name="_xlnm.Print_Area" localSheetId="2">Spellbook!$A$1:$I$8</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4" l="1"/>
  <c r="B14" i="4"/>
  <c r="B13" i="4"/>
  <c r="B18" i="4"/>
  <c r="B16" i="4"/>
  <c r="B15" i="4"/>
  <c r="B13" i="6"/>
  <c r="B12" i="6"/>
  <c r="B14" i="6" l="1"/>
  <c r="C18" i="4" l="1"/>
  <c r="E7" i="4" s="1"/>
  <c r="B11" i="4"/>
  <c r="B4" i="15"/>
  <c r="F41" i="15"/>
  <c r="F30" i="15"/>
  <c r="I17" i="6"/>
  <c r="I16" i="6"/>
  <c r="B5" i="15" l="1"/>
  <c r="B3" i="15"/>
  <c r="G16" i="19" l="1"/>
  <c r="H44" i="15" l="1"/>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G18" i="6"/>
  <c r="I19" i="6"/>
  <c r="I18" i="6"/>
  <c r="I6" i="6" l="1"/>
  <c r="I5" i="6"/>
  <c r="I4" i="6"/>
  <c r="J7" i="23"/>
  <c r="H16" i="6" s="1"/>
  <c r="J16" i="6" s="1"/>
  <c r="J8" i="23"/>
  <c r="H17" i="6" s="1"/>
  <c r="J17" i="6" s="1"/>
  <c r="G55" i="19" l="1"/>
  <c r="G52" i="19"/>
  <c r="C52" i="19"/>
  <c r="C55" i="19"/>
  <c r="C50" i="19"/>
  <c r="C60" i="19" l="1"/>
  <c r="G31" i="6" l="1"/>
  <c r="G30" i="6"/>
  <c r="C32" i="19" l="1"/>
  <c r="G30" i="19" l="1"/>
  <c r="H3" i="15" l="1"/>
  <c r="I20" i="6" l="1"/>
  <c r="F4" i="25" l="1"/>
  <c r="C4" i="25" l="1"/>
  <c r="C5" i="25"/>
  <c r="F5" i="25" s="1"/>
  <c r="C6" i="25"/>
  <c r="C7" i="25"/>
  <c r="C8" i="25"/>
  <c r="C9" i="25"/>
  <c r="G38" i="19" l="1"/>
  <c r="C38" i="19"/>
  <c r="C4" i="24"/>
  <c r="C5" i="24"/>
  <c r="C6" i="24"/>
  <c r="C7" i="24"/>
  <c r="C8" i="24"/>
  <c r="C9" i="24"/>
  <c r="C41" i="19" l="1"/>
  <c r="C28" i="19"/>
  <c r="G22" i="19"/>
  <c r="C22" i="19"/>
  <c r="G26" i="19" l="1"/>
  <c r="C26" i="19"/>
  <c r="G23" i="19"/>
  <c r="C23" i="19"/>
  <c r="C33" i="19" s="1"/>
  <c r="B33" i="19" s="1"/>
  <c r="B47" i="15" l="1"/>
  <c r="C3" i="20" l="1"/>
  <c r="I10" i="6" l="1"/>
  <c r="D23" i="6" l="1"/>
  <c r="E23" i="6"/>
  <c r="C23" i="6"/>
  <c r="H5" i="23" l="1"/>
  <c r="I5" i="23"/>
  <c r="C7" i="21" l="1"/>
  <c r="B11" i="21" s="1"/>
  <c r="B13" i="21" s="1"/>
  <c r="B15" i="21" s="1"/>
  <c r="B1" i="21" l="1"/>
  <c r="G17" i="19" l="1"/>
  <c r="G15" i="19" l="1"/>
  <c r="C16" i="19" l="1"/>
  <c r="C17" i="19"/>
  <c r="C15" i="19"/>
  <c r="E14" i="4" s="1"/>
  <c r="M30" i="6"/>
  <c r="H45" i="15" l="1"/>
  <c r="H7" i="15"/>
  <c r="G61" i="19"/>
  <c r="I3" i="6" l="1"/>
  <c r="I7" i="6" l="1"/>
  <c r="H6" i="15" l="1"/>
  <c r="H4" i="15" l="1"/>
  <c r="H5" i="15" l="1"/>
  <c r="C13" i="4" l="1"/>
  <c r="C6" i="6" l="1"/>
  <c r="C4" i="6"/>
  <c r="H4" i="6"/>
  <c r="J4" i="6" s="1"/>
  <c r="H6" i="6"/>
  <c r="J6" i="6" s="1"/>
  <c r="C5" i="6"/>
  <c r="C7" i="6"/>
  <c r="C3" i="6"/>
  <c r="H3" i="6"/>
  <c r="J3" i="6" s="1"/>
  <c r="H5" i="6"/>
  <c r="J5" i="6" s="1"/>
  <c r="H7" i="6"/>
  <c r="J7" i="6" s="1"/>
  <c r="D9" i="15"/>
  <c r="E9" i="15" l="1"/>
  <c r="G9" i="15"/>
  <c r="I9" i="15" s="1"/>
  <c r="C15" i="4"/>
  <c r="E15" i="4" l="1"/>
  <c r="D3" i="15"/>
  <c r="D10" i="15"/>
  <c r="C14" i="4"/>
  <c r="E16" i="4" s="1"/>
  <c r="C16" i="4"/>
  <c r="C17" i="4"/>
  <c r="D5" i="15" s="1"/>
  <c r="E57" i="15" l="1"/>
  <c r="E60" i="15"/>
  <c r="E59" i="15"/>
  <c r="E58" i="15"/>
  <c r="E56" i="15"/>
  <c r="D28" i="15"/>
  <c r="H20" i="6"/>
  <c r="J20" i="6" s="1"/>
  <c r="H18" i="6"/>
  <c r="J18" i="6" s="1"/>
  <c r="H19" i="6"/>
  <c r="J19" i="6" s="1"/>
  <c r="E55" i="15"/>
  <c r="E53" i="15"/>
  <c r="E3" i="15"/>
  <c r="G3" i="15"/>
  <c r="I3" i="15" s="1"/>
  <c r="E54" i="15"/>
  <c r="D29" i="15"/>
  <c r="D13" i="15"/>
  <c r="E52" i="15"/>
  <c r="E18" i="4"/>
  <c r="E17" i="4" s="1"/>
  <c r="D12" i="15"/>
  <c r="D14" i="15"/>
  <c r="E51" i="15"/>
  <c r="D7" i="23"/>
  <c r="D6" i="23"/>
  <c r="D5" i="23"/>
  <c r="D3" i="23"/>
  <c r="D4" i="23"/>
  <c r="N6" i="23"/>
  <c r="D12" i="23"/>
  <c r="P6" i="23"/>
  <c r="Q6" i="23"/>
  <c r="J6" i="23"/>
  <c r="D14" i="23"/>
  <c r="O6" i="23"/>
  <c r="K6" i="23"/>
  <c r="M6" i="23"/>
  <c r="D13" i="23"/>
  <c r="H6" i="23"/>
  <c r="D15" i="23"/>
  <c r="I6" i="23"/>
  <c r="L6" i="23"/>
  <c r="D27" i="15"/>
  <c r="E50" i="15"/>
  <c r="E49" i="15"/>
  <c r="E48" i="15"/>
  <c r="E47" i="15" s="1"/>
  <c r="D8" i="15"/>
  <c r="D18" i="15"/>
  <c r="D16" i="15"/>
  <c r="E10" i="15"/>
  <c r="G10" i="15"/>
  <c r="I10" i="15" s="1"/>
  <c r="D4" i="15"/>
  <c r="H10" i="6"/>
  <c r="J10" i="6" s="1"/>
  <c r="D7" i="15"/>
  <c r="E5" i="15"/>
  <c r="G5" i="15"/>
  <c r="I5" i="15" s="1"/>
  <c r="D17" i="15"/>
  <c r="D6" i="15"/>
  <c r="D11" i="15"/>
  <c r="D15" i="15"/>
  <c r="B12" i="4"/>
  <c r="H46" i="15"/>
  <c r="G28" i="15" l="1"/>
  <c r="I28" i="15" s="1"/>
  <c r="E28" i="15"/>
  <c r="E13" i="15"/>
  <c r="G13" i="15"/>
  <c r="I13" i="15" s="1"/>
  <c r="E29" i="15"/>
  <c r="G29" i="15"/>
  <c r="I29" i="15" s="1"/>
  <c r="E27" i="15"/>
  <c r="G27" i="15"/>
  <c r="I27" i="15" s="1"/>
  <c r="E14" i="15"/>
  <c r="G14" i="15"/>
  <c r="I14" i="15" s="1"/>
  <c r="G12" i="15"/>
  <c r="I12" i="15" s="1"/>
  <c r="E12" i="15"/>
  <c r="E16" i="15"/>
  <c r="G16" i="15"/>
  <c r="I16" i="15" s="1"/>
  <c r="G18" i="15"/>
  <c r="I18" i="15" s="1"/>
  <c r="E18" i="15"/>
  <c r="E8" i="15"/>
  <c r="G8" i="15"/>
  <c r="I8" i="15" s="1"/>
  <c r="E4" i="15"/>
  <c r="G4" i="15"/>
  <c r="I4" i="15" s="1"/>
  <c r="E7" i="15"/>
  <c r="G7" i="15"/>
  <c r="I7" i="15" s="1"/>
  <c r="E15" i="15"/>
  <c r="G15" i="15"/>
  <c r="I15" i="15" s="1"/>
  <c r="E6" i="15"/>
  <c r="G6" i="15"/>
  <c r="I6" i="15" s="1"/>
  <c r="G11" i="15"/>
  <c r="I11" i="15" s="1"/>
  <c r="E11" i="15"/>
  <c r="E17" i="15"/>
  <c r="G17" i="15"/>
  <c r="I17" i="15" s="1"/>
  <c r="D34" i="15" l="1"/>
  <c r="E34" i="15" l="1"/>
  <c r="G34" i="15"/>
  <c r="D40" i="15"/>
  <c r="D22" i="15"/>
  <c r="D42" i="15"/>
  <c r="D39" i="15"/>
  <c r="D44" i="15"/>
  <c r="D41" i="15"/>
  <c r="D43" i="15"/>
  <c r="D36" i="15"/>
  <c r="D45" i="15"/>
  <c r="D32" i="15"/>
  <c r="D38" i="15"/>
  <c r="D46" i="15"/>
  <c r="D37" i="15"/>
  <c r="D35" i="15"/>
  <c r="G35" i="15" s="1"/>
  <c r="I35" i="15" s="1"/>
  <c r="D33" i="15"/>
  <c r="D31" i="15"/>
  <c r="D30" i="15"/>
  <c r="D26" i="15"/>
  <c r="D25" i="15"/>
  <c r="D24" i="15"/>
  <c r="D23" i="15"/>
  <c r="D21" i="15"/>
  <c r="D20" i="15"/>
  <c r="D19" i="15"/>
  <c r="I34" i="15" l="1"/>
  <c r="E19" i="15"/>
  <c r="G19" i="15"/>
  <c r="E21" i="15"/>
  <c r="G21" i="15"/>
  <c r="E24" i="15"/>
  <c r="G24" i="15"/>
  <c r="E26" i="15"/>
  <c r="G26" i="15"/>
  <c r="E31" i="15"/>
  <c r="G31" i="15"/>
  <c r="E35" i="15"/>
  <c r="E46" i="15"/>
  <c r="G46" i="15"/>
  <c r="E32" i="15"/>
  <c r="G32" i="15"/>
  <c r="E36" i="15"/>
  <c r="G36" i="15"/>
  <c r="E41" i="15"/>
  <c r="G41" i="15"/>
  <c r="E42" i="15"/>
  <c r="G42" i="15"/>
  <c r="E22" i="15"/>
  <c r="G22" i="15"/>
  <c r="E20" i="15"/>
  <c r="G20" i="15"/>
  <c r="E23" i="15"/>
  <c r="G23" i="15"/>
  <c r="E25" i="15"/>
  <c r="G25" i="15"/>
  <c r="E30" i="15"/>
  <c r="G30" i="15"/>
  <c r="E33" i="15"/>
  <c r="G33" i="15"/>
  <c r="E37" i="15"/>
  <c r="G37" i="15"/>
  <c r="E38" i="15"/>
  <c r="G38" i="15"/>
  <c r="E45" i="15"/>
  <c r="G45" i="15"/>
  <c r="E43" i="15"/>
  <c r="G43" i="15"/>
  <c r="E44" i="15"/>
  <c r="G44" i="15"/>
  <c r="E39" i="15"/>
  <c r="E40" i="15"/>
  <c r="G40" i="15"/>
  <c r="I40" i="15" l="1"/>
  <c r="I39" i="15"/>
  <c r="I44" i="15"/>
  <c r="I43" i="15"/>
  <c r="I45" i="15"/>
  <c r="I38" i="15"/>
  <c r="I37" i="15"/>
  <c r="I33" i="15"/>
  <c r="I30" i="15"/>
  <c r="I25" i="15"/>
  <c r="I23" i="15"/>
  <c r="I20" i="15"/>
  <c r="I22" i="15"/>
  <c r="I42" i="15"/>
  <c r="I41" i="15"/>
  <c r="I36" i="15"/>
  <c r="I32" i="15"/>
  <c r="I46" i="15"/>
  <c r="I31" i="15"/>
  <c r="I26" i="15"/>
  <c r="I24" i="15"/>
  <c r="I21" i="15"/>
  <c r="I1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11A0EBC2-613B-4887-B643-E214E982A3B7}">
      <text>
        <r>
          <rPr>
            <b/>
            <sz val="12"/>
            <color indexed="81"/>
            <rFont val="Times New Roman"/>
            <family val="1"/>
          </rPr>
          <t>Prohibited Schools</t>
        </r>
        <r>
          <rPr>
            <sz val="12"/>
            <color indexed="81"/>
            <rFont val="Times New Roman"/>
            <family val="1"/>
          </rPr>
          <t xml:space="preserve">
Necromancy &amp; Transmutation</t>
        </r>
      </text>
    </comment>
    <comment ref="C11" authorId="0" shapeId="0" xr:uid="{1C1111AF-ED32-40F9-8655-1A0248A328A7}">
      <text>
        <r>
          <rPr>
            <i/>
            <sz val="12"/>
            <color indexed="81"/>
            <rFont val="Times New Roman"/>
            <family val="1"/>
          </rPr>
          <t>aid +1
haste +1
Shaken -2</t>
        </r>
      </text>
    </comment>
    <comment ref="E12" authorId="0" shapeId="0" xr:uid="{169824D9-C076-4393-85B0-CD5D8117AA14}">
      <text>
        <r>
          <rPr>
            <sz val="12"/>
            <color indexed="81"/>
            <rFont val="Times New Roman"/>
            <family val="1"/>
          </rPr>
          <t>Next level at 91,000 XPs</t>
        </r>
      </text>
    </comment>
    <comment ref="B13" authorId="0" shapeId="0" xr:uid="{CEB3CA34-01A8-4213-B6F2-29329644AF1F}">
      <text>
        <r>
          <rPr>
            <i/>
            <sz val="12"/>
            <color indexed="81"/>
            <rFont val="Times New Roman"/>
            <family val="1"/>
          </rPr>
          <t>bull’s strength +4
Fatigue -2</t>
        </r>
      </text>
    </comment>
    <comment ref="E13" authorId="0" shapeId="0" xr:uid="{2F5A0098-71DE-47CD-BA04-AC0A6700653F}">
      <text>
        <r>
          <rPr>
            <sz val="12"/>
            <color indexed="81"/>
            <rFont val="Times New Roman"/>
            <family val="1"/>
          </rPr>
          <t>See PHB 162</t>
        </r>
      </text>
    </comment>
    <comment ref="B14" authorId="0" shapeId="0" xr:uid="{F36CA0C0-F753-41D5-807B-33FF5D874078}">
      <text>
        <r>
          <rPr>
            <i/>
            <sz val="12"/>
            <color indexed="81"/>
            <rFont val="Times New Roman"/>
            <family val="1"/>
          </rPr>
          <t>Fatigue -2</t>
        </r>
      </text>
    </comment>
    <comment ref="E14" authorId="0" shapeId="0" xr:uid="{9C79D3EC-6B29-4C37-9286-6B7EA589C9B5}">
      <text>
        <r>
          <rPr>
            <sz val="12"/>
            <color indexed="81"/>
            <rFont val="Times New Roman"/>
            <family val="1"/>
          </rPr>
          <t>+15 included for Workshop</t>
        </r>
      </text>
    </comment>
    <comment ref="E15" authorId="0" shapeId="0" xr:uid="{00000000-0006-0000-0000-00000A000000}">
      <text>
        <r>
          <rPr>
            <sz val="12"/>
            <color indexed="81"/>
            <rFont val="Times New Roman"/>
            <family val="1"/>
          </rPr>
          <t>[(4 * 6 Rogue) * 75%]
[(1 * 4 Illusionist) * 75%]
[(5 * 6 Artificer) * 75%]
+ (10 * 1 Con)</t>
        </r>
      </text>
    </comment>
    <comment ref="E16" authorId="0" shapeId="0" xr:uid="{00000000-0006-0000-0000-00000B000000}">
      <text>
        <r>
          <rPr>
            <sz val="12"/>
            <color indexed="81"/>
            <rFont val="Times New Roman"/>
            <family val="1"/>
          </rPr>
          <t xml:space="preserve">+1 Small +2 Ring
+1 </t>
        </r>
        <r>
          <rPr>
            <i/>
            <sz val="12"/>
            <color indexed="81"/>
            <rFont val="Times New Roman"/>
            <family val="1"/>
          </rPr>
          <t xml:space="preserve">haste
</t>
        </r>
        <r>
          <rPr>
            <sz val="12"/>
            <color indexed="81"/>
            <rFont val="Times New Roman"/>
            <family val="1"/>
          </rPr>
          <t xml:space="preserve">+3 </t>
        </r>
        <r>
          <rPr>
            <i/>
            <sz val="12"/>
            <color indexed="81"/>
            <rFont val="Times New Roman"/>
            <family val="1"/>
          </rPr>
          <t>shield of faith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4" authorId="0" shapeId="0" xr:uid="{AA0E80C8-3B0E-4C25-9BF1-D23F53F9A5A7}">
      <text>
        <r>
          <rPr>
            <sz val="12"/>
            <color indexed="81"/>
            <rFont val="Times New Roman"/>
            <family val="1"/>
          </rPr>
          <t>Lightning Reflexes +2</t>
        </r>
      </text>
    </comment>
    <comment ref="F14" authorId="0" shapeId="0" xr:uid="{F16231F8-EB26-4AEF-9ABF-D34FC7BE041D}">
      <text>
        <r>
          <rPr>
            <sz val="12"/>
            <color indexed="81"/>
            <rFont val="Times New Roman"/>
            <family val="1"/>
          </rPr>
          <t>Skill Focus +2</t>
        </r>
      </text>
    </comment>
    <comment ref="F17" authorId="0" shapeId="0" xr:uid="{0DA1295F-523B-4570-9165-C3762B73545D}">
      <text>
        <r>
          <rPr>
            <sz val="12"/>
            <color indexed="81"/>
            <rFont val="Times New Roman"/>
            <family val="1"/>
          </rPr>
          <t>Skill Focus +2</t>
        </r>
      </text>
    </comment>
    <comment ref="F22" authorId="0" shapeId="0" xr:uid="{54A47270-0833-4305-BFCF-53847A3643AB}">
      <text>
        <r>
          <rPr>
            <sz val="12"/>
            <color indexed="81"/>
            <rFont val="Times New Roman"/>
            <family val="1"/>
          </rPr>
          <t>Caravanner +2</t>
        </r>
      </text>
    </comment>
    <comment ref="F24" authorId="0" shapeId="0" xr:uid="{00000000-0006-0000-0100-000004000000}">
      <text>
        <r>
          <rPr>
            <sz val="12"/>
            <color indexed="81"/>
            <rFont val="Times New Roman"/>
            <family val="1"/>
          </rPr>
          <t>Small +4</t>
        </r>
      </text>
    </comment>
    <comment ref="F28" authorId="0" shapeId="0" xr:uid="{D9F8A5E5-8FB4-4C46-86C8-446CEB0F000F}">
      <text>
        <r>
          <rPr>
            <sz val="12"/>
            <color indexed="81"/>
            <rFont val="Times New Roman"/>
            <family val="1"/>
          </rPr>
          <t>Caravanner +2</t>
        </r>
      </text>
    </comment>
    <comment ref="F30" authorId="0" shapeId="0" xr:uid="{00000000-0006-0000-0100-000005000000}">
      <text>
        <r>
          <rPr>
            <sz val="12"/>
            <color indexed="81"/>
            <rFont val="Times New Roman"/>
            <family val="1"/>
          </rPr>
          <t>Gnome +2</t>
        </r>
      </text>
    </comment>
    <comment ref="F31" authorId="0" shapeId="0" xr:uid="{00000000-0006-0000-0100-000006000000}">
      <text>
        <r>
          <rPr>
            <sz val="12"/>
            <color indexed="81"/>
            <rFont val="Times New Roman"/>
            <family val="1"/>
          </rPr>
          <t>Gnome (Small) +4</t>
        </r>
      </text>
    </comment>
    <comment ref="F41" authorId="0" shapeId="0" xr:uid="{7CC378CB-CD70-49D6-8F82-80400201AE20}">
      <text>
        <r>
          <rPr>
            <sz val="12"/>
            <color indexed="81"/>
            <rFont val="Times New Roman"/>
            <family val="1"/>
          </rPr>
          <t>Gnome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7" authorId="0" shapeId="0" xr:uid="{28ADAE1F-5865-477F-9421-C04DBAC5FFFA}">
      <text>
        <r>
          <rPr>
            <sz val="12"/>
            <color indexed="81"/>
            <rFont val="Times New Roman"/>
            <family val="1"/>
          </rPr>
          <t>Wool or fur</t>
        </r>
      </text>
    </comment>
    <comment ref="D12" authorId="0" shapeId="0" xr:uid="{07C3B68E-76ED-4B37-A7E1-DAE881635D53}">
      <text>
        <r>
          <rPr>
            <sz val="12"/>
            <color indexed="81"/>
            <rFont val="Times New Roman"/>
            <family val="1"/>
          </rPr>
          <t>Wool or wax</t>
        </r>
      </text>
    </comment>
    <comment ref="D13" authorId="0" shapeId="0" xr:uid="{AE2410AC-1086-4AD5-80B1-35A36D812877}">
      <text>
        <r>
          <rPr>
            <sz val="12"/>
            <color indexed="81"/>
            <rFont val="Times New Roman"/>
            <family val="1"/>
          </rPr>
          <t>Phosphorescent moss</t>
        </r>
      </text>
    </comment>
    <comment ref="D17" authorId="0" shapeId="0" xr:uid="{47DAA3D4-1DB3-4B6A-B9C3-0C9E6BBCD0FB}">
      <text>
        <r>
          <rPr>
            <sz val="12"/>
            <color indexed="81"/>
            <rFont val="Times New Roman"/>
            <family val="1"/>
          </rPr>
          <t>Prism, lens, or monocle</t>
        </r>
      </text>
    </comment>
    <comment ref="D18" authorId="0" shapeId="0" xr:uid="{39EF3187-CFDF-4836-9710-2EEB3E1D4867}">
      <text>
        <r>
          <rPr>
            <sz val="12"/>
            <color indexed="81"/>
            <rFont val="Times New Roman"/>
            <family val="1"/>
          </rPr>
          <t>Miniature cloak</t>
        </r>
      </text>
    </comment>
    <comment ref="D22" authorId="0" shapeId="0" xr:uid="{0A0D8C7D-2B74-4BD4-A3FB-88DDAB2DDC73}">
      <text>
        <r>
          <rPr>
            <sz val="12"/>
            <color indexed="81"/>
            <rFont val="Times New Roman"/>
            <family val="1"/>
          </rPr>
          <t>Tiny bell and a piece of fine silver wire</t>
        </r>
      </text>
    </comment>
    <comment ref="D24" authorId="0" shapeId="0" xr:uid="{C0738328-B02A-430E-8040-9F4B23601A5E}">
      <text>
        <r>
          <rPr>
            <sz val="12"/>
            <color indexed="81"/>
            <rFont val="Times New Roman"/>
            <family val="1"/>
          </rPr>
          <t>Cured leather</t>
        </r>
      </text>
    </comment>
    <comment ref="D25" authorId="0" shapeId="0" xr:uid="{FAAD7C89-8E2F-42C1-8A2D-0288B107B60F}">
      <text>
        <r>
          <rPr>
            <sz val="12"/>
            <color indexed="81"/>
            <rFont val="Times New Roman"/>
            <family val="1"/>
          </rPr>
          <t>Drop of mercury</t>
        </r>
      </text>
    </comment>
    <comment ref="D26" authorId="0" shapeId="0" xr:uid="{BC117021-F2DE-4708-BE59-37DA37394F77}">
      <text>
        <r>
          <rPr>
            <sz val="12"/>
            <color indexed="81"/>
            <rFont val="Times New Roman"/>
            <family val="1"/>
          </rPr>
          <t>Prism, lens, or monocle</t>
        </r>
      </text>
    </comment>
    <comment ref="D27" authorId="0" shapeId="0" xr:uid="{9394B934-DB42-4F96-BD00-82591C211EB3}">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ED1960EA-635E-416B-97E3-DB6631400E5F}">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3" authorId="0" shapeId="0" xr:uid="{5C47C644-BE90-4AC8-A215-FD5D8A0341D7}">
      <text>
        <r>
          <rPr>
            <sz val="12"/>
            <color indexed="81"/>
            <rFont val="Times New Roman"/>
            <family val="1"/>
          </rPr>
          <t xml:space="preserve">You are skilled at leading caravans along established trade routes. Regions: Cormyr, Dalelands, Sembia, Thesk, Western Heartlands
</t>
        </r>
        <r>
          <rPr>
            <b/>
            <sz val="12"/>
            <color indexed="81"/>
            <rFont val="Times New Roman"/>
            <family val="1"/>
          </rPr>
          <t xml:space="preserve">Benefit:  </t>
        </r>
        <r>
          <rPr>
            <sz val="12"/>
            <color indexed="81"/>
            <rFont val="Times New Roman"/>
            <family val="1"/>
          </rPr>
          <t>You receive a +2 bonus on all Handle Animal and Knowledge (geography) checks.
Races of Faerûn 162</t>
        </r>
      </text>
    </comment>
    <comment ref="C3" authorId="0" shapeId="0" xr:uid="{56651AA1-35DB-46D8-9D03-2853C82840EA}">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A4" authorId="0" shapeId="0" xr:uid="{C6607A43-48FC-4986-9AE8-5EA4566E238D}">
      <text>
        <r>
          <rPr>
            <sz val="12"/>
            <color indexed="81"/>
            <rFont val="Times New Roman"/>
            <family val="1"/>
          </rPr>
          <t>+2 to Reflex saves.
PHB 97</t>
        </r>
      </text>
    </comment>
    <comment ref="C4" authorId="0" shapeId="0" xr:uid="{F57B3594-1395-4ADD-80E2-72D004BDCB39}">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 ref="C5" authorId="0" shapeId="0" xr:uid="{BE37330F-357E-4B5D-AB1A-BFB05AECB7F4}">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6" authorId="0" shapeId="0" xr:uid="{24F40DF7-DA56-467A-BACB-8E50C10C3CCF}">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C6" authorId="0" shapeId="0" xr:uid="{B349AFCA-6596-412B-897D-433042ED9333}">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10" authorId="0" shapeId="0" xr:uid="{5FC6298E-2D01-40FA-BAED-1270D7884C5C}">
      <text>
        <r>
          <rPr>
            <sz val="12"/>
            <color indexed="81"/>
            <rFont val="Times New Roman"/>
            <family val="1"/>
          </rPr>
          <t>Hand crossbow, rapier, sap, shortbow, and short sword.
PHB 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22" authorId="0" shapeId="0" xr:uid="{00000000-0006-0000-0600-000001000000}">
      <text>
        <r>
          <rPr>
            <sz val="12"/>
            <color indexed="81"/>
            <rFont val="Times New Roman"/>
            <family val="1"/>
          </rPr>
          <t>Balance, Climb, Escape Artist, Hide, Jump, Move Silently, Sleight of Hand, Tumble.</t>
        </r>
      </text>
    </comment>
    <comment ref="B24" authorId="0" shapeId="0" xr:uid="{F8BB46B9-71E8-48C4-BD1E-800E505307D8}">
      <text>
        <r>
          <rPr>
            <sz val="12"/>
            <color indexed="81"/>
            <rFont val="Times New Roman"/>
            <family val="1"/>
          </rPr>
          <t>This is a deflection bonus, so it’s hard-coded into the TAC calculation in the Personal File.</t>
        </r>
      </text>
    </comment>
    <comment ref="A25" authorId="0" shapeId="0" xr:uid="{0914EA35-9F77-484A-9DD6-11AF38200B0F}">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7F6E11B4-2265-4F52-A9F3-FFA5BC8B0905}">
      <text>
        <r>
          <rPr>
            <sz val="12"/>
            <color indexed="81"/>
            <rFont val="Times New Roman"/>
            <family val="1"/>
          </rPr>
          <t>#1 – Ordinary travel clothes (the short-sleeved gambeson is part of her armor) with a light cloak, as shown on her portrait pic. (The cloak isn’t visible in the pics, because I have trouble rendering them.)
#2 – Casual outfit shown in her second pic. Also includes a lightweight burgundy thigh-length embroidered cloak that she pulls to the back when it’s not in use.
#3 – Light tan, light brown, and medium tan ghillie suit – manifests strips of cloth everywhere not covered by the chain shirt. The cloak extends to cover her head, torso and thighs, front and back.
#4 – Medium green, dark green, and brown ghillie suit – same coverage.
#5 – White and gray ghillie suit –same coverage, but the base cloth extrudes an extra layer for insulation from the cold.
She does own a coat and a heavy woolen cloak that can fit over her Shiftweave for winter travel, but they’re ordinary clothes.</t>
        </r>
      </text>
    </comment>
    <comment ref="A5" authorId="0" shapeId="0" xr:uid="{14BB4F4D-0A96-4855-93E1-13C5EC5FC2E8}">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Craft Wondrous Item, cure moderate wounds.
MIC 110</t>
        </r>
      </text>
    </comment>
    <comment ref="A6" authorId="0" shapeId="0" xr:uid="{42EE88C7-C20F-4A83-85C9-9D041FE43D16}">
      <text>
        <r>
          <rPr>
            <b/>
            <sz val="12"/>
            <color indexed="81"/>
            <rFont val="Times New Roman"/>
            <family val="1"/>
          </rPr>
          <t xml:space="preserve">Price (Item Level):  </t>
        </r>
        <r>
          <rPr>
            <sz val="12"/>
            <color indexed="81"/>
            <rFont val="Times New Roman"/>
            <family val="1"/>
          </rPr>
          <t xml:space="preserve">6,000 gp (10th)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This chain bears a large green crystal in its center.  Four smaller, removable charms of red crystal also hang from the pendant.
To use a farspeaking amulet, one character wears the central crystal, while up to four others carry the four removable, red crystals. Removable crystals don’t occupy a body slot, and can simply be carried.
Charms can be removed or replaced as a standard action.  The wearer can, with a standard (mental) action, return a single charm to the amulet from any distance, as long as it is on the same plane.
When you activate the amulet, you create a link between yourself and any or all of the characters carrying red charms, enabling all affected characters to converse as if standing together. This effect lasts for up to 10 minutes, and the amulet can be activated three times per day.  Only characters on the same plane as the amulet’s wearer can participate in the conversation.
If you also wear a magic item that grants you a competence bonus on Listen checks when you activate the amulet, you can choose to also listen to the environment of any or all of the characters in the conversation as if you were present.  The magic of the amulet allows you to differentiate between the various locations without undue confusion.
MIC 99</t>
        </r>
      </text>
    </comment>
    <comment ref="A7" authorId="0" shapeId="0" xr:uid="{88CEAAC4-E9C1-42C8-AF4E-FB95A4E5BD59}">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These sleek leather boots lean slightly forward, as if poised to leap.
While wearing dimension stride boots, you gain a +2 competence bonus on Jump checks.  This is a continuous effect and requires no activation.
In addition, the boots have 5 charges, which are renewed each day at dawn.
Spending 1 or more charges allows you to teleport a short distance (with no chance of error).  You must have line of sight and line of effect to your destination.  You can’t use the boots to move into a space occupied by another creature, nor can you teleport into a solid object; if you attempt to do so, the boots’ activation is wasted.  You can bring along objects weighing up to your maximum load, but you can’t bring other creatures.
</t>
        </r>
        <r>
          <rPr>
            <b/>
            <sz val="12"/>
            <color indexed="81"/>
            <rFont val="Times New Roman"/>
            <family val="1"/>
          </rPr>
          <t xml:space="preserve">1 charge: </t>
        </r>
        <r>
          <rPr>
            <sz val="12"/>
            <color indexed="81"/>
            <rFont val="Times New Roman"/>
            <family val="1"/>
          </rPr>
          <t xml:space="preserve">Teleport 20 feet.
</t>
        </r>
        <r>
          <rPr>
            <b/>
            <sz val="12"/>
            <color indexed="81"/>
            <rFont val="Times New Roman"/>
            <family val="1"/>
          </rPr>
          <t xml:space="preserve">3 charges: </t>
        </r>
        <r>
          <rPr>
            <sz val="12"/>
            <color indexed="81"/>
            <rFont val="Times New Roman"/>
            <family val="1"/>
          </rPr>
          <t xml:space="preserve">Teleport 40 feet.
</t>
        </r>
        <r>
          <rPr>
            <b/>
            <sz val="12"/>
            <color indexed="81"/>
            <rFont val="Times New Roman"/>
            <family val="1"/>
          </rPr>
          <t xml:space="preserve">5 charges: </t>
        </r>
        <r>
          <rPr>
            <sz val="12"/>
            <color indexed="81"/>
            <rFont val="Times New Roman"/>
            <family val="1"/>
          </rPr>
          <t>Teleport 60 feet.
Magic Item Compendium 94</t>
        </r>
      </text>
    </comment>
    <comment ref="A12" authorId="0" shapeId="0" xr:uid="{F528FD1E-5989-4912-B0B0-10FA0B2FD009}">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 ref="A19" authorId="0" shapeId="0" xr:uid="{5FED62F0-D645-4BCB-8842-7F0663DA3E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43" authorId="0" shapeId="0" xr:uid="{5E569819-74FA-4BDF-A67F-E9AF13A9BFD1}">
      <text>
        <r>
          <rPr>
            <sz val="12"/>
            <color indexed="81"/>
            <rFont val="Times New Roman"/>
            <family val="1"/>
          </rPr>
          <t>10’ x 10’, 5’ tall inside (she is a gnome, after all), weatherproof, fireproof (this is important since there will be a forge right outside it), and windproof (can’t be blown over), contains up to 1000 lbs. or 500 cu.ft. of nonliving materials, weighs 15 lbs. and measures 12” x 12” x 6” when folded.  It folds and unfolds in one minute with a command word.  Magical resistances would be typical of such constructs, and (maybe?) it only functions for gnomes.
non-canon</t>
        </r>
      </text>
    </comment>
  </commentList>
</comments>
</file>

<file path=xl/sharedStrings.xml><?xml version="1.0" encoding="utf-8"?>
<sst xmlns="http://schemas.openxmlformats.org/spreadsheetml/2006/main" count="870" uniqueCount="438">
  <si>
    <t>Melee Weapon</t>
  </si>
  <si>
    <t>Dmg</t>
  </si>
  <si>
    <t>Qty.</t>
  </si>
  <si>
    <t>Ranged Weapon</t>
  </si>
  <si>
    <t>Dmg.</t>
  </si>
  <si>
    <t>Rng.</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</si>
  <si>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</si>
  <si>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</si>
  <si>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</si>
  <si>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</si>
  <si>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</si>
  <si>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</si>
  <si>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</si>
  <si>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</si>
  <si>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</si>
  <si>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</si>
  <si>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</si>
  <si>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</si>
  <si>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</si>
  <si>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</si>
  <si>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</si>
  <si>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</si>
  <si>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</si>
  <si>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</si>
  <si>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</si>
  <si>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</si>
  <si>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</si>
  <si>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</si>
  <si>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</si>
  <si>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</si>
  <si>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</si>
  <si>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</si>
  <si>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</si>
  <si>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</si>
  <si>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</si>
  <si>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</si>
  <si>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</si>
  <si>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</si>
  <si>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</si>
  <si>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</si>
  <si>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</si>
  <si>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</si>
  <si>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</si>
  <si>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</si>
  <si>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</si>
  <si>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</si>
  <si>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</si>
  <si>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</si>
  <si>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</si>
  <si>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</si>
  <si>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</si>
  <si>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</si>
  <si>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</si>
  <si>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</si>
  <si>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</si>
  <si>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</si>
  <si>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Will</t>
  </si>
  <si>
    <t>Armor &amp; Shield</t>
  </si>
  <si>
    <t>Missiles</t>
  </si>
  <si>
    <t>Languages</t>
  </si>
  <si>
    <t>Equipment Worn</t>
  </si>
  <si>
    <t>Item</t>
  </si>
  <si>
    <t>Effects/</t>
  </si>
  <si>
    <t>Notes</t>
  </si>
  <si>
    <t>Equipment Carried</t>
  </si>
  <si>
    <t>Check</t>
  </si>
  <si>
    <t>Arcane</t>
  </si>
  <si>
    <t>Speed</t>
  </si>
  <si>
    <t>Sleight of Hand</t>
  </si>
  <si>
    <t>Survival</t>
  </si>
  <si>
    <t>Weapon Proficiencies</t>
  </si>
  <si>
    <t>Atk</t>
  </si>
  <si>
    <t>Feats</t>
  </si>
  <si>
    <t>2</t>
  </si>
  <si>
    <t>Roll</t>
  </si>
  <si>
    <t>Spell</t>
  </si>
  <si>
    <t>-</t>
  </si>
  <si>
    <t>Level</t>
  </si>
  <si>
    <t>DC</t>
  </si>
  <si>
    <t>Cast?</t>
  </si>
  <si>
    <t>Skill/Save</t>
  </si>
  <si>
    <t>Ghost Sound</t>
  </si>
  <si>
    <t>Racial Abilities</t>
  </si>
  <si>
    <t>+1 vs. kobolds &amp; goblinoids</t>
  </si>
  <si>
    <t>+4 dodge vs. Giant type</t>
  </si>
  <si>
    <t>Bludgeon</t>
  </si>
  <si>
    <t>1d3</t>
  </si>
  <si>
    <t>CLev</t>
  </si>
  <si>
    <t>Low-light Vision</t>
  </si>
  <si>
    <t>4</t>
  </si>
  <si>
    <t>Wands, Scrolls and Potions</t>
  </si>
  <si>
    <t>Grapple, Unarmed Strike</t>
  </si>
  <si>
    <t>x2</t>
  </si>
  <si>
    <t>Value</t>
  </si>
  <si>
    <t>Fortitude</t>
  </si>
  <si>
    <t>Reflex</t>
  </si>
  <si>
    <t>Gnome Hammer treated as martial</t>
  </si>
  <si>
    <t>Perform:  [type]</t>
  </si>
  <si>
    <t>q</t>
  </si>
  <si>
    <t>Ranged Touch Spell</t>
  </si>
  <si>
    <t>Played by JR Roberts</t>
  </si>
  <si>
    <t>Saradette</t>
  </si>
  <si>
    <t>Female</t>
  </si>
  <si>
    <t>3’ 9”</t>
  </si>
  <si>
    <t>44 lbs.</t>
  </si>
  <si>
    <t>Chaotic Good</t>
  </si>
  <si>
    <t>The Dalelands</t>
  </si>
  <si>
    <t>Personality, History, and Notes</t>
  </si>
  <si>
    <t>30’</t>
  </si>
  <si>
    <t>Rogue</t>
  </si>
  <si>
    <t>Rogue 1</t>
  </si>
  <si>
    <t>Rogue Features</t>
  </si>
  <si>
    <t>Trapfinding</t>
  </si>
  <si>
    <t>Goblinoid</t>
  </si>
  <si>
    <t>Gnomish, Common, Elvish</t>
  </si>
  <si>
    <t>1st:  Run</t>
  </si>
  <si>
    <t>19-20/x2</t>
  </si>
  <si>
    <t>Slsh/Prc</t>
  </si>
  <si>
    <t>Arrows</t>
  </si>
  <si>
    <t>Thieves’ Tools</t>
  </si>
  <si>
    <t>Possibles Bag</t>
  </si>
  <si>
    <t>Waterskin</t>
  </si>
  <si>
    <t>Trail Rations</t>
  </si>
  <si>
    <t>Speak Language:  [Language]</t>
  </si>
  <si>
    <t>Craft:  Metalworking</t>
  </si>
  <si>
    <t>SF</t>
  </si>
  <si>
    <t>1</t>
  </si>
  <si>
    <t>Dancing Lights</t>
  </si>
  <si>
    <t>Prestidigitation</t>
  </si>
  <si>
    <t>Speak with Animals</t>
  </si>
  <si>
    <t>60’</t>
  </si>
  <si>
    <t>Clothes &amp; Toiletries</t>
  </si>
  <si>
    <t>Rock Gnome Spells</t>
  </si>
  <si>
    <t>Race</t>
  </si>
  <si>
    <t>Class</t>
  </si>
  <si>
    <t>Deity</t>
  </si>
  <si>
    <t>Height</t>
  </si>
  <si>
    <t>Age</t>
  </si>
  <si>
    <t>Weight</t>
  </si>
  <si>
    <t>Region</t>
  </si>
  <si>
    <t>Sex</t>
  </si>
  <si>
    <t>Alignment</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</si>
  <si>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</si>
  <si>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</si>
  <si>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</si>
  <si>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</si>
  <si>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</si>
  <si>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</si>
  <si>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</si>
  <si>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</si>
  <si>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</si>
  <si>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</si>
  <si>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</si>
  <si>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</si>
  <si>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</si>
  <si>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</si>
  <si>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</si>
  <si>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</si>
  <si>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</si>
  <si>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</si>
  <si>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</si>
  <si>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</si>
  <si>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</si>
  <si>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</si>
  <si>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</si>
  <si>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</si>
  <si>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20’</t>
  </si>
  <si>
    <t>Thoroughness and clarity</t>
  </si>
  <si>
    <t>Level-appropriate use of skills, feats, limitations, and other features</t>
  </si>
  <si>
    <t>Convincing role-playing and character development</t>
  </si>
  <si>
    <t>Consistency with other characters’ actions and setting description</t>
  </si>
  <si>
    <t>Rogue 2</t>
  </si>
  <si>
    <t>CROSS-CLASS</t>
  </si>
  <si>
    <t>Evasion</t>
  </si>
  <si>
    <t>Illusionist</t>
  </si>
  <si>
    <t>Illusionist 1</t>
  </si>
  <si>
    <t>Knowledge:  Arch. &amp; Eng.</t>
  </si>
  <si>
    <t>3rd:  Lightning Reflexes</t>
  </si>
  <si>
    <t>Illusionist Abilities</t>
  </si>
  <si>
    <t>Scribe Scroll</t>
  </si>
  <si>
    <t>School</t>
  </si>
  <si>
    <t>Components</t>
  </si>
  <si>
    <t>Casting</t>
  </si>
  <si>
    <t>Range</t>
  </si>
  <si>
    <t>Duration</t>
  </si>
  <si>
    <t>Reference</t>
  </si>
  <si>
    <t>Page</t>
  </si>
  <si>
    <t>Acid Splash</t>
  </si>
  <si>
    <t>Conjuration</t>
  </si>
  <si>
    <t>V S</t>
  </si>
  <si>
    <t>1 SA</t>
  </si>
  <si>
    <t>25’ + 2½’/lvl</t>
  </si>
  <si>
    <t>Instant</t>
  </si>
  <si>
    <t>PHB</t>
  </si>
  <si>
    <t>Daze</t>
  </si>
  <si>
    <t>Enchantment</t>
  </si>
  <si>
    <t>V S M</t>
  </si>
  <si>
    <t>1 round</t>
  </si>
  <si>
    <t>Divination</t>
  </si>
  <si>
    <t>Personal</t>
  </si>
  <si>
    <t>Touch</t>
  </si>
  <si>
    <t>1 rnd/lvl</t>
  </si>
  <si>
    <t>V</t>
  </si>
  <si>
    <t>1 hour</t>
  </si>
  <si>
    <t>Evocation</t>
  </si>
  <si>
    <t>V S M/DF</t>
  </si>
  <si>
    <t>100’ + 10’/lvl</t>
  </si>
  <si>
    <t>1 min/lvl</t>
  </si>
  <si>
    <t>10 min/lvl</t>
  </si>
  <si>
    <t>Illusion</t>
  </si>
  <si>
    <t>Abjuration</t>
  </si>
  <si>
    <t>Spell Compendium</t>
  </si>
  <si>
    <t>V S F</t>
  </si>
  <si>
    <t>Resistance</t>
  </si>
  <si>
    <t>Caltrops</t>
  </si>
  <si>
    <t>Ray of Frost</t>
  </si>
  <si>
    <t>Detect Poison</t>
  </si>
  <si>
    <t>Electric Jolt</t>
  </si>
  <si>
    <t>Flare</t>
  </si>
  <si>
    <t>Light</t>
  </si>
  <si>
    <t>Sonic Snap</t>
  </si>
  <si>
    <t>Silent Portal</t>
  </si>
  <si>
    <t>Unnerving Gaze</t>
  </si>
  <si>
    <t>Message</t>
  </si>
  <si>
    <t>Arcane Mark</t>
  </si>
  <si>
    <t>Detect Magic</t>
  </si>
  <si>
    <t>Read Magic</t>
  </si>
  <si>
    <t>1 minute</t>
  </si>
  <si>
    <t>V M/DF</t>
  </si>
  <si>
    <t>S</t>
  </si>
  <si>
    <t>Book of Vile Darkness</t>
  </si>
  <si>
    <t>24 hours</t>
  </si>
  <si>
    <t>10’</t>
  </si>
  <si>
    <t>1 hr/lvl</t>
  </si>
  <si>
    <t>Universal</t>
  </si>
  <si>
    <t>1 rune</t>
  </si>
  <si>
    <t>Permanent</t>
  </si>
  <si>
    <t>Alarm</t>
  </si>
  <si>
    <t>Mage Armor</t>
  </si>
  <si>
    <t>Tenser’s Floating Disk</t>
  </si>
  <si>
    <t>Endure Elements</t>
  </si>
  <si>
    <t>2 hrs/lvl</t>
  </si>
  <si>
    <t>Spells per Day by Level</t>
  </si>
  <si>
    <t>0th</t>
  </si>
  <si>
    <t>1st</t>
  </si>
  <si>
    <t>2nd</t>
  </si>
  <si>
    <t>3rd</t>
  </si>
  <si>
    <t>4th</t>
  </si>
  <si>
    <t>5th</t>
  </si>
  <si>
    <t>6th</t>
  </si>
  <si>
    <t>7th</t>
  </si>
  <si>
    <t>8th</t>
  </si>
  <si>
    <t>9th</t>
  </si>
  <si>
    <t>Base Spells</t>
  </si>
  <si>
    <t>Intelligence Bonus</t>
  </si>
  <si>
    <t>Total Spells</t>
  </si>
  <si>
    <t>Spell DC</t>
  </si>
  <si>
    <t>Spellbook</t>
  </si>
  <si>
    <t>Memorized Spells</t>
  </si>
  <si>
    <t>Bonus</t>
  </si>
  <si>
    <t>Inkpen</t>
  </si>
  <si>
    <t>Ink</t>
  </si>
  <si>
    <t>Profession:  Engineer</t>
  </si>
  <si>
    <t>Metalworking Toolkit</t>
  </si>
  <si>
    <r>
      <t xml:space="preserve">Tarapple Febble Tallniss </t>
    </r>
    <r>
      <rPr>
        <i/>
        <sz val="9"/>
        <color rgb="FFFFC000"/>
        <rFont val="Times New Roman"/>
        <family val="1"/>
      </rPr>
      <t>Nensy Gwaella Grangytee of Clan Warblerivet</t>
    </r>
  </si>
  <si>
    <t>+1 vs. Fear</t>
  </si>
  <si>
    <t>Rogue 3</t>
  </si>
  <si>
    <t>Craft:  Alchemy</t>
  </si>
  <si>
    <t>Craft:  Locksmithing</t>
  </si>
  <si>
    <t>Sneak Attack 2d6</t>
  </si>
  <si>
    <t>Summon Familiar</t>
  </si>
  <si>
    <t>Shiftweave</t>
  </si>
  <si>
    <t>Healing Belt</t>
  </si>
  <si>
    <t>Heward’s Handy Haversack</t>
  </si>
  <si>
    <t>% Full:</t>
  </si>
  <si>
    <t>https://www.amazon.com/ghillie-suit/s?k=ghillie+suit</t>
  </si>
  <si>
    <t>2½</t>
  </si>
  <si>
    <t>Soft Equity Ceiling:</t>
  </si>
  <si>
    <t>Total Equity:</t>
  </si>
  <si>
    <t>Device Powers Known</t>
  </si>
  <si>
    <t>Artificer Level</t>
  </si>
  <si>
    <t>Devices:</t>
  </si>
  <si>
    <t>Uncanny Dodge</t>
  </si>
  <si>
    <t>Rogue 4</t>
  </si>
  <si>
    <t>Pump (Sabot Launcher)</t>
  </si>
  <si>
    <t>Craft:  Trapmaking</t>
  </si>
  <si>
    <t>Knowledge:  Metallurgy</t>
  </si>
  <si>
    <t>Artificer 1</t>
  </si>
  <si>
    <t>6th:  Skill Focus – Metalworking</t>
  </si>
  <si>
    <t>Artificer Abilities</t>
  </si>
  <si>
    <t>Sabot Ammo</t>
  </si>
  <si>
    <t>Tradesman’s Clothes</t>
  </si>
  <si>
    <t>Masterwork Lathe</t>
  </si>
  <si>
    <t>Heat Treating Oven</t>
  </si>
  <si>
    <t>Forge</t>
  </si>
  <si>
    <t>Coal</t>
  </si>
  <si>
    <t>Dimension Stride Boots</t>
  </si>
  <si>
    <t>Restful Crystal</t>
  </si>
  <si>
    <t>Mithral Chain Shirt +1</t>
  </si>
  <si>
    <t>Flint and Steel</t>
  </si>
  <si>
    <t>Engineering Books</t>
  </si>
  <si>
    <t>Will:</t>
  </si>
  <si>
    <t>Charisma:</t>
  </si>
  <si>
    <t>Ref:</t>
  </si>
  <si>
    <t>Wisdom:</t>
  </si>
  <si>
    <t>Fort:</t>
  </si>
  <si>
    <t>Intelligence:</t>
  </si>
  <si>
    <t>BAB:</t>
  </si>
  <si>
    <t>Constitution:</t>
  </si>
  <si>
    <t>13</t>
  </si>
  <si>
    <t>AC:</t>
  </si>
  <si>
    <t>Dexterity:</t>
  </si>
  <si>
    <t>Hit Points:</t>
  </si>
  <si>
    <t>Strength:</t>
  </si>
  <si>
    <t>Speed:</t>
  </si>
  <si>
    <t>Size:</t>
  </si>
  <si>
    <t>Initiative:</t>
  </si>
  <si>
    <t>Sex:</t>
  </si>
  <si>
    <t>Race:</t>
  </si>
  <si>
    <t>Total Weight</t>
  </si>
  <si>
    <t>Draft Animal</t>
  </si>
  <si>
    <t>Pony</t>
  </si>
  <si>
    <t>Medium</t>
  </si>
  <si>
    <t>11</t>
  </si>
  <si>
    <t>Pulled by Pony</t>
  </si>
  <si>
    <t>Feed</t>
  </si>
  <si>
    <t>40’</t>
  </si>
  <si>
    <t>Gadget</t>
  </si>
  <si>
    <t>Ref</t>
  </si>
  <si>
    <t>Fort</t>
  </si>
  <si>
    <t>BAB</t>
  </si>
  <si>
    <t>TAC/AC</t>
  </si>
  <si>
    <t>Size</t>
  </si>
  <si>
    <t>Neutral</t>
  </si>
  <si>
    <t>Familiar</t>
  </si>
  <si>
    <t>Tiny</t>
  </si>
  <si>
    <t>Raccoon</t>
  </si>
  <si>
    <t>Widget</t>
  </si>
  <si>
    <t>Gold Coins</t>
  </si>
  <si>
    <t>20’/20’ Climb</t>
  </si>
  <si>
    <t>Thrown Object</t>
  </si>
  <si>
    <t>varies</t>
  </si>
  <si>
    <t>Attention to spelling &amp; punctuation; consistent use of past tense, third person</t>
  </si>
  <si>
    <t>Silver Coins</t>
  </si>
  <si>
    <t>Copper Coins</t>
  </si>
  <si>
    <t>Silver, Raw</t>
  </si>
  <si>
    <t>*</t>
  </si>
  <si>
    <t>?</t>
  </si>
  <si>
    <t>Ornate Dagger</t>
  </si>
  <si>
    <t>Possibly MW</t>
  </si>
  <si>
    <t>Acid Flasks</t>
  </si>
  <si>
    <t>Ninja Gear</t>
  </si>
  <si>
    <t>Climbing gear, ninja-to, shurikens (10), acid flasks (2)</t>
  </si>
  <si>
    <t>Dagger, Silver</t>
  </si>
  <si>
    <t>Artificer 2</t>
  </si>
  <si>
    <t>Disguise Kit</t>
  </si>
  <si>
    <r>
      <t xml:space="preserve">+1 </t>
    </r>
    <r>
      <rPr>
        <i/>
        <sz val="13"/>
        <rFont val="Times New Roman"/>
        <family val="1"/>
      </rPr>
      <t>haste</t>
    </r>
  </si>
  <si>
    <t>Skill Focus:  Disable Device</t>
  </si>
  <si>
    <t>Gnomish Artificer Workshop</t>
  </si>
  <si>
    <t>Solder</t>
  </si>
  <si>
    <t>30’ of ½” Copper Pipe</t>
  </si>
  <si>
    <t>6-count of 5’ Lengths</t>
  </si>
  <si>
    <t>Copper Fittings</t>
  </si>
  <si>
    <t>Soldering Flux</t>
  </si>
  <si>
    <t>Tubing Bender</t>
  </si>
  <si>
    <t xml:space="preserve">3’ Iron Sizing Mandrel </t>
  </si>
  <si>
    <t>Swaging Die</t>
  </si>
  <si>
    <t>Gnome Depot Lead Apron</t>
  </si>
  <si>
    <t>Resistance (Acid &amp; Fire) 10, limited use, uncertain hardness &amp; HPs</t>
  </si>
  <si>
    <t>Regional:  Caravanner</t>
  </si>
  <si>
    <t>Knowledge:  Geography</t>
  </si>
  <si>
    <t>Biogas Generator</t>
  </si>
  <si>
    <t>Infrastructure</t>
  </si>
  <si>
    <t>Furniture</t>
  </si>
  <si>
    <t>Everlasting Rations</t>
  </si>
  <si>
    <t>Caster Level (Illusionist):</t>
  </si>
  <si>
    <t>Caster Level (Artificer):</t>
  </si>
  <si>
    <t>Artificer 3</t>
  </si>
  <si>
    <t>Artificer 4</t>
  </si>
  <si>
    <t>9th:  Track</t>
  </si>
  <si>
    <t>Dagger, 2nd Attack</t>
  </si>
  <si>
    <t>1d6</t>
  </si>
  <si>
    <t>Salvage</t>
  </si>
  <si>
    <t>Artificer 5</t>
  </si>
  <si>
    <t>120’</t>
  </si>
  <si>
    <t>Ring of Flying</t>
  </si>
  <si>
    <t>CL 5</t>
  </si>
  <si>
    <t>Ring of Protection +2</t>
  </si>
  <si>
    <t>Good</t>
  </si>
  <si>
    <t>Mage Hand</t>
  </si>
  <si>
    <t>See Invisibility</t>
  </si>
  <si>
    <t>Water Breathing</t>
  </si>
  <si>
    <t>Artificer 6</t>
  </si>
  <si>
    <t>Bypass Spell Resistance, Ill</t>
  </si>
  <si>
    <t>Bypass Spell Resistance, Art</t>
  </si>
  <si>
    <t>Gondar Artificer</t>
  </si>
  <si>
    <t>Gond</t>
  </si>
  <si>
    <t>Craft Artificer Device</t>
  </si>
  <si>
    <t>Previous Experience</t>
  </si>
  <si>
    <t>Power Modification</t>
  </si>
  <si>
    <t>Bonus Item</t>
  </si>
  <si>
    <t>Lessons in Design</t>
  </si>
  <si>
    <t>Device Modification</t>
  </si>
  <si>
    <t>Spontaneous Innovation</t>
  </si>
  <si>
    <t>PM</t>
  </si>
  <si>
    <t>BI</t>
  </si>
  <si>
    <t>Simple Weapons, Light &amp; Medium Armor</t>
  </si>
  <si>
    <t>Rogue Weapons, Shields (not Tower)</t>
  </si>
  <si>
    <t>New Features</t>
  </si>
  <si>
    <t>DM</t>
  </si>
  <si>
    <t>Transmutation</t>
  </si>
  <si>
    <t>MW Cart</t>
  </si>
  <si>
    <t>4 slots large enough for 1 bag of holding each</t>
  </si>
  <si>
    <t>Fuel Cell Powered Methane Synthesizer</t>
  </si>
  <si>
    <t>Farspeaking Amulet</t>
  </si>
  <si>
    <t>Not normally worn</t>
  </si>
  <si>
    <t>Organization</t>
  </si>
  <si>
    <t>Fist of Light</t>
  </si>
  <si>
    <t>Leadership</t>
  </si>
  <si>
    <r>
      <t>20</t>
    </r>
    <r>
      <rPr>
        <sz val="13"/>
        <rFont val="Times New Roman"/>
        <family val="1"/>
      </rPr>
      <t>/</t>
    </r>
    <r>
      <rPr>
        <sz val="13"/>
        <color indexed="51"/>
        <rFont val="Times New Roman"/>
        <family val="1"/>
      </rPr>
      <t>40</t>
    </r>
    <r>
      <rPr>
        <sz val="13"/>
        <rFont val="Times New Roman"/>
        <family val="1"/>
      </rPr>
      <t>/</t>
    </r>
    <r>
      <rPr>
        <sz val="13"/>
        <color indexed="10"/>
        <rFont val="Times New Roman"/>
        <family val="1"/>
      </rPr>
      <t>60</t>
    </r>
  </si>
  <si>
    <t>Rock Gnome</t>
  </si>
  <si>
    <t>Artificer 7</t>
  </si>
  <si>
    <t>Artificer 8</t>
  </si>
  <si>
    <t>Device 1:  Gauntlets of Energy</t>
  </si>
  <si>
    <t>Device 2:  Gauntlets (2nd slot)</t>
  </si>
  <si>
    <t>Device 3:  [available]</t>
  </si>
  <si>
    <t>Gauntlets of Energy</t>
  </si>
  <si>
    <t>Horizikaul’s Boom</t>
  </si>
  <si>
    <t>Will DC 14 or deafened for 1d4 rounds</t>
  </si>
  <si>
    <t>Ref DC 16 for ½; melts most metals</t>
  </si>
  <si>
    <t>Lightning Bolt</t>
  </si>
  <si>
    <t>Fireball</t>
  </si>
  <si>
    <t>Ice Storm</t>
  </si>
  <si>
    <t>400’ + 40’/lvl</t>
  </si>
  <si>
    <t>20’ Radius</t>
  </si>
  <si>
    <t>3d6+2d6 Cold</t>
  </si>
  <si>
    <t>Acid Flask</t>
  </si>
  <si>
    <t>Acid Flask, 2nd Lob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</si>
</sst>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87"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b/>
      <sz val="12"/>
      <color rgb="FFFFC000"/>
      <name val="Times New Roman"/>
      <family val="1"/>
    </font>
    <font>
      <sz val="12"/>
      <color rgb="FFFFC000"/>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3"/>
      <color rgb="FFFF0000"/>
      <name val="Times New Roman"/>
      <family val="1"/>
    </font>
    <font>
      <sz val="13"/>
      <name val="Wingdings"/>
      <charset val="2"/>
    </font>
    <font>
      <b/>
      <sz val="13"/>
      <color theme="0"/>
      <name val="Times New Roman"/>
      <family val="1"/>
    </font>
    <font>
      <i/>
      <sz val="16"/>
      <name val="Times New Roman"/>
      <family val="1"/>
    </font>
    <font>
      <i/>
      <sz val="10"/>
      <color rgb="FFFFC000"/>
      <name val="Times New Roman"/>
      <family val="1"/>
    </font>
    <font>
      <sz val="18"/>
      <name val="Times New Roman"/>
      <family val="1"/>
    </font>
    <font>
      <sz val="13"/>
      <color rgb="FF009900"/>
      <name val="Times New Roman"/>
      <family val="1"/>
    </font>
    <font>
      <i/>
      <sz val="18"/>
      <color theme="0" tint="-0.499984740745262"/>
      <name val="Times New Roman"/>
      <family val="1"/>
    </font>
    <font>
      <b/>
      <sz val="12"/>
      <color indexed="81"/>
      <name val="Times New Roman"/>
      <family val="1"/>
    </font>
    <font>
      <i/>
      <sz val="18"/>
      <color rgb="FF7030A0"/>
      <name val="Times New Roman"/>
      <family val="1"/>
    </font>
    <font>
      <sz val="12"/>
      <name val="Wingdings"/>
      <charset val="2"/>
    </font>
    <font>
      <sz val="13"/>
      <color rgb="FF7030A0"/>
      <name val="Times New Roman"/>
      <family val="1"/>
    </font>
    <font>
      <i/>
      <sz val="18"/>
      <color theme="0" tint="-0.249977111117893"/>
      <name val="Times New Roman"/>
      <family val="1"/>
    </font>
    <font>
      <i/>
      <sz val="16"/>
      <color rgb="FF7030A0"/>
      <name val="Times New Roman"/>
      <family val="1"/>
    </font>
    <font>
      <sz val="12"/>
      <color theme="0" tint="-0.499984740745262"/>
      <name val="Times New Roman"/>
      <family val="1"/>
    </font>
    <font>
      <b/>
      <sz val="12"/>
      <color rgb="FF9966FF"/>
      <name val="Times New Roman"/>
      <family val="1"/>
    </font>
    <font>
      <b/>
      <sz val="12"/>
      <color rgb="FF7030A0"/>
      <name val="Times New Roman"/>
      <family val="1"/>
    </font>
    <font>
      <b/>
      <sz val="12"/>
      <color theme="0"/>
      <name val="Times New Roman"/>
      <family val="1"/>
    </font>
    <font>
      <b/>
      <sz val="12"/>
      <color theme="0" tint="-0.499984740745262"/>
      <name val="Times New Roman"/>
      <family val="1"/>
    </font>
    <font>
      <i/>
      <sz val="9"/>
      <color rgb="FFFFC000"/>
      <name val="Times New Roman"/>
      <family val="1"/>
    </font>
    <font>
      <i/>
      <sz val="12"/>
      <color indexed="81"/>
      <name val="Times New Roman"/>
      <family val="1"/>
    </font>
    <font>
      <i/>
      <sz val="17"/>
      <name val="Times New Roman"/>
      <family val="1"/>
    </font>
    <font>
      <i/>
      <sz val="18"/>
      <color rgb="FF0000FF"/>
      <name val="Times New Roman"/>
      <family val="1"/>
    </font>
    <font>
      <b/>
      <sz val="12"/>
      <color theme="1"/>
      <name val="Times New Roman"/>
      <family val="1"/>
    </font>
    <font>
      <i/>
      <sz val="16"/>
      <color rgb="FF6600FF"/>
      <name val="Times New Roman"/>
      <family val="1"/>
    </font>
    <font>
      <sz val="13"/>
      <color theme="0" tint="-0.499984740745262"/>
      <name val="Times New Roman"/>
      <family val="1"/>
    </font>
    <font>
      <b/>
      <sz val="13"/>
      <color indexed="20"/>
      <name val="Times New Roman"/>
      <family val="1"/>
    </font>
    <font>
      <i/>
      <sz val="10"/>
      <name val="Times New Roman"/>
      <family val="1"/>
    </font>
    <font>
      <i/>
      <sz val="12"/>
      <color indexed="9"/>
      <name val="Times New Roman"/>
      <family val="1"/>
    </font>
    <font>
      <i/>
      <sz val="20"/>
      <color theme="7" tint="0.39997558519241921"/>
      <name val="Times New Roman"/>
      <family val="1"/>
    </font>
    <font>
      <i/>
      <sz val="13"/>
      <name val="Times New Roman"/>
      <family val="1"/>
    </font>
    <font>
      <b/>
      <sz val="12"/>
      <color indexed="48"/>
      <name val="Times New Roman"/>
      <family val="1"/>
    </font>
    <font>
      <i/>
      <sz val="20"/>
      <color rgb="FFFFC000"/>
      <name val="Times New Roman"/>
      <family val="1"/>
    </font>
    <font>
      <sz val="13"/>
      <color theme="0" tint="-0.34998626667073579"/>
      <name val="Times New Roman"/>
      <family val="1"/>
    </font>
    <font>
      <b/>
      <sz val="13"/>
      <color rgb="FF00B0F0"/>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CCFFCC"/>
        <bgColor indexed="55"/>
      </patternFill>
    </fill>
    <fill>
      <patternFill patternType="solid">
        <fgColor rgb="FF6600CC"/>
        <bgColor indexed="64"/>
      </patternFill>
    </fill>
    <fill>
      <patternFill patternType="solid">
        <fgColor rgb="FFCC00FF"/>
        <bgColor indexed="64"/>
      </patternFill>
    </fill>
    <fill>
      <patternFill patternType="solid">
        <fgColor indexed="10"/>
        <bgColor indexed="64"/>
      </patternFill>
    </fill>
    <fill>
      <patternFill patternType="solid">
        <fgColor rgb="FF33CC33"/>
        <bgColor indexed="64"/>
      </patternFill>
    </fill>
    <fill>
      <patternFill patternType="solid">
        <fgColor theme="0" tint="-0.14999847407452621"/>
        <bgColor indexed="64"/>
      </patternFill>
    </fill>
    <fill>
      <patternFill patternType="solid">
        <fgColor theme="1"/>
        <bgColor indexed="64"/>
      </patternFill>
    </fill>
    <fill>
      <patternFill patternType="solid">
        <fgColor rgb="FFCC66FF"/>
        <bgColor indexed="64"/>
      </patternFill>
    </fill>
    <fill>
      <patternFill patternType="solid">
        <fgColor rgb="FFCCCCFF"/>
        <bgColor indexed="64"/>
      </patternFill>
    </fill>
    <fill>
      <patternFill patternType="solid">
        <fgColor rgb="FFFFFF00"/>
        <bgColor indexed="64"/>
      </patternFill>
    </fill>
  </fills>
  <borders count="18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right style="double">
        <color indexed="64"/>
      </right>
      <top style="double">
        <color indexed="64"/>
      </top>
      <bottom style="thick">
        <color rgb="FF009900"/>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double">
        <color indexed="64"/>
      </top>
      <bottom style="thin">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hair">
        <color indexed="64"/>
      </left>
      <right/>
      <top/>
      <bottom style="hair">
        <color indexed="64"/>
      </bottom>
      <diagonal/>
    </border>
    <border>
      <left style="double">
        <color indexed="64"/>
      </left>
      <right style="thin">
        <color indexed="64"/>
      </right>
      <top style="double">
        <color indexed="64"/>
      </top>
      <bottom/>
      <diagonal/>
    </border>
    <border>
      <left style="double">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diagonal/>
    </border>
    <border>
      <left style="hair">
        <color indexed="64"/>
      </left>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style="hair">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uble">
        <color indexed="64"/>
      </left>
      <right style="double">
        <color indexed="64"/>
      </right>
      <top/>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711">
    <xf numFmtId="0" fontId="0" fillId="0" borderId="0" xfId="0"/>
    <xf numFmtId="0" fontId="12" fillId="3" borderId="71"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72" xfId="0" applyFont="1" applyFill="1" applyBorder="1" applyAlignment="1">
      <alignment horizontal="center" vertical="center"/>
    </xf>
    <xf numFmtId="0" fontId="4" fillId="0" borderId="0" xfId="0" applyFont="1" applyAlignment="1">
      <alignment vertical="center"/>
    </xf>
    <xf numFmtId="164" fontId="2" fillId="0" borderId="78" xfId="0" applyNumberFormat="1" applyFont="1" applyBorder="1" applyAlignment="1">
      <alignment horizontal="center" vertical="center"/>
    </xf>
    <xf numFmtId="0" fontId="2" fillId="0" borderId="82" xfId="0" applyFont="1" applyBorder="1" applyAlignment="1">
      <alignment horizontal="center" vertical="center"/>
    </xf>
    <xf numFmtId="164" fontId="2" fillId="0" borderId="82" xfId="0" applyNumberFormat="1" applyFont="1" applyBorder="1" applyAlignment="1">
      <alignment horizontal="center" vertical="center"/>
    </xf>
    <xf numFmtId="0" fontId="3" fillId="0" borderId="0" xfId="0" applyFont="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Alignment="1">
      <alignment horizontal="center" vertical="center"/>
    </xf>
    <xf numFmtId="0" fontId="2" fillId="0" borderId="91" xfId="0" applyFont="1" applyBorder="1" applyAlignment="1">
      <alignment horizontal="center" vertical="center" shrinkToFit="1"/>
    </xf>
    <xf numFmtId="0" fontId="5" fillId="0" borderId="42" xfId="0" applyFont="1" applyBorder="1" applyAlignment="1">
      <alignment horizontal="left" vertical="center" shrinkToFit="1"/>
    </xf>
    <xf numFmtId="0" fontId="2" fillId="0" borderId="55" xfId="0" applyFont="1" applyBorder="1" applyAlignment="1">
      <alignment horizontal="center" vertical="center" shrinkToFit="1"/>
    </xf>
    <xf numFmtId="0" fontId="2" fillId="0" borderId="65" xfId="0" applyFont="1" applyBorder="1" applyAlignment="1">
      <alignment horizontal="center" vertical="center" shrinkToFit="1"/>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88" xfId="0" applyFont="1" applyBorder="1" applyAlignment="1">
      <alignment horizontal="center" vertical="center" shrinkToFit="1"/>
    </xf>
    <xf numFmtId="0" fontId="2" fillId="0" borderId="66"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87"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164" fontId="5" fillId="0" borderId="0" xfId="0" applyNumberFormat="1" applyFont="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21" fillId="7" borderId="19"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Continuous" vertical="center"/>
    </xf>
    <xf numFmtId="0" fontId="21" fillId="7" borderId="22" xfId="0" applyFont="1" applyFill="1" applyBorder="1" applyAlignment="1">
      <alignment horizontal="centerContinuous" vertical="center"/>
    </xf>
    <xf numFmtId="0" fontId="21" fillId="7" borderId="85" xfId="0" applyFont="1" applyFill="1" applyBorder="1" applyAlignment="1">
      <alignment horizontal="centerContinuous" vertical="center"/>
    </xf>
    <xf numFmtId="0" fontId="21" fillId="7" borderId="47" xfId="0" applyFont="1" applyFill="1" applyBorder="1" applyAlignment="1">
      <alignment horizontal="centerContinuous" vertical="center"/>
    </xf>
    <xf numFmtId="0" fontId="5" fillId="0" borderId="84" xfId="0" applyFont="1" applyBorder="1" applyAlignment="1">
      <alignment horizontal="centerContinuous" vertical="center"/>
    </xf>
    <xf numFmtId="0" fontId="18" fillId="0" borderId="0" xfId="0" applyFont="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92" xfId="0" applyFont="1" applyBorder="1" applyAlignment="1">
      <alignment horizontal="centerContinuous" vertical="center"/>
    </xf>
    <xf numFmtId="0" fontId="2" fillId="0" borderId="93" xfId="0" applyFont="1" applyBorder="1" applyAlignment="1">
      <alignment horizontal="centerContinuous" vertical="center"/>
    </xf>
    <xf numFmtId="0" fontId="2" fillId="0" borderId="79" xfId="0" applyFont="1" applyBorder="1" applyAlignment="1">
      <alignment horizontal="centerContinuous" vertical="center"/>
    </xf>
    <xf numFmtId="49" fontId="2" fillId="0" borderId="79" xfId="0" applyNumberFormat="1" applyFont="1" applyBorder="1" applyAlignment="1">
      <alignment horizontal="center" vertical="center"/>
    </xf>
    <xf numFmtId="49" fontId="2" fillId="0" borderId="79" xfId="0" applyNumberFormat="1" applyFont="1" applyBorder="1" applyAlignment="1">
      <alignment horizontal="centerContinuous" vertical="center"/>
    </xf>
    <xf numFmtId="49" fontId="2" fillId="0" borderId="94" xfId="0" applyNumberFormat="1" applyFont="1" applyBorder="1" applyAlignment="1">
      <alignment horizontal="centerContinuous" vertical="center"/>
    </xf>
    <xf numFmtId="0" fontId="2" fillId="0" borderId="95" xfId="0" applyFont="1" applyBorder="1" applyAlignment="1">
      <alignment horizontal="centerContinuous" vertical="center"/>
    </xf>
    <xf numFmtId="0" fontId="2" fillId="0" borderId="96" xfId="0" applyFont="1" applyBorder="1" applyAlignment="1">
      <alignment horizontal="centerContinuous" vertical="center"/>
    </xf>
    <xf numFmtId="0" fontId="5" fillId="0" borderId="97" xfId="0" applyFont="1" applyBorder="1" applyAlignment="1">
      <alignment horizontal="centerContinuous" vertical="center"/>
    </xf>
    <xf numFmtId="0" fontId="5" fillId="0" borderId="83" xfId="0" applyFont="1" applyBorder="1" applyAlignment="1">
      <alignment horizontal="centerContinuous" vertical="center"/>
    </xf>
    <xf numFmtId="49" fontId="2" fillId="0" borderId="82" xfId="0" applyNumberFormat="1" applyFont="1" applyBorder="1" applyAlignment="1">
      <alignment horizontal="center" vertical="center"/>
    </xf>
    <xf numFmtId="49" fontId="2" fillId="0" borderId="83" xfId="0" applyNumberFormat="1" applyFont="1" applyBorder="1" applyAlignment="1">
      <alignment horizontal="centerContinuous" vertical="center"/>
    </xf>
    <xf numFmtId="49" fontId="2" fillId="0" borderId="86" xfId="0" applyNumberFormat="1" applyFont="1" applyBorder="1" applyAlignment="1">
      <alignment horizontal="centerContinuous" vertical="center"/>
    </xf>
    <xf numFmtId="0" fontId="21" fillId="7" borderId="89" xfId="0" applyFont="1" applyFill="1" applyBorder="1" applyAlignment="1">
      <alignment horizontal="center" vertical="center"/>
    </xf>
    <xf numFmtId="0" fontId="21" fillId="7" borderId="90" xfId="0" applyFont="1" applyFill="1" applyBorder="1" applyAlignment="1">
      <alignment horizontal="centerContinuous"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34" xfId="0" applyFont="1" applyBorder="1" applyAlignment="1">
      <alignment horizontal="centerContinuous" vertical="center"/>
    </xf>
    <xf numFmtId="0" fontId="7" fillId="0" borderId="53" xfId="0" applyFont="1" applyBorder="1" applyAlignment="1">
      <alignment horizontal="centerContinuous" vertical="center"/>
    </xf>
    <xf numFmtId="0" fontId="7" fillId="0" borderId="74" xfId="0" applyFont="1" applyBorder="1" applyAlignment="1">
      <alignment horizontal="centerContinuous" vertical="center"/>
    </xf>
    <xf numFmtId="0" fontId="7" fillId="0" borderId="54" xfId="0" applyFont="1" applyBorder="1" applyAlignment="1">
      <alignment horizontal="centerContinuous" vertical="center"/>
    </xf>
    <xf numFmtId="0" fontId="7" fillId="0" borderId="46" xfId="0" applyFont="1" applyBorder="1" applyAlignment="1">
      <alignment horizontal="centerContinuous" vertical="center"/>
    </xf>
    <xf numFmtId="0" fontId="7" fillId="0" borderId="74" xfId="0" quotePrefix="1" applyFont="1" applyBorder="1" applyAlignment="1">
      <alignment horizontal="centerContinuous" vertical="center"/>
    </xf>
    <xf numFmtId="0" fontId="7" fillId="0" borderId="54" xfId="0" quotePrefix="1" applyFont="1" applyBorder="1" applyAlignment="1">
      <alignment horizontal="centerContinuous" vertical="center"/>
    </xf>
    <xf numFmtId="0" fontId="7" fillId="0" borderId="25" xfId="0" applyFont="1" applyBorder="1" applyAlignment="1">
      <alignment horizontal="center" vertical="center"/>
    </xf>
    <xf numFmtId="0" fontId="25" fillId="0" borderId="23" xfId="0" applyFont="1" applyBorder="1" applyAlignment="1">
      <alignment horizontal="centerContinuous" vertical="center"/>
    </xf>
    <xf numFmtId="0" fontId="15" fillId="0" borderId="0" xfId="0" applyFont="1" applyAlignment="1">
      <alignment horizontal="centerContinuous" vertical="center"/>
    </xf>
    <xf numFmtId="0" fontId="13" fillId="0" borderId="26" xfId="0" applyFont="1" applyBorder="1" applyAlignment="1">
      <alignment horizontal="center" vertical="center"/>
    </xf>
    <xf numFmtId="0" fontId="41" fillId="0" borderId="56" xfId="0" applyFont="1" applyBorder="1" applyAlignment="1">
      <alignment vertical="center"/>
    </xf>
    <xf numFmtId="0" fontId="6" fillId="0" borderId="57" xfId="0" applyFont="1" applyBorder="1" applyAlignment="1">
      <alignment horizontal="center" vertical="center"/>
    </xf>
    <xf numFmtId="0" fontId="7" fillId="0" borderId="57" xfId="0" applyFont="1" applyBorder="1" applyAlignment="1">
      <alignment horizontal="center" vertical="center"/>
    </xf>
    <xf numFmtId="0" fontId="11" fillId="6" borderId="1" xfId="0" applyFont="1" applyFill="1" applyBorder="1" applyAlignment="1">
      <alignment vertical="center"/>
    </xf>
    <xf numFmtId="0" fontId="7" fillId="6" borderId="25" xfId="0"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Font="1" applyFill="1" applyBorder="1" applyAlignment="1">
      <alignment horizontal="center" vertical="center"/>
    </xf>
    <xf numFmtId="0" fontId="11" fillId="6" borderId="26" xfId="0"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Font="1" applyFill="1" applyBorder="1" applyAlignment="1">
      <alignment horizontal="center" vertical="center"/>
    </xf>
    <xf numFmtId="0" fontId="19" fillId="0" borderId="0" xfId="0" applyFont="1" applyAlignment="1">
      <alignment vertical="center"/>
    </xf>
    <xf numFmtId="0" fontId="32" fillId="0" borderId="0" xfId="0" applyFont="1" applyAlignment="1">
      <alignment vertical="center"/>
    </xf>
    <xf numFmtId="0" fontId="14" fillId="0" borderId="1" xfId="0" applyFont="1" applyBorder="1" applyAlignment="1">
      <alignment vertical="center"/>
    </xf>
    <xf numFmtId="49"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14" fillId="0" borderId="26" xfId="0" applyFont="1" applyBorder="1" applyAlignment="1">
      <alignment horizontal="center" vertical="center"/>
    </xf>
    <xf numFmtId="49" fontId="7" fillId="0" borderId="26" xfId="0" applyNumberFormat="1" applyFont="1" applyBorder="1" applyAlignment="1">
      <alignment horizontal="center" vertical="center"/>
    </xf>
    <xf numFmtId="0" fontId="7" fillId="0" borderId="27"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31" fillId="0" borderId="0" xfId="0" applyFont="1" applyAlignment="1">
      <alignment vertical="center"/>
    </xf>
    <xf numFmtId="0" fontId="13" fillId="0" borderId="1" xfId="0" applyFont="1" applyBorder="1" applyAlignment="1">
      <alignment vertical="center"/>
    </xf>
    <xf numFmtId="49" fontId="24" fillId="0" borderId="25" xfId="0" applyNumberFormat="1" applyFont="1" applyBorder="1" applyAlignment="1">
      <alignment horizontal="center" vertical="center"/>
    </xf>
    <xf numFmtId="0" fontId="24" fillId="0" borderId="26" xfId="0" applyFont="1" applyBorder="1" applyAlignment="1">
      <alignment horizontal="center" vertical="center"/>
    </xf>
    <xf numFmtId="0" fontId="11" fillId="0" borderId="1" xfId="0" applyFont="1" applyBorder="1" applyAlignment="1">
      <alignment vertical="center"/>
    </xf>
    <xf numFmtId="49" fontId="16" fillId="0" borderId="25" xfId="0" applyNumberFormat="1" applyFont="1" applyBorder="1" applyAlignment="1">
      <alignment horizontal="center" vertical="center"/>
    </xf>
    <xf numFmtId="0" fontId="16" fillId="0" borderId="26" xfId="0" applyFont="1" applyBorder="1" applyAlignment="1">
      <alignment horizontal="center" vertical="center"/>
    </xf>
    <xf numFmtId="0" fontId="11" fillId="0" borderId="26" xfId="0" applyFont="1" applyBorder="1" applyAlignment="1">
      <alignment horizontal="center" vertical="center"/>
    </xf>
    <xf numFmtId="0" fontId="7" fillId="8" borderId="25" xfId="0"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Font="1" applyFill="1" applyBorder="1" applyAlignment="1">
      <alignment horizontal="center" vertical="center"/>
    </xf>
    <xf numFmtId="0" fontId="22" fillId="0" borderId="1" xfId="0" applyFont="1" applyBorder="1" applyAlignment="1">
      <alignment vertical="center"/>
    </xf>
    <xf numFmtId="49" fontId="28" fillId="0" borderId="25" xfId="0" applyNumberFormat="1" applyFont="1" applyBorder="1" applyAlignment="1">
      <alignment horizontal="center" vertical="center"/>
    </xf>
    <xf numFmtId="0" fontId="28" fillId="0" borderId="26" xfId="0" applyFont="1" applyBorder="1" applyAlignment="1">
      <alignment horizontal="center" vertical="center"/>
    </xf>
    <xf numFmtId="0" fontId="22" fillId="0" borderId="26" xfId="0" applyFont="1" applyBorder="1" applyAlignment="1">
      <alignment horizontal="center" vertical="center"/>
    </xf>
    <xf numFmtId="0" fontId="8" fillId="0" borderId="1" xfId="0" applyFont="1" applyBorder="1" applyAlignment="1">
      <alignment vertical="center"/>
    </xf>
    <xf numFmtId="49" fontId="17" fillId="0" borderId="25" xfId="0" applyNumberFormat="1" applyFont="1" applyBorder="1" applyAlignment="1">
      <alignment horizontal="center" vertical="center"/>
    </xf>
    <xf numFmtId="0" fontId="17" fillId="0" borderId="26" xfId="0" applyFont="1" applyBorder="1" applyAlignment="1">
      <alignment horizontal="center" vertical="center"/>
    </xf>
    <xf numFmtId="0" fontId="8" fillId="0" borderId="26" xfId="0" applyFont="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Font="1" applyFill="1" applyBorder="1" applyAlignment="1">
      <alignment horizontal="center" vertical="center"/>
    </xf>
    <xf numFmtId="0" fontId="11" fillId="8" borderId="26" xfId="0" applyFont="1" applyFill="1" applyBorder="1" applyAlignment="1">
      <alignment horizontal="center" vertical="center"/>
    </xf>
    <xf numFmtId="0" fontId="7" fillId="6" borderId="27" xfId="0" quotePrefix="1" applyFont="1" applyFill="1" applyBorder="1" applyAlignment="1">
      <alignment horizontal="center" vertical="center"/>
    </xf>
    <xf numFmtId="0" fontId="7" fillId="0" borderId="27" xfId="0" quotePrefix="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42" fillId="2" borderId="63" xfId="0" applyFont="1" applyFill="1" applyBorder="1" applyAlignment="1">
      <alignment horizontal="right" vertical="center"/>
    </xf>
    <xf numFmtId="0" fontId="20"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5" fillId="2" borderId="100"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7"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69" xfId="0" applyNumberFormat="1" applyFont="1" applyBorder="1" applyAlignment="1">
      <alignment horizontal="center" vertical="center"/>
    </xf>
    <xf numFmtId="0" fontId="7" fillId="0" borderId="0" xfId="0" applyFont="1" applyAlignment="1">
      <alignment horizontal="left" vertical="center"/>
    </xf>
    <xf numFmtId="0" fontId="6" fillId="4" borderId="11" xfId="0" applyFont="1" applyFill="1" applyBorder="1" applyAlignment="1">
      <alignment horizontal="right" vertical="center"/>
    </xf>
    <xf numFmtId="0" fontId="8" fillId="2" borderId="14" xfId="0" applyFont="1" applyFill="1" applyBorder="1" applyAlignment="1">
      <alignment horizontal="right" vertical="center"/>
    </xf>
    <xf numFmtId="0" fontId="8" fillId="4" borderId="5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8"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8" fillId="2" borderId="4" xfId="0" applyFont="1" applyFill="1" applyBorder="1" applyAlignment="1">
      <alignment horizontal="right" vertical="center"/>
    </xf>
    <xf numFmtId="0" fontId="11" fillId="4" borderId="4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49"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Border="1" applyAlignment="1">
      <alignment horizontal="center" vertical="center"/>
    </xf>
    <xf numFmtId="0" fontId="2" fillId="0" borderId="38" xfId="0" applyFont="1" applyBorder="1" applyAlignment="1">
      <alignment horizontal="left" vertical="center"/>
    </xf>
    <xf numFmtId="0" fontId="2" fillId="0" borderId="102" xfId="0" applyFont="1" applyBorder="1" applyAlignment="1">
      <alignment horizontal="centerContinuous" vertical="center" shrinkToFit="1"/>
    </xf>
    <xf numFmtId="0" fontId="21" fillId="0" borderId="103" xfId="0" applyFont="1" applyBorder="1" applyAlignment="1">
      <alignment horizontal="centerContinuous" vertical="center"/>
    </xf>
    <xf numFmtId="0" fontId="2" fillId="0" borderId="104" xfId="0" applyFont="1" applyBorder="1" applyAlignment="1">
      <alignment horizontal="center" vertical="center"/>
    </xf>
    <xf numFmtId="0" fontId="2" fillId="0" borderId="105" xfId="0" applyFont="1" applyBorder="1" applyAlignment="1">
      <alignment horizontal="centerContinuous" vertical="center"/>
    </xf>
    <xf numFmtId="0" fontId="2" fillId="0" borderId="106" xfId="0" applyFont="1" applyBorder="1" applyAlignment="1">
      <alignment horizontal="centerContinuous" vertical="center"/>
    </xf>
    <xf numFmtId="0" fontId="2" fillId="0" borderId="0" xfId="0" applyFont="1" applyAlignment="1">
      <alignment vertical="center"/>
    </xf>
    <xf numFmtId="0" fontId="2" fillId="0" borderId="96" xfId="0" applyFont="1" applyBorder="1" applyAlignment="1">
      <alignment horizontal="centerContinuous" vertical="center" shrinkToFit="1"/>
    </xf>
    <xf numFmtId="0" fontId="21" fillId="0" borderId="86" xfId="0" applyFont="1" applyBorder="1" applyAlignment="1">
      <alignment horizontal="centerContinuous" vertical="center"/>
    </xf>
    <xf numFmtId="0" fontId="2" fillId="0" borderId="83" xfId="0" applyFont="1" applyBorder="1" applyAlignment="1">
      <alignment horizontal="centerContinuous" vertical="center"/>
    </xf>
    <xf numFmtId="0" fontId="2" fillId="0" borderId="84" xfId="0" applyFont="1" applyBorder="1" applyAlignment="1">
      <alignment horizontal="centerContinuous" vertical="center"/>
    </xf>
    <xf numFmtId="1" fontId="5" fillId="0" borderId="105" xfId="0" applyNumberFormat="1" applyFont="1" applyBorder="1" applyAlignment="1">
      <alignment horizontal="center" vertical="center"/>
    </xf>
    <xf numFmtId="1" fontId="2" fillId="0" borderId="105" xfId="0" applyNumberFormat="1" applyFont="1" applyBorder="1" applyAlignment="1">
      <alignment horizontal="center" vertical="center"/>
    </xf>
    <xf numFmtId="1" fontId="5" fillId="0" borderId="0" xfId="0" applyNumberFormat="1" applyFont="1" applyAlignment="1">
      <alignment vertical="center"/>
    </xf>
    <xf numFmtId="1" fontId="21" fillId="7" borderId="31" xfId="0" applyNumberFormat="1" applyFont="1" applyFill="1" applyBorder="1" applyAlignment="1">
      <alignment horizontal="center" vertical="center"/>
    </xf>
    <xf numFmtId="1" fontId="2" fillId="0" borderId="74" xfId="0" applyNumberFormat="1" applyFont="1" applyBorder="1" applyAlignment="1">
      <alignment horizontal="center" vertical="center"/>
    </xf>
    <xf numFmtId="1" fontId="2" fillId="0" borderId="46" xfId="0" applyNumberFormat="1" applyFont="1" applyBorder="1" applyAlignment="1">
      <alignment horizontal="center" vertical="center"/>
    </xf>
    <xf numFmtId="1" fontId="5" fillId="0" borderId="0" xfId="0" applyNumberFormat="1" applyFont="1" applyAlignment="1">
      <alignment horizontal="center" vertical="center"/>
    </xf>
    <xf numFmtId="0" fontId="47" fillId="0" borderId="1" xfId="0" applyFont="1" applyBorder="1" applyAlignment="1">
      <alignment vertical="center"/>
    </xf>
    <xf numFmtId="0" fontId="6" fillId="0" borderId="25" xfId="0" applyFont="1" applyBorder="1" applyAlignment="1">
      <alignment horizontal="center" vertical="center"/>
    </xf>
    <xf numFmtId="0" fontId="48" fillId="0" borderId="1" xfId="0" applyFont="1" applyBorder="1" applyAlignment="1">
      <alignment vertical="center"/>
    </xf>
    <xf numFmtId="0" fontId="10" fillId="0" borderId="26" xfId="0" applyFont="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Border="1" applyAlignment="1">
      <alignment horizontal="centerContinuous" vertical="center"/>
    </xf>
    <xf numFmtId="0" fontId="40" fillId="0" borderId="31" xfId="0" applyFont="1" applyBorder="1" applyAlignment="1">
      <alignment horizontal="centerContinuous" vertical="center"/>
    </xf>
    <xf numFmtId="0" fontId="49" fillId="0" borderId="31" xfId="0" applyFont="1" applyBorder="1" applyAlignment="1">
      <alignment horizontal="centerContinuous" vertical="center" wrapText="1"/>
    </xf>
    <xf numFmtId="0" fontId="50" fillId="0" borderId="31" xfId="0" applyFont="1" applyBorder="1" applyAlignment="1">
      <alignment horizontal="centerContinuous" vertical="center" wrapText="1"/>
    </xf>
    <xf numFmtId="0" fontId="51" fillId="0" borderId="31" xfId="0" applyFont="1" applyBorder="1" applyAlignment="1">
      <alignment horizontal="centerContinuous" vertical="center" wrapText="1"/>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Font="1" applyFill="1" applyBorder="1" applyAlignment="1">
      <alignment horizontal="center" vertical="center"/>
    </xf>
    <xf numFmtId="0" fontId="13" fillId="8" borderId="26" xfId="0"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Font="1" applyFill="1" applyBorder="1" applyAlignment="1">
      <alignment horizontal="center" vertical="center"/>
    </xf>
    <xf numFmtId="0" fontId="13" fillId="6" borderId="26" xfId="0" applyFont="1" applyFill="1" applyBorder="1" applyAlignment="1">
      <alignment horizontal="center" vertical="center"/>
    </xf>
    <xf numFmtId="0" fontId="7" fillId="0" borderId="1" xfId="0" quotePrefix="1" applyFont="1" applyBorder="1" applyAlignment="1">
      <alignment vertical="center"/>
    </xf>
    <xf numFmtId="0" fontId="7" fillId="0" borderId="2" xfId="0" quotePrefix="1" applyFont="1" applyBorder="1" applyAlignment="1">
      <alignment horizontal="center" vertical="center"/>
    </xf>
    <xf numFmtId="0" fontId="7" fillId="8" borderId="27" xfId="0" quotePrefix="1" applyFont="1" applyFill="1" applyBorder="1" applyAlignment="1">
      <alignment horizontal="center" vertical="center"/>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Font="1" applyFill="1" applyBorder="1" applyAlignment="1">
      <alignment horizontal="center" vertical="center"/>
    </xf>
    <xf numFmtId="0" fontId="14" fillId="6" borderId="26" xfId="0" applyFont="1" applyFill="1" applyBorder="1" applyAlignment="1">
      <alignment horizontal="center" vertical="center"/>
    </xf>
    <xf numFmtId="3" fontId="5" fillId="0" borderId="0" xfId="0" applyNumberFormat="1" applyFont="1" applyAlignment="1">
      <alignment vertical="center"/>
    </xf>
    <xf numFmtId="164" fontId="21" fillId="3" borderId="31" xfId="0" applyNumberFormat="1" applyFont="1" applyFill="1" applyBorder="1" applyAlignment="1">
      <alignment horizontal="center" vertical="center"/>
    </xf>
    <xf numFmtId="1" fontId="5" fillId="0" borderId="34" xfId="0" applyNumberFormat="1" applyFont="1" applyBorder="1" applyAlignment="1">
      <alignment horizontal="center" vertical="center" shrinkToFit="1"/>
    </xf>
    <xf numFmtId="1" fontId="5" fillId="0" borderId="46" xfId="0" applyNumberFormat="1" applyFont="1" applyBorder="1" applyAlignment="1">
      <alignment horizontal="center" vertical="center" shrinkToFit="1"/>
    </xf>
    <xf numFmtId="1" fontId="5" fillId="0" borderId="53"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Font="1" applyFill="1" applyBorder="1" applyAlignment="1">
      <alignment horizontal="center" vertical="center"/>
    </xf>
    <xf numFmtId="0" fontId="22" fillId="6" borderId="26" xfId="0" applyFont="1" applyFill="1" applyBorder="1" applyAlignment="1">
      <alignment horizontal="center" vertical="center"/>
    </xf>
    <xf numFmtId="49" fontId="7" fillId="10" borderId="26" xfId="0" applyNumberFormat="1" applyFont="1" applyFill="1" applyBorder="1" applyAlignment="1">
      <alignment horizontal="center" vertical="center"/>
    </xf>
    <xf numFmtId="49" fontId="7" fillId="0" borderId="44" xfId="0" applyNumberFormat="1" applyFont="1" applyBorder="1" applyAlignment="1">
      <alignment horizontal="center" vertical="center"/>
    </xf>
    <xf numFmtId="0" fontId="7" fillId="0" borderId="73" xfId="0" applyFont="1" applyBorder="1" applyAlignment="1">
      <alignment horizontal="center" vertical="center"/>
    </xf>
    <xf numFmtId="49" fontId="7" fillId="0" borderId="13" xfId="0" applyNumberFormat="1"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27" fillId="0" borderId="46" xfId="0" applyFont="1" applyBorder="1" applyAlignment="1">
      <alignment horizontal="centerContinuous" vertical="center" shrinkToFit="1"/>
    </xf>
    <xf numFmtId="0" fontId="54" fillId="9" borderId="114" xfId="0" applyFont="1" applyFill="1" applyBorder="1" applyAlignment="1">
      <alignment horizontal="centerContinuous" vertical="center"/>
    </xf>
    <xf numFmtId="0" fontId="7" fillId="0" borderId="51" xfId="0" applyFont="1" applyBorder="1" applyAlignment="1">
      <alignment horizontal="centerContinuous" vertical="center"/>
    </xf>
    <xf numFmtId="0" fontId="7" fillId="0" borderId="26" xfId="0" applyFont="1" applyBorder="1" applyAlignment="1">
      <alignment horizontal="centerContinuous" vertical="center"/>
    </xf>
    <xf numFmtId="0" fontId="7" fillId="0" borderId="45" xfId="0" applyFont="1" applyBorder="1" applyAlignment="1">
      <alignment horizontal="centerContinuous" vertical="center"/>
    </xf>
    <xf numFmtId="0" fontId="53" fillId="5" borderId="52" xfId="2" applyNumberFormat="1" applyFont="1" applyFill="1" applyBorder="1" applyAlignment="1">
      <alignment horizontal="centerContinuous" vertical="center" shrinkToFit="1"/>
    </xf>
    <xf numFmtId="0" fontId="53" fillId="5" borderId="2" xfId="2" applyNumberFormat="1" applyFont="1" applyFill="1" applyBorder="1" applyAlignment="1">
      <alignment horizontal="centerContinuous" vertical="center" shrinkToFit="1"/>
    </xf>
    <xf numFmtId="0" fontId="53" fillId="5" borderId="10" xfId="2" applyNumberFormat="1" applyFont="1" applyFill="1" applyBorder="1" applyAlignment="1">
      <alignment horizontal="centerContinuous" vertical="center" shrinkToFit="1"/>
    </xf>
    <xf numFmtId="0" fontId="54" fillId="9" borderId="101" xfId="0" applyFont="1" applyFill="1" applyBorder="1" applyAlignment="1">
      <alignment horizontal="centerContinuous" vertical="center"/>
    </xf>
    <xf numFmtId="0" fontId="6" fillId="4" borderId="30" xfId="0" applyFont="1" applyFill="1" applyBorder="1" applyAlignment="1">
      <alignment horizontal="right" vertical="center"/>
    </xf>
    <xf numFmtId="0" fontId="2" fillId="0" borderId="107" xfId="0" applyFont="1" applyBorder="1" applyAlignment="1">
      <alignment horizontal="center" vertical="center" shrinkToFit="1"/>
    </xf>
    <xf numFmtId="0" fontId="2" fillId="0" borderId="115" xfId="0" applyFont="1" applyBorder="1" applyAlignment="1">
      <alignment horizontal="center" vertical="center"/>
    </xf>
    <xf numFmtId="0" fontId="2" fillId="0" borderId="115" xfId="0" quotePrefix="1" applyFont="1" applyBorder="1" applyAlignment="1">
      <alignment horizontal="center" vertical="center"/>
    </xf>
    <xf numFmtId="9" fontId="2" fillId="0" borderId="115" xfId="0" applyNumberFormat="1" applyFont="1" applyBorder="1" applyAlignment="1">
      <alignment horizontal="center" vertical="center"/>
    </xf>
    <xf numFmtId="49" fontId="2" fillId="0" borderId="115" xfId="0" quotePrefix="1" applyNumberFormat="1" applyFont="1" applyBorder="1" applyAlignment="1">
      <alignment horizontal="center" vertical="center"/>
    </xf>
    <xf numFmtId="164" fontId="2" fillId="0" borderId="109" xfId="0" applyNumberFormat="1" applyFont="1" applyBorder="1" applyAlignment="1">
      <alignment horizontal="centerContinuous" vertical="center"/>
    </xf>
    <xf numFmtId="164" fontId="2" fillId="0" borderId="108" xfId="0" applyNumberFormat="1" applyFont="1" applyBorder="1" applyAlignment="1">
      <alignment horizontal="centerContinuous" vertical="center"/>
    </xf>
    <xf numFmtId="0" fontId="5" fillId="0" borderId="110" xfId="0" quotePrefix="1" applyFont="1" applyBorder="1" applyAlignment="1">
      <alignment horizontal="centerContinuous" vertical="center"/>
    </xf>
    <xf numFmtId="1" fontId="2" fillId="0" borderId="116" xfId="0" applyNumberFormat="1" applyFont="1" applyBorder="1" applyAlignment="1">
      <alignment horizontal="center" vertical="center"/>
    </xf>
    <xf numFmtId="0" fontId="2" fillId="0" borderId="75" xfId="0" applyFont="1" applyBorder="1" applyAlignment="1">
      <alignment horizontal="center" vertical="center"/>
    </xf>
    <xf numFmtId="164" fontId="2" fillId="0" borderId="75" xfId="0" applyNumberFormat="1" applyFont="1" applyBorder="1" applyAlignment="1">
      <alignment horizontal="center" vertical="center"/>
    </xf>
    <xf numFmtId="1" fontId="2" fillId="0" borderId="34"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3" fillId="0" borderId="1" xfId="0" applyFont="1" applyBorder="1" applyAlignment="1">
      <alignment vertical="center"/>
    </xf>
    <xf numFmtId="0" fontId="57" fillId="0" borderId="0" xfId="0" applyFont="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7" fillId="0" borderId="0" xfId="0" applyFont="1" applyAlignment="1">
      <alignment vertical="center"/>
    </xf>
    <xf numFmtId="0" fontId="2" fillId="0" borderId="0" xfId="0" applyFont="1" applyAlignment="1">
      <alignment horizontal="left" vertical="center"/>
    </xf>
    <xf numFmtId="49" fontId="5" fillId="0" borderId="0" xfId="0" applyNumberFormat="1" applyFont="1" applyAlignment="1">
      <alignment horizontal="center" vertical="center"/>
    </xf>
    <xf numFmtId="0" fontId="52" fillId="0" borderId="34" xfId="0" applyFont="1" applyBorder="1" applyAlignment="1">
      <alignment horizontal="center" shrinkToFit="1"/>
    </xf>
    <xf numFmtId="0" fontId="58" fillId="0" borderId="46" xfId="0" applyFont="1" applyBorder="1" applyAlignment="1">
      <alignment horizontal="center" shrinkToFit="1"/>
    </xf>
    <xf numFmtId="0" fontId="7" fillId="0" borderId="113" xfId="0" applyFont="1" applyBorder="1" applyAlignment="1">
      <alignment horizontal="centerContinuous" vertical="center"/>
    </xf>
    <xf numFmtId="0" fontId="8" fillId="6" borderId="1" xfId="0" applyFont="1" applyFill="1" applyBorder="1" applyAlignment="1">
      <alignment vertical="center"/>
    </xf>
    <xf numFmtId="49" fontId="17" fillId="6" borderId="25" xfId="0" applyNumberFormat="1" applyFont="1" applyFill="1" applyBorder="1" applyAlignment="1">
      <alignment horizontal="center" vertical="center"/>
    </xf>
    <xf numFmtId="0" fontId="17" fillId="6" borderId="26" xfId="0" applyFont="1" applyFill="1" applyBorder="1" applyAlignment="1">
      <alignment horizontal="center" vertical="center"/>
    </xf>
    <xf numFmtId="0" fontId="8" fillId="6" borderId="26"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10" fillId="0" borderId="1" xfId="0" applyFont="1" applyBorder="1" applyAlignment="1">
      <alignment vertical="center"/>
    </xf>
    <xf numFmtId="49" fontId="27" fillId="0" borderId="25" xfId="0" applyNumberFormat="1" applyFont="1" applyBorder="1" applyAlignment="1">
      <alignment horizontal="center" vertical="center"/>
    </xf>
    <xf numFmtId="0" fontId="27" fillId="0" borderId="26" xfId="0" applyFont="1" applyBorder="1" applyAlignment="1">
      <alignment horizontal="center" vertical="center"/>
    </xf>
    <xf numFmtId="2" fontId="2" fillId="0" borderId="53" xfId="0" applyNumberFormat="1" applyFont="1" applyBorder="1" applyAlignment="1">
      <alignment horizontal="center" vertical="center"/>
    </xf>
    <xf numFmtId="2" fontId="5" fillId="0" borderId="38" xfId="0" applyNumberFormat="1" applyFont="1" applyBorder="1" applyAlignment="1">
      <alignment horizontal="center" vertical="center" shrinkToFit="1"/>
    </xf>
    <xf numFmtId="2" fontId="5" fillId="0" borderId="34" xfId="0" applyNumberFormat="1" applyFont="1" applyBorder="1" applyAlignment="1">
      <alignment horizontal="center" vertical="center" shrinkToFit="1"/>
    </xf>
    <xf numFmtId="1" fontId="7" fillId="0" borderId="25" xfId="0" applyNumberFormat="1" applyFont="1" applyBorder="1" applyAlignment="1">
      <alignment horizontal="center" vertical="center"/>
    </xf>
    <xf numFmtId="0" fontId="43" fillId="0" borderId="57" xfId="0" applyFont="1" applyBorder="1" applyAlignment="1">
      <alignment horizontal="center" vertical="center"/>
    </xf>
    <xf numFmtId="1" fontId="7" fillId="0" borderId="57" xfId="0" applyNumberFormat="1" applyFont="1" applyBorder="1" applyAlignment="1">
      <alignment horizontal="center" vertical="center"/>
    </xf>
    <xf numFmtId="49" fontId="7" fillId="0" borderId="57" xfId="0" applyNumberFormat="1" applyFont="1" applyBorder="1" applyAlignment="1">
      <alignment horizontal="center" vertical="center"/>
    </xf>
    <xf numFmtId="0" fontId="2" fillId="0" borderId="119" xfId="0" applyFont="1" applyBorder="1" applyAlignment="1">
      <alignment horizontal="center" vertical="center" shrinkToFit="1"/>
    </xf>
    <xf numFmtId="0" fontId="2" fillId="0" borderId="120" xfId="0" applyFont="1" applyBorder="1" applyAlignment="1">
      <alignment horizontal="center" vertical="center" shrinkToFit="1"/>
    </xf>
    <xf numFmtId="164" fontId="5" fillId="0" borderId="121" xfId="0" applyNumberFormat="1" applyFont="1" applyBorder="1" applyAlignment="1">
      <alignment horizontal="center" vertical="center" shrinkToFit="1"/>
    </xf>
    <xf numFmtId="0" fontId="2" fillId="0" borderId="121" xfId="0" applyFont="1" applyBorder="1" applyAlignment="1">
      <alignment horizontal="left" vertical="center"/>
    </xf>
    <xf numFmtId="0" fontId="5" fillId="0" borderId="122" xfId="0" applyFont="1" applyBorder="1" applyAlignment="1">
      <alignment horizontal="left" vertical="center" shrinkToFit="1"/>
    </xf>
    <xf numFmtId="1" fontId="5" fillId="0" borderId="74" xfId="0" applyNumberFormat="1" applyFont="1" applyBorder="1" applyAlignment="1">
      <alignment horizontal="center" vertical="center" shrinkToFit="1"/>
    </xf>
    <xf numFmtId="0" fontId="59" fillId="0" borderId="31" xfId="0" applyFont="1" applyBorder="1" applyAlignment="1">
      <alignment horizontal="centerContinuous"/>
    </xf>
    <xf numFmtId="0" fontId="13" fillId="6" borderId="8" xfId="0" applyFont="1" applyFill="1" applyBorder="1" applyAlignment="1">
      <alignment vertical="center"/>
    </xf>
    <xf numFmtId="0" fontId="7" fillId="6" borderId="44" xfId="0" applyFont="1" applyFill="1" applyBorder="1" applyAlignment="1">
      <alignment horizontal="center" vertical="center"/>
    </xf>
    <xf numFmtId="49" fontId="24" fillId="6" borderId="44" xfId="0" applyNumberFormat="1" applyFont="1" applyFill="1" applyBorder="1" applyAlignment="1">
      <alignment horizontal="center" vertical="center"/>
    </xf>
    <xf numFmtId="0" fontId="24" fillId="6" borderId="45" xfId="0" applyFont="1" applyFill="1" applyBorder="1" applyAlignment="1">
      <alignment horizontal="center" vertical="center"/>
    </xf>
    <xf numFmtId="0" fontId="13" fillId="6" borderId="45" xfId="0" applyFont="1" applyFill="1" applyBorder="1" applyAlignment="1">
      <alignment horizontal="center" vertical="center"/>
    </xf>
    <xf numFmtId="49" fontId="7" fillId="6" borderId="45" xfId="0" applyNumberFormat="1" applyFont="1" applyFill="1" applyBorder="1" applyAlignment="1">
      <alignment horizontal="center" vertical="center"/>
    </xf>
    <xf numFmtId="0" fontId="7" fillId="6" borderId="33" xfId="0" applyFont="1" applyFill="1" applyBorder="1" applyAlignment="1">
      <alignment horizontal="center" vertical="center"/>
    </xf>
    <xf numFmtId="0" fontId="44" fillId="11" borderId="26" xfId="0" applyFont="1" applyFill="1" applyBorder="1" applyAlignment="1">
      <alignment horizontal="center" vertical="center"/>
    </xf>
    <xf numFmtId="0" fontId="44" fillId="11" borderId="57" xfId="0" applyFont="1" applyFill="1" applyBorder="1" applyAlignment="1">
      <alignment horizontal="center" vertical="center"/>
    </xf>
    <xf numFmtId="0" fontId="44" fillId="11" borderId="13" xfId="0" applyFont="1" applyFill="1" applyBorder="1" applyAlignment="1">
      <alignment horizontal="center" vertical="center"/>
    </xf>
    <xf numFmtId="0" fontId="44" fillId="11" borderId="44" xfId="0" applyFont="1" applyFill="1" applyBorder="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23"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0" fillId="0" borderId="0" xfId="0" applyAlignment="1">
      <alignment horizontal="center" vertical="center"/>
    </xf>
    <xf numFmtId="0" fontId="43" fillId="11" borderId="35" xfId="0" applyFont="1" applyFill="1" applyBorder="1" applyAlignment="1">
      <alignment horizontal="center" vertical="center"/>
    </xf>
    <xf numFmtId="49" fontId="2" fillId="0" borderId="0" xfId="0" applyNumberFormat="1" applyFont="1" applyAlignment="1">
      <alignment horizontal="center" vertical="center"/>
    </xf>
    <xf numFmtId="0" fontId="22" fillId="6" borderId="1" xfId="0" applyFont="1" applyFill="1" applyBorder="1" applyAlignment="1">
      <alignment vertical="center"/>
    </xf>
    <xf numFmtId="0" fontId="52" fillId="0" borderId="113" xfId="0" applyFont="1" applyBorder="1" applyAlignment="1">
      <alignment horizontal="center" shrinkToFit="1"/>
    </xf>
    <xf numFmtId="3" fontId="7" fillId="0" borderId="12" xfId="0" applyNumberFormat="1" applyFont="1" applyBorder="1" applyAlignment="1">
      <alignment horizontal="center" vertical="center"/>
    </xf>
    <xf numFmtId="49" fontId="4" fillId="0" borderId="0" xfId="0" applyNumberFormat="1" applyFont="1" applyAlignment="1">
      <alignment horizontal="center" vertical="center"/>
    </xf>
    <xf numFmtId="0" fontId="39" fillId="0" borderId="54" xfId="0" quotePrefix="1" applyFont="1" applyBorder="1" applyAlignment="1">
      <alignment horizontal="centerContinuous" vertical="center"/>
    </xf>
    <xf numFmtId="0" fontId="62" fillId="0" borderId="0" xfId="5" applyFont="1" applyAlignment="1">
      <alignment horizontal="center" vertical="center"/>
    </xf>
    <xf numFmtId="0" fontId="63" fillId="0" borderId="1" xfId="5" applyFont="1" applyBorder="1" applyAlignment="1">
      <alignment horizontal="center" shrinkToFit="1"/>
    </xf>
    <xf numFmtId="9" fontId="7" fillId="0" borderId="26" xfId="2" applyFont="1" applyFill="1" applyBorder="1" applyAlignment="1">
      <alignment horizontal="center" vertical="center" shrinkToFit="1"/>
    </xf>
    <xf numFmtId="0" fontId="7" fillId="0" borderId="26" xfId="5" applyFont="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25" xfId="2" applyFont="1" applyBorder="1" applyAlignment="1">
      <alignment horizontal="center" shrinkToFit="1"/>
    </xf>
    <xf numFmtId="0" fontId="7" fillId="0" borderId="26" xfId="2" applyNumberFormat="1" applyFont="1" applyBorder="1" applyAlignment="1">
      <alignment horizontal="center" shrinkToFit="1"/>
    </xf>
    <xf numFmtId="9" fontId="7" fillId="0" borderId="26" xfId="2" applyFont="1" applyBorder="1" applyAlignment="1">
      <alignment horizontal="center" shrinkToFit="1"/>
    </xf>
    <xf numFmtId="9" fontId="7" fillId="0" borderId="25" xfId="2" applyFont="1" applyFill="1" applyBorder="1" applyAlignment="1">
      <alignment horizontal="center" vertical="center" shrinkToFit="1"/>
    </xf>
    <xf numFmtId="0" fontId="63" fillId="0" borderId="56" xfId="5" applyFont="1" applyBorder="1" applyAlignment="1">
      <alignment horizontal="center" shrinkToFit="1"/>
    </xf>
    <xf numFmtId="0" fontId="7" fillId="0" borderId="15" xfId="2" applyNumberFormat="1" applyFont="1" applyFill="1" applyBorder="1" applyAlignment="1">
      <alignment horizontal="center" vertical="center" shrinkToFit="1"/>
    </xf>
    <xf numFmtId="0" fontId="7" fillId="0" borderId="27" xfId="5" applyFont="1" applyBorder="1" applyAlignment="1">
      <alignment horizontal="center" vertical="center" shrinkToFit="1"/>
    </xf>
    <xf numFmtId="9" fontId="7" fillId="0" borderId="25" xfId="2" applyFont="1" applyFill="1" applyBorder="1" applyAlignment="1">
      <alignment horizontal="center" shrinkToFit="1"/>
    </xf>
    <xf numFmtId="0" fontId="7" fillId="0" borderId="26" xfId="2" applyNumberFormat="1" applyFont="1" applyFill="1" applyBorder="1" applyAlignment="1">
      <alignment horizontal="center" shrinkToFit="1"/>
    </xf>
    <xf numFmtId="0" fontId="7" fillId="0" borderId="32" xfId="5" applyFont="1" applyBorder="1" applyAlignment="1">
      <alignment horizontal="center" vertical="center"/>
    </xf>
    <xf numFmtId="9" fontId="7" fillId="0" borderId="26" xfId="2" applyFont="1" applyFill="1" applyBorder="1" applyAlignment="1">
      <alignment horizontal="center" shrinkToFit="1"/>
    </xf>
    <xf numFmtId="0" fontId="63" fillId="0" borderId="73" xfId="5" applyFont="1" applyBorder="1" applyAlignment="1">
      <alignment horizontal="center" shrinkToFit="1"/>
    </xf>
    <xf numFmtId="9" fontId="7" fillId="0" borderId="51" xfId="2" applyFont="1" applyFill="1" applyBorder="1" applyAlignment="1">
      <alignment horizontal="center" vertical="center" shrinkToFit="1"/>
    </xf>
    <xf numFmtId="0" fontId="7" fillId="0" borderId="51" xfId="2" applyNumberFormat="1" applyFont="1" applyFill="1" applyBorder="1" applyAlignment="1">
      <alignment horizontal="center" vertical="center" shrinkToFit="1"/>
    </xf>
    <xf numFmtId="0" fontId="7" fillId="0" borderId="27" xfId="5" applyFont="1" applyBorder="1" applyAlignment="1">
      <alignment horizontal="center" vertical="center"/>
    </xf>
    <xf numFmtId="0" fontId="63" fillId="0" borderId="8" xfId="5" applyFont="1" applyBorder="1" applyAlignment="1">
      <alignment horizontal="center" shrinkToFit="1"/>
    </xf>
    <xf numFmtId="0" fontId="7" fillId="0" borderId="45" xfId="2" applyNumberFormat="1" applyFont="1" applyFill="1" applyBorder="1" applyAlignment="1">
      <alignment horizontal="center" vertical="center" shrinkToFit="1"/>
    </xf>
    <xf numFmtId="0" fontId="61" fillId="0" borderId="23" xfId="5" applyFont="1" applyBorder="1" applyAlignment="1">
      <alignment horizontal="centerContinuous"/>
    </xf>
    <xf numFmtId="0" fontId="15" fillId="0" borderId="0" xfId="5" applyFont="1" applyAlignment="1">
      <alignment horizontal="centerContinuous"/>
    </xf>
    <xf numFmtId="0" fontId="2" fillId="0" borderId="0" xfId="5"/>
    <xf numFmtId="0" fontId="12" fillId="9" borderId="124" xfId="5" applyFont="1" applyFill="1" applyBorder="1" applyAlignment="1">
      <alignment horizontal="centerContinuous" vertical="center"/>
    </xf>
    <xf numFmtId="0" fontId="12" fillId="9" borderId="125" xfId="5" applyFont="1" applyFill="1" applyBorder="1" applyAlignment="1">
      <alignment horizontal="center" vertical="center"/>
    </xf>
    <xf numFmtId="0" fontId="21" fillId="9" borderId="125" xfId="5" applyFont="1" applyFill="1" applyBorder="1" applyAlignment="1">
      <alignment horizontal="center" vertical="center"/>
    </xf>
    <xf numFmtId="0" fontId="12" fillId="9" borderId="126" xfId="5" applyFont="1" applyFill="1" applyBorder="1" applyAlignment="1">
      <alignment horizontal="centerContinuous" vertical="center"/>
    </xf>
    <xf numFmtId="0" fontId="7" fillId="0" borderId="13" xfId="5" applyFont="1" applyBorder="1" applyAlignment="1">
      <alignment horizontal="center"/>
    </xf>
    <xf numFmtId="0" fontId="7" fillId="0" borderId="127" xfId="5" applyFont="1" applyBorder="1" applyAlignment="1">
      <alignment horizontal="center" vertical="center"/>
    </xf>
    <xf numFmtId="0" fontId="4" fillId="0" borderId="0" xfId="5" applyFont="1"/>
    <xf numFmtId="0" fontId="7" fillId="0" borderId="25" xfId="5" applyFont="1" applyBorder="1" applyAlignment="1">
      <alignment horizontal="center"/>
    </xf>
    <xf numFmtId="0" fontId="7" fillId="0" borderId="44" xfId="5" applyFont="1" applyBorder="1" applyAlignment="1">
      <alignment horizontal="center"/>
    </xf>
    <xf numFmtId="0" fontId="7" fillId="0" borderId="33" xfId="5" applyFont="1" applyBorder="1" applyAlignment="1">
      <alignment horizontal="center" vertical="center"/>
    </xf>
    <xf numFmtId="0" fontId="4" fillId="0" borderId="0" xfId="5" applyFont="1" applyAlignment="1">
      <alignment horizontal="right"/>
    </xf>
    <xf numFmtId="0" fontId="2" fillId="0" borderId="0" xfId="5" applyAlignment="1">
      <alignment horizontal="left"/>
    </xf>
    <xf numFmtId="0" fontId="7" fillId="0" borderId="57" xfId="5" applyFont="1" applyBorder="1" applyAlignment="1">
      <alignment horizontal="center"/>
    </xf>
    <xf numFmtId="0" fontId="64" fillId="0" borderId="31" xfId="0" applyFont="1" applyBorder="1" applyAlignment="1">
      <alignment horizontal="centerContinuous" vertical="center" wrapText="1"/>
    </xf>
    <xf numFmtId="0" fontId="65" fillId="0" borderId="128" xfId="0" applyFont="1" applyBorder="1" applyAlignment="1">
      <alignment horizontal="centerContinuous" vertical="center"/>
    </xf>
    <xf numFmtId="0" fontId="2" fillId="0" borderId="129" xfId="0" applyFont="1" applyBorder="1" applyAlignment="1">
      <alignment horizontal="centerContinuous" vertical="center"/>
    </xf>
    <xf numFmtId="0" fontId="2" fillId="0" borderId="101" xfId="0" applyFont="1" applyBorder="1" applyAlignment="1">
      <alignment horizontal="centerContinuous" vertical="center"/>
    </xf>
    <xf numFmtId="0" fontId="12" fillId="9" borderId="130" xfId="0" applyFont="1" applyFill="1" applyBorder="1" applyAlignment="1">
      <alignment horizontal="centerContinuous" vertical="center"/>
    </xf>
    <xf numFmtId="0" fontId="12" fillId="9" borderId="131" xfId="0" applyFont="1" applyFill="1" applyBorder="1" applyAlignment="1">
      <alignment horizontal="center" vertical="center"/>
    </xf>
    <xf numFmtId="0" fontId="12" fillId="9" borderId="131" xfId="0" applyFont="1" applyFill="1" applyBorder="1" applyAlignment="1">
      <alignment horizontal="centerContinuous" vertical="center"/>
    </xf>
    <xf numFmtId="0" fontId="12" fillId="9" borderId="132" xfId="0" applyFont="1" applyFill="1" applyBorder="1" applyAlignment="1">
      <alignment horizontal="center" vertical="center"/>
    </xf>
    <xf numFmtId="0" fontId="4" fillId="0" borderId="133" xfId="0" applyFont="1" applyBorder="1" applyAlignment="1">
      <alignment horizontal="right" vertical="center"/>
    </xf>
    <xf numFmtId="0" fontId="2" fillId="0" borderId="134" xfId="0" applyFont="1" applyBorder="1" applyAlignment="1">
      <alignment horizontal="center" vertical="center"/>
    </xf>
    <xf numFmtId="0" fontId="2" fillId="0" borderId="135" xfId="0" applyFont="1" applyBorder="1" applyAlignment="1">
      <alignment horizontal="center" vertical="center"/>
    </xf>
    <xf numFmtId="0" fontId="66" fillId="8" borderId="135" xfId="0" applyFont="1" applyFill="1" applyBorder="1" applyAlignment="1">
      <alignment horizontal="center" vertical="center"/>
    </xf>
    <xf numFmtId="0" fontId="66" fillId="8" borderId="136" xfId="0" applyFont="1" applyFill="1" applyBorder="1" applyAlignment="1">
      <alignment horizontal="center" vertical="center"/>
    </xf>
    <xf numFmtId="0" fontId="67" fillId="0" borderId="137" xfId="0" applyFont="1" applyBorder="1" applyAlignment="1">
      <alignment horizontal="right" vertical="center"/>
    </xf>
    <xf numFmtId="0" fontId="2" fillId="0" borderId="65" xfId="0" applyFont="1" applyBorder="1" applyAlignment="1">
      <alignment horizontal="center" vertical="center"/>
    </xf>
    <xf numFmtId="0" fontId="2" fillId="0" borderId="38" xfId="0" applyFont="1" applyBorder="1" applyAlignment="1">
      <alignment horizontal="center" vertical="center"/>
    </xf>
    <xf numFmtId="0" fontId="66" fillId="8" borderId="38" xfId="0" applyFont="1" applyFill="1" applyBorder="1" applyAlignment="1">
      <alignment horizontal="center" vertical="center"/>
    </xf>
    <xf numFmtId="0" fontId="66" fillId="8" borderId="39" xfId="0" applyFont="1" applyFill="1" applyBorder="1" applyAlignment="1">
      <alignment horizontal="center" vertical="center"/>
    </xf>
    <xf numFmtId="0" fontId="68" fillId="0" borderId="138" xfId="0" applyFont="1" applyBorder="1" applyAlignment="1">
      <alignment horizontal="right" vertical="center"/>
    </xf>
    <xf numFmtId="0" fontId="69" fillId="9" borderId="139" xfId="0" applyFont="1" applyFill="1" applyBorder="1" applyAlignment="1">
      <alignment horizontal="center" vertical="center"/>
    </xf>
    <xf numFmtId="0" fontId="69" fillId="9" borderId="140" xfId="0" applyFont="1" applyFill="1" applyBorder="1" applyAlignment="1">
      <alignment horizontal="center" vertical="center"/>
    </xf>
    <xf numFmtId="0" fontId="70" fillId="8" borderId="140" xfId="0" applyFont="1" applyFill="1" applyBorder="1" applyAlignment="1">
      <alignment horizontal="center" vertical="center"/>
    </xf>
    <xf numFmtId="0" fontId="70" fillId="8" borderId="141" xfId="0" applyFont="1" applyFill="1" applyBorder="1" applyAlignment="1">
      <alignment horizontal="center" vertical="center"/>
    </xf>
    <xf numFmtId="0" fontId="4" fillId="0" borderId="142" xfId="0" applyFont="1" applyBorder="1" applyAlignment="1">
      <alignment horizontal="right" vertical="center"/>
    </xf>
    <xf numFmtId="1" fontId="69" fillId="9" borderId="143" xfId="0" applyNumberFormat="1" applyFont="1" applyFill="1" applyBorder="1" applyAlignment="1">
      <alignment horizontal="center" vertical="center"/>
    </xf>
    <xf numFmtId="1" fontId="69" fillId="9" borderId="144" xfId="0" applyNumberFormat="1" applyFont="1" applyFill="1" applyBorder="1" applyAlignment="1">
      <alignment horizontal="center" vertical="center"/>
    </xf>
    <xf numFmtId="1" fontId="69" fillId="8" borderId="144" xfId="0" applyNumberFormat="1" applyFont="1" applyFill="1" applyBorder="1" applyAlignment="1">
      <alignment horizontal="center" vertical="center"/>
    </xf>
    <xf numFmtId="1" fontId="69" fillId="8" borderId="145" xfId="0" applyNumberFormat="1" applyFont="1" applyFill="1" applyBorder="1" applyAlignment="1">
      <alignment horizontal="center" vertical="center"/>
    </xf>
    <xf numFmtId="0" fontId="65" fillId="0" borderId="58" xfId="0" applyFont="1" applyBorder="1" applyAlignment="1">
      <alignment horizontal="centerContinuous" vertical="center"/>
    </xf>
    <xf numFmtId="0" fontId="6" fillId="0" borderId="59" xfId="0" applyFont="1" applyBorder="1" applyAlignment="1">
      <alignment horizontal="centerContinuous" vertical="center"/>
    </xf>
    <xf numFmtId="0" fontId="6" fillId="0" borderId="60" xfId="0" applyFont="1" applyBorder="1" applyAlignment="1">
      <alignment horizontal="centerContinuous" vertical="center"/>
    </xf>
    <xf numFmtId="0" fontId="54" fillId="9" borderId="56" xfId="0" applyFont="1" applyFill="1" applyBorder="1" applyAlignment="1">
      <alignment horizontal="centerContinuous" vertical="center"/>
    </xf>
    <xf numFmtId="0" fontId="54" fillId="9" borderId="146" xfId="0" applyFont="1" applyFill="1" applyBorder="1" applyAlignment="1">
      <alignment horizontal="center" vertical="center"/>
    </xf>
    <xf numFmtId="0" fontId="54" fillId="9" borderId="61" xfId="0" applyFont="1" applyFill="1" applyBorder="1" applyAlignment="1">
      <alignment horizontal="center" vertical="center"/>
    </xf>
    <xf numFmtId="0" fontId="54" fillId="9" borderId="62" xfId="0" applyFont="1" applyFill="1" applyBorder="1" applyAlignment="1">
      <alignment horizontal="center" vertical="center"/>
    </xf>
    <xf numFmtId="0" fontId="7" fillId="0" borderId="1" xfId="0" applyFont="1" applyBorder="1" applyAlignment="1">
      <alignment horizontal="center" vertical="center" shrinkToFit="1"/>
    </xf>
    <xf numFmtId="0" fontId="53" fillId="5" borderId="27" xfId="2" applyNumberFormat="1" applyFont="1" applyFill="1" applyBorder="1" applyAlignment="1">
      <alignment horizontal="center" vertical="center" shrinkToFit="1"/>
    </xf>
    <xf numFmtId="0" fontId="7" fillId="0" borderId="56" xfId="0" applyFont="1" applyBorder="1" applyAlignment="1">
      <alignment horizontal="center" vertical="center" shrinkToFit="1"/>
    </xf>
    <xf numFmtId="0" fontId="53" fillId="5" borderId="32" xfId="2" applyNumberFormat="1" applyFont="1" applyFill="1" applyBorder="1" applyAlignment="1">
      <alignment horizontal="center" vertical="center" shrinkToFit="1"/>
    </xf>
    <xf numFmtId="0" fontId="7" fillId="0" borderId="8" xfId="0" applyFont="1" applyBorder="1" applyAlignment="1">
      <alignment horizontal="center" vertical="center" shrinkToFit="1"/>
    </xf>
    <xf numFmtId="0" fontId="7" fillId="0" borderId="44" xfId="0" applyFont="1" applyBorder="1" applyAlignment="1">
      <alignment horizontal="center" vertical="center"/>
    </xf>
    <xf numFmtId="0" fontId="53" fillId="5" borderId="33" xfId="2" applyNumberFormat="1" applyFont="1" applyFill="1" applyBorder="1" applyAlignment="1">
      <alignment horizontal="center" vertical="center" shrinkToFit="1"/>
    </xf>
    <xf numFmtId="2" fontId="2" fillId="0" borderId="115" xfId="0" applyNumberFormat="1" applyFont="1" applyBorder="1" applyAlignment="1">
      <alignment horizontal="center" vertical="center"/>
    </xf>
    <xf numFmtId="0" fontId="56" fillId="2" borderId="64" xfId="0" applyFont="1" applyFill="1" applyBorder="1" applyAlignment="1">
      <alignment horizontal="left" vertical="center"/>
    </xf>
    <xf numFmtId="0" fontId="2" fillId="12" borderId="77" xfId="0" applyFont="1" applyFill="1" applyBorder="1" applyAlignment="1">
      <alignment horizontal="center" vertical="center"/>
    </xf>
    <xf numFmtId="0" fontId="2" fillId="12" borderId="78" xfId="0" applyFont="1" applyFill="1" applyBorder="1" applyAlignment="1">
      <alignment horizontal="center" vertical="center"/>
    </xf>
    <xf numFmtId="0" fontId="2" fillId="12" borderId="78" xfId="0" quotePrefix="1" applyFont="1" applyFill="1" applyBorder="1" applyAlignment="1">
      <alignment horizontal="center" vertical="center" wrapText="1"/>
    </xf>
    <xf numFmtId="49" fontId="2" fillId="12" borderId="78" xfId="2" applyNumberFormat="1" applyFont="1" applyFill="1" applyBorder="1" applyAlignment="1">
      <alignment horizontal="center" vertical="center"/>
    </xf>
    <xf numFmtId="0" fontId="2" fillId="12" borderId="78" xfId="0" applyFont="1" applyFill="1" applyBorder="1" applyAlignment="1">
      <alignment horizontal="center" vertical="center" shrinkToFit="1"/>
    </xf>
    <xf numFmtId="164" fontId="2" fillId="12" borderId="78" xfId="0" applyNumberFormat="1" applyFont="1" applyFill="1" applyBorder="1" applyAlignment="1">
      <alignment horizontal="center" vertical="center"/>
    </xf>
    <xf numFmtId="1" fontId="2" fillId="12" borderId="78" xfId="0" applyNumberFormat="1" applyFont="1" applyFill="1" applyBorder="1" applyAlignment="1">
      <alignment horizontal="center" vertical="center"/>
    </xf>
    <xf numFmtId="1" fontId="2" fillId="12" borderId="79" xfId="0" applyNumberFormat="1" applyFont="1" applyFill="1" applyBorder="1" applyAlignment="1">
      <alignment horizontal="center" vertical="center"/>
    </xf>
    <xf numFmtId="0" fontId="2" fillId="12" borderId="80" xfId="0" quotePrefix="1" applyFont="1" applyFill="1" applyBorder="1" applyAlignment="1">
      <alignment horizontal="center" vertical="center"/>
    </xf>
    <xf numFmtId="1" fontId="2" fillId="12" borderId="53" xfId="0" applyNumberFormat="1" applyFont="1" applyFill="1" applyBorder="1" applyAlignment="1">
      <alignment horizontal="center" vertical="center"/>
    </xf>
    <xf numFmtId="0" fontId="39" fillId="0" borderId="113" xfId="0" applyFont="1" applyBorder="1" applyAlignment="1">
      <alignment horizont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1" fontId="2" fillId="0" borderId="34" xfId="0" applyNumberFormat="1" applyFont="1" applyBorder="1" applyAlignment="1">
      <alignment horizontal="center" vertical="center" shrinkToFit="1"/>
    </xf>
    <xf numFmtId="0" fontId="2" fillId="0" borderId="0" xfId="0" applyFont="1" applyAlignment="1">
      <alignment horizontal="center" vertical="center" shrinkToFit="1"/>
    </xf>
    <xf numFmtId="0" fontId="73" fillId="0" borderId="0" xfId="0" applyFont="1" applyAlignment="1">
      <alignment vertical="center"/>
    </xf>
    <xf numFmtId="0" fontId="2" fillId="0" borderId="0" xfId="0" applyFont="1" applyAlignment="1">
      <alignment horizontal="left" vertical="center" shrinkToFit="1"/>
    </xf>
    <xf numFmtId="1" fontId="2" fillId="0" borderId="74" xfId="0" applyNumberFormat="1" applyFont="1" applyBorder="1" applyAlignment="1">
      <alignment horizontal="center" vertical="center" shrinkToFit="1"/>
    </xf>
    <xf numFmtId="0" fontId="2" fillId="0" borderId="147" xfId="0" applyFont="1" applyBorder="1" applyAlignment="1">
      <alignment horizontal="center" vertical="center" shrinkToFit="1"/>
    </xf>
    <xf numFmtId="1" fontId="2" fillId="0" borderId="38" xfId="0" applyNumberFormat="1" applyFont="1" applyBorder="1" applyAlignment="1">
      <alignment horizontal="center" vertical="center" shrinkToFit="1"/>
    </xf>
    <xf numFmtId="0" fontId="2" fillId="0" borderId="148" xfId="0" applyFont="1" applyBorder="1" applyAlignment="1">
      <alignment horizontal="left" vertical="center"/>
    </xf>
    <xf numFmtId="0" fontId="2" fillId="0" borderId="39" xfId="0" applyFont="1" applyBorder="1" applyAlignment="1">
      <alignment horizontal="left" vertical="center" shrinkToFit="1"/>
    </xf>
    <xf numFmtId="0" fontId="2" fillId="0" borderId="96" xfId="0" applyFont="1" applyBorder="1" applyAlignment="1">
      <alignment horizontal="center" vertical="center" shrinkToFit="1"/>
    </xf>
    <xf numFmtId="1" fontId="2" fillId="0" borderId="40" xfId="0" applyNumberFormat="1" applyFont="1" applyBorder="1" applyAlignment="1">
      <alignment horizontal="center" vertical="center" shrinkToFit="1"/>
    </xf>
    <xf numFmtId="164" fontId="2" fillId="0" borderId="40" xfId="0" applyNumberFormat="1" applyFont="1" applyBorder="1" applyAlignment="1">
      <alignment horizontal="center" vertical="center" shrinkToFit="1"/>
    </xf>
    <xf numFmtId="0" fontId="2" fillId="0" borderId="149" xfId="0" applyFont="1" applyBorder="1" applyAlignment="1">
      <alignment horizontal="left" vertical="center"/>
    </xf>
    <xf numFmtId="0" fontId="2" fillId="0" borderId="41" xfId="0" applyFont="1" applyBorder="1" applyAlignment="1">
      <alignment horizontal="left" vertical="center" shrinkToFit="1"/>
    </xf>
    <xf numFmtId="1" fontId="2" fillId="0" borderId="46" xfId="0" applyNumberFormat="1" applyFont="1" applyBorder="1" applyAlignment="1">
      <alignment horizontal="center" vertical="center" shrinkToFit="1"/>
    </xf>
    <xf numFmtId="0" fontId="33" fillId="0" borderId="38" xfId="1" applyBorder="1" applyAlignment="1" applyProtection="1">
      <alignment horizontal="left" vertical="center"/>
    </xf>
    <xf numFmtId="165" fontId="2" fillId="0" borderId="0" xfId="0" applyNumberFormat="1" applyFont="1" applyAlignment="1">
      <alignment horizontal="center" vertical="center"/>
    </xf>
    <xf numFmtId="0" fontId="21" fillId="3" borderId="22" xfId="0" applyFont="1" applyFill="1" applyBorder="1" applyAlignment="1">
      <alignment horizontal="center" vertical="center"/>
    </xf>
    <xf numFmtId="9" fontId="21" fillId="3" borderId="21" xfId="2" applyFont="1" applyFill="1" applyBorder="1" applyAlignment="1">
      <alignment horizontal="center" vertical="center"/>
    </xf>
    <xf numFmtId="0" fontId="75" fillId="0" borderId="17" xfId="0" applyFont="1" applyBorder="1" applyAlignment="1">
      <alignment horizontal="center"/>
    </xf>
    <xf numFmtId="0" fontId="75" fillId="0" borderId="150" xfId="0" applyFont="1" applyBorder="1" applyAlignment="1">
      <alignment horizontal="center"/>
    </xf>
    <xf numFmtId="0" fontId="75" fillId="0" borderId="151" xfId="0" applyFont="1" applyBorder="1" applyAlignment="1">
      <alignment horizontal="center"/>
    </xf>
    <xf numFmtId="0" fontId="75" fillId="0" borderId="152" xfId="0" applyFont="1" applyBorder="1" applyAlignment="1">
      <alignment horizontal="center"/>
    </xf>
    <xf numFmtId="0" fontId="0" fillId="8" borderId="121" xfId="0" applyFill="1" applyBorder="1" applyAlignment="1">
      <alignment horizontal="center"/>
    </xf>
    <xf numFmtId="0" fontId="0" fillId="8" borderId="122" xfId="0" applyFill="1" applyBorder="1" applyAlignment="1">
      <alignment horizontal="center"/>
    </xf>
    <xf numFmtId="0" fontId="0" fillId="0" borderId="137" xfId="0" applyBorder="1" applyAlignment="1">
      <alignment horizontal="center"/>
    </xf>
    <xf numFmtId="0" fontId="0" fillId="0" borderId="65" xfId="0" applyBorder="1" applyAlignment="1">
      <alignment horizontal="center"/>
    </xf>
    <xf numFmtId="0" fontId="0" fillId="8" borderId="38" xfId="0" applyFill="1" applyBorder="1" applyAlignment="1">
      <alignment horizontal="center"/>
    </xf>
    <xf numFmtId="0" fontId="0" fillId="8" borderId="39" xfId="0" applyFill="1" applyBorder="1" applyAlignment="1">
      <alignment horizontal="center"/>
    </xf>
    <xf numFmtId="0" fontId="0" fillId="0" borderId="38" xfId="0" applyBorder="1" applyAlignment="1">
      <alignment horizontal="center"/>
    </xf>
    <xf numFmtId="0" fontId="0" fillId="0" borderId="154" xfId="0" applyBorder="1" applyAlignment="1">
      <alignment horizontal="center"/>
    </xf>
    <xf numFmtId="0" fontId="2" fillId="0" borderId="66" xfId="0" applyFont="1" applyBorder="1" applyAlignment="1">
      <alignment horizontal="center"/>
    </xf>
    <xf numFmtId="0" fontId="0" fillId="0" borderId="66"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39" xfId="0" applyBorder="1" applyAlignment="1">
      <alignment horizontal="center"/>
    </xf>
    <xf numFmtId="0" fontId="74" fillId="0" borderId="0" xfId="0" applyFont="1" applyAlignment="1">
      <alignment horizontal="centerContinuous" vertical="center"/>
    </xf>
    <xf numFmtId="0" fontId="55" fillId="0" borderId="58" xfId="0" applyFont="1" applyBorder="1" applyAlignment="1">
      <alignment horizontal="centerContinuous" vertical="center"/>
    </xf>
    <xf numFmtId="0" fontId="76" fillId="0" borderId="0" xfId="0" applyFont="1" applyAlignment="1">
      <alignment horizontal="centerContinuous" vertical="center"/>
    </xf>
    <xf numFmtId="0" fontId="76" fillId="0" borderId="0" xfId="0" applyFont="1" applyAlignment="1">
      <alignment horizontal="right" vertical="center"/>
    </xf>
    <xf numFmtId="0" fontId="45" fillId="11" borderId="22" xfId="0" applyFont="1" applyFill="1" applyBorder="1" applyAlignment="1">
      <alignment horizontal="center" vertical="center"/>
    </xf>
    <xf numFmtId="1" fontId="46" fillId="11" borderId="105" xfId="0" applyNumberFormat="1" applyFont="1" applyFill="1" applyBorder="1" applyAlignment="1">
      <alignment horizontal="center" vertical="center"/>
    </xf>
    <xf numFmtId="1" fontId="46" fillId="11" borderId="75" xfId="0" applyNumberFormat="1" applyFont="1" applyFill="1" applyBorder="1" applyAlignment="1">
      <alignment horizontal="center" vertical="center"/>
    </xf>
    <xf numFmtId="0" fontId="2" fillId="12" borderId="155" xfId="0" applyFont="1" applyFill="1" applyBorder="1" applyAlignment="1">
      <alignment horizontal="center" vertical="center"/>
    </xf>
    <xf numFmtId="0" fontId="2" fillId="12" borderId="104" xfId="0" applyFont="1" applyFill="1" applyBorder="1" applyAlignment="1">
      <alignment horizontal="center" vertical="center"/>
    </xf>
    <xf numFmtId="0" fontId="2" fillId="12" borderId="104" xfId="0" quotePrefix="1" applyFont="1" applyFill="1" applyBorder="1" applyAlignment="1">
      <alignment horizontal="center" vertical="center" wrapText="1"/>
    </xf>
    <xf numFmtId="49" fontId="2" fillId="12" borderId="104" xfId="2" applyNumberFormat="1" applyFont="1" applyFill="1" applyBorder="1" applyAlignment="1">
      <alignment horizontal="center" vertical="center"/>
    </xf>
    <xf numFmtId="0" fontId="2" fillId="12" borderId="104" xfId="0" applyFont="1" applyFill="1" applyBorder="1" applyAlignment="1">
      <alignment horizontal="center" vertical="center" shrinkToFit="1"/>
    </xf>
    <xf numFmtId="164" fontId="2" fillId="12" borderId="104" xfId="0" applyNumberFormat="1" applyFont="1" applyFill="1" applyBorder="1" applyAlignment="1">
      <alignment horizontal="center" vertical="center"/>
    </xf>
    <xf numFmtId="1" fontId="2" fillId="12" borderId="105" xfId="0" applyNumberFormat="1" applyFont="1" applyFill="1" applyBorder="1" applyAlignment="1">
      <alignment horizontal="center" vertical="center"/>
    </xf>
    <xf numFmtId="0" fontId="2" fillId="12" borderId="156" xfId="0" quotePrefix="1" applyFont="1" applyFill="1" applyBorder="1" applyAlignment="1">
      <alignment horizontal="center" vertical="center"/>
    </xf>
    <xf numFmtId="1" fontId="2" fillId="12" borderId="74" xfId="0" applyNumberFormat="1" applyFont="1" applyFill="1" applyBorder="1" applyAlignment="1">
      <alignment horizontal="center" vertical="center"/>
    </xf>
    <xf numFmtId="0" fontId="7" fillId="0" borderId="62" xfId="0" quotePrefix="1" applyFont="1" applyBorder="1" applyAlignment="1">
      <alignment horizontal="center" vertical="center"/>
    </xf>
    <xf numFmtId="0" fontId="39" fillId="0" borderId="113" xfId="0" applyFont="1" applyBorder="1" applyAlignment="1">
      <alignment horizontal="centerContinuous" vertical="center"/>
    </xf>
    <xf numFmtId="0" fontId="59" fillId="0" borderId="31" xfId="0" applyFont="1" applyBorder="1" applyAlignment="1">
      <alignment horizontal="centerContinuous" vertical="center" wrapText="1"/>
    </xf>
    <xf numFmtId="0" fontId="77" fillId="0" borderId="34" xfId="0" applyFont="1" applyBorder="1" applyAlignment="1">
      <alignment horizontal="centerContinuous" vertical="center"/>
    </xf>
    <xf numFmtId="0" fontId="2" fillId="12" borderId="81" xfId="0" applyFont="1" applyFill="1" applyBorder="1" applyAlignment="1">
      <alignment horizontal="center" vertical="center"/>
    </xf>
    <xf numFmtId="0" fontId="2" fillId="12" borderId="82" xfId="0" applyFont="1" applyFill="1" applyBorder="1" applyAlignment="1">
      <alignment horizontal="center" vertical="center"/>
    </xf>
    <xf numFmtId="0" fontId="2" fillId="12" borderId="82" xfId="0" quotePrefix="1" applyFont="1" applyFill="1" applyBorder="1" applyAlignment="1">
      <alignment horizontal="center" vertical="center"/>
    </xf>
    <xf numFmtId="9" fontId="2" fillId="12" borderId="82" xfId="0" applyNumberFormat="1" applyFont="1" applyFill="1" applyBorder="1" applyAlignment="1">
      <alignment horizontal="center" vertical="center"/>
    </xf>
    <xf numFmtId="164" fontId="2" fillId="12" borderId="82" xfId="0" applyNumberFormat="1" applyFont="1" applyFill="1" applyBorder="1" applyAlignment="1">
      <alignment horizontal="center" vertical="center"/>
    </xf>
    <xf numFmtId="164" fontId="2" fillId="12" borderId="83" xfId="0" applyNumberFormat="1" applyFont="1" applyFill="1" applyBorder="1" applyAlignment="1">
      <alignment horizontal="centerContinuous" vertical="center"/>
    </xf>
    <xf numFmtId="164" fontId="2" fillId="12" borderId="86" xfId="0" applyNumberFormat="1" applyFont="1" applyFill="1" applyBorder="1" applyAlignment="1">
      <alignment horizontal="centerContinuous" vertical="center"/>
    </xf>
    <xf numFmtId="0" fontId="5" fillId="12" borderId="84" xfId="0" applyFont="1" applyFill="1" applyBorder="1" applyAlignment="1">
      <alignment horizontal="centerContinuous" vertical="center"/>
    </xf>
    <xf numFmtId="1" fontId="2" fillId="12" borderId="46" xfId="0" applyNumberFormat="1" applyFont="1" applyFill="1" applyBorder="1" applyAlignment="1">
      <alignment horizontal="center" vertical="center"/>
    </xf>
    <xf numFmtId="0" fontId="2" fillId="0" borderId="111" xfId="0" applyFont="1" applyBorder="1" applyAlignment="1">
      <alignment horizontal="center" vertical="center" shrinkToFit="1"/>
    </xf>
    <xf numFmtId="0" fontId="2" fillId="0" borderId="75" xfId="0" quotePrefix="1" applyFont="1" applyBorder="1" applyAlignment="1">
      <alignment horizontal="center" vertical="center"/>
    </xf>
    <xf numFmtId="9" fontId="2" fillId="0" borderId="75" xfId="0" applyNumberFormat="1" applyFont="1" applyBorder="1" applyAlignment="1">
      <alignment horizontal="center" vertical="center"/>
    </xf>
    <xf numFmtId="49" fontId="2" fillId="0" borderId="75" xfId="0" quotePrefix="1" applyNumberFormat="1" applyFont="1" applyBorder="1" applyAlignment="1">
      <alignment horizontal="center" vertical="center"/>
    </xf>
    <xf numFmtId="164" fontId="2" fillId="0" borderId="76" xfId="0" applyNumberFormat="1" applyFont="1" applyBorder="1" applyAlignment="1">
      <alignment horizontal="centerContinuous" vertical="center"/>
    </xf>
    <xf numFmtId="164" fontId="2" fillId="0" borderId="117" xfId="0" applyNumberFormat="1" applyFont="1" applyBorder="1" applyAlignment="1">
      <alignment horizontal="centerContinuous" vertical="center"/>
    </xf>
    <xf numFmtId="0" fontId="5" fillId="0" borderId="118" xfId="0" quotePrefix="1" applyFont="1" applyBorder="1" applyAlignment="1">
      <alignment horizontal="centerContinuous" vertical="center"/>
    </xf>
    <xf numFmtId="0" fontId="2" fillId="0" borderId="0" xfId="9" applyAlignment="1">
      <alignment vertical="center"/>
    </xf>
    <xf numFmtId="0" fontId="2" fillId="0" borderId="0" xfId="9" applyAlignment="1">
      <alignment horizontal="left" vertical="center"/>
    </xf>
    <xf numFmtId="0" fontId="4" fillId="0" borderId="0" xfId="9" applyFont="1" applyAlignment="1">
      <alignment horizontal="right" vertical="center"/>
    </xf>
    <xf numFmtId="0" fontId="7" fillId="0" borderId="10" xfId="9" applyFont="1" applyBorder="1" applyAlignment="1">
      <alignment vertical="center"/>
    </xf>
    <xf numFmtId="0" fontId="7" fillId="0" borderId="9" xfId="9" applyFont="1" applyBorder="1" applyAlignment="1">
      <alignment vertical="center"/>
    </xf>
    <xf numFmtId="0" fontId="7" fillId="0" borderId="8" xfId="9" applyFont="1" applyBorder="1" applyAlignment="1">
      <alignment vertical="center"/>
    </xf>
    <xf numFmtId="0" fontId="7" fillId="0" borderId="2" xfId="9" applyFont="1" applyBorder="1" applyAlignment="1">
      <alignment horizontal="left" vertical="center"/>
    </xf>
    <xf numFmtId="0" fontId="7" fillId="0" borderId="0" xfId="9" applyFont="1" applyAlignment="1">
      <alignment horizontal="left" vertical="center"/>
    </xf>
    <xf numFmtId="0" fontId="7" fillId="0" borderId="1" xfId="9" applyFont="1" applyBorder="1" applyAlignment="1">
      <alignment vertical="center"/>
    </xf>
    <xf numFmtId="0" fontId="7" fillId="0" borderId="2" xfId="9" applyFont="1" applyBorder="1" applyAlignment="1">
      <alignment horizontal="center" vertical="center"/>
    </xf>
    <xf numFmtId="0" fontId="11" fillId="0" borderId="0" xfId="9" applyFont="1" applyAlignment="1">
      <alignment horizontal="right" vertical="center"/>
    </xf>
    <xf numFmtId="0" fontId="6" fillId="0" borderId="1" xfId="9" applyFont="1" applyBorder="1" applyAlignment="1">
      <alignment horizontal="right" vertical="center"/>
    </xf>
    <xf numFmtId="0" fontId="11" fillId="0" borderId="1" xfId="9" applyFont="1" applyBorder="1" applyAlignment="1">
      <alignment horizontal="right" vertical="center"/>
    </xf>
    <xf numFmtId="0" fontId="7" fillId="0" borderId="12" xfId="9" applyFont="1" applyBorder="1" applyAlignment="1">
      <alignment horizontal="center" vertical="center"/>
    </xf>
    <xf numFmtId="0" fontId="10" fillId="4" borderId="157" xfId="9" applyFont="1" applyFill="1" applyBorder="1" applyAlignment="1">
      <alignment horizontal="right" vertical="center"/>
    </xf>
    <xf numFmtId="0" fontId="26" fillId="0" borderId="24" xfId="9" applyFont="1" applyBorder="1" applyAlignment="1">
      <alignment horizontal="center" vertical="center"/>
    </xf>
    <xf numFmtId="0" fontId="7" fillId="0" borderId="24" xfId="9" applyFont="1" applyBorder="1" applyAlignment="1">
      <alignment horizontal="center" vertical="center"/>
    </xf>
    <xf numFmtId="0" fontId="14" fillId="2" borderId="16" xfId="9" applyFont="1" applyFill="1" applyBorder="1" applyAlignment="1">
      <alignment horizontal="right" vertical="center"/>
    </xf>
    <xf numFmtId="49" fontId="7" fillId="0" borderId="28" xfId="9" applyNumberFormat="1" applyFont="1" applyBorder="1" applyAlignment="1">
      <alignment horizontal="center" vertical="center"/>
    </xf>
    <xf numFmtId="0" fontId="78" fillId="4" borderId="158" xfId="9" applyFont="1" applyFill="1" applyBorder="1" applyAlignment="1">
      <alignment horizontal="right" vertical="center"/>
    </xf>
    <xf numFmtId="0" fontId="26" fillId="0" borderId="3" xfId="9" applyFont="1" applyBorder="1" applyAlignment="1">
      <alignment horizontal="center" vertical="center"/>
    </xf>
    <xf numFmtId="0" fontId="7" fillId="0" borderId="3" xfId="9" applyFont="1" applyBorder="1" applyAlignment="1">
      <alignment horizontal="center" vertical="center"/>
    </xf>
    <xf numFmtId="0" fontId="22" fillId="2" borderId="4" xfId="9" applyFont="1" applyFill="1" applyBorder="1" applyAlignment="1">
      <alignment horizontal="right" vertical="center"/>
    </xf>
    <xf numFmtId="0" fontId="7" fillId="0" borderId="28" xfId="9" applyFont="1" applyBorder="1" applyAlignment="1">
      <alignment horizontal="center" vertical="center"/>
    </xf>
    <xf numFmtId="0" fontId="8" fillId="4" borderId="159" xfId="9" applyFont="1" applyFill="1" applyBorder="1" applyAlignment="1">
      <alignment horizontal="right" vertical="center"/>
    </xf>
    <xf numFmtId="0" fontId="26" fillId="0" borderId="160" xfId="9" applyFont="1" applyBorder="1" applyAlignment="1">
      <alignment horizontal="center" vertical="center"/>
    </xf>
    <xf numFmtId="0" fontId="11" fillId="2" borderId="4" xfId="9" applyFont="1" applyFill="1" applyBorder="1" applyAlignment="1">
      <alignment horizontal="right" vertical="center"/>
    </xf>
    <xf numFmtId="0" fontId="8" fillId="0" borderId="1" xfId="9" applyFont="1" applyBorder="1" applyAlignment="1">
      <alignment horizontal="right" vertical="center"/>
    </xf>
    <xf numFmtId="0" fontId="10" fillId="2" borderId="4" xfId="9" applyFont="1" applyFill="1" applyBorder="1" applyAlignment="1">
      <alignment horizontal="right" vertical="center"/>
    </xf>
    <xf numFmtId="0" fontId="11" fillId="4" borderId="159" xfId="9" applyFont="1" applyFill="1" applyBorder="1" applyAlignment="1">
      <alignment horizontal="right" vertical="center"/>
    </xf>
    <xf numFmtId="0" fontId="13" fillId="2" borderId="4" xfId="9" applyFont="1" applyFill="1" applyBorder="1" applyAlignment="1">
      <alignment horizontal="right" vertical="center"/>
    </xf>
    <xf numFmtId="0" fontId="7" fillId="0" borderId="7" xfId="9" applyFont="1" applyBorder="1" applyAlignment="1">
      <alignment horizontal="center" vertical="center"/>
    </xf>
    <xf numFmtId="0" fontId="6" fillId="13" borderId="28" xfId="9" applyFont="1" applyFill="1" applyBorder="1" applyAlignment="1">
      <alignment horizontal="center" vertical="center"/>
    </xf>
    <xf numFmtId="1" fontId="7" fillId="0" borderId="28" xfId="9" applyNumberFormat="1" applyFont="1" applyBorder="1" applyAlignment="1">
      <alignment horizontal="center" vertical="center"/>
    </xf>
    <xf numFmtId="0" fontId="26" fillId="0" borderId="68" xfId="9" applyFont="1" applyBorder="1" applyAlignment="1">
      <alignment horizontal="center" vertical="center"/>
    </xf>
    <xf numFmtId="0" fontId="7" fillId="0" borderId="15" xfId="9" applyFont="1" applyBorder="1" applyAlignment="1">
      <alignment horizontal="center" vertical="center"/>
    </xf>
    <xf numFmtId="0" fontId="8" fillId="2" borderId="14" xfId="9" applyFont="1" applyFill="1" applyBorder="1" applyAlignment="1">
      <alignment horizontal="right" vertical="center"/>
    </xf>
    <xf numFmtId="0" fontId="7" fillId="0" borderId="10" xfId="9" applyFont="1" applyBorder="1" applyAlignment="1">
      <alignment horizontal="center" vertical="center"/>
    </xf>
    <xf numFmtId="0" fontId="6" fillId="0" borderId="9" xfId="9" applyFont="1" applyBorder="1" applyAlignment="1">
      <alignment horizontal="right" vertical="center"/>
    </xf>
    <xf numFmtId="0" fontId="7" fillId="0" borderId="9" xfId="9" applyFont="1" applyBorder="1" applyAlignment="1">
      <alignment horizontal="center" vertical="center"/>
    </xf>
    <xf numFmtId="0" fontId="7" fillId="0" borderId="9" xfId="9" applyFont="1" applyBorder="1" applyAlignment="1">
      <alignment horizontal="centerContinuous" vertical="center"/>
    </xf>
    <xf numFmtId="0" fontId="79" fillId="0" borderId="9" xfId="9" applyFont="1" applyBorder="1" applyAlignment="1">
      <alignment horizontal="centerContinuous" vertical="center"/>
    </xf>
    <xf numFmtId="0" fontId="6" fillId="0" borderId="8" xfId="9" applyFont="1" applyBorder="1" applyAlignment="1">
      <alignment horizontal="right" vertical="center"/>
    </xf>
    <xf numFmtId="49" fontId="7" fillId="0" borderId="2" xfId="9" quotePrefix="1" applyNumberFormat="1" applyFont="1" applyBorder="1" applyAlignment="1">
      <alignment horizontal="center" vertical="center"/>
    </xf>
    <xf numFmtId="0" fontId="6" fillId="0" borderId="0" xfId="9" applyFont="1" applyAlignment="1">
      <alignment horizontal="right" vertical="center"/>
    </xf>
    <xf numFmtId="0" fontId="7" fillId="0" borderId="0" xfId="9" applyFont="1" applyAlignment="1">
      <alignment horizontal="center" vertical="center"/>
    </xf>
    <xf numFmtId="0" fontId="7" fillId="0" borderId="0" xfId="9" applyFont="1" applyAlignment="1">
      <alignment horizontal="centerContinuous" vertical="center"/>
    </xf>
    <xf numFmtId="0" fontId="80" fillId="2" borderId="161" xfId="9" applyFont="1" applyFill="1" applyBorder="1" applyAlignment="1">
      <alignment horizontal="right" vertical="center"/>
    </xf>
    <xf numFmtId="0" fontId="4" fillId="2" borderId="162" xfId="9" applyFont="1" applyFill="1" applyBorder="1" applyAlignment="1">
      <alignment horizontal="centerContinuous" vertical="center"/>
    </xf>
    <xf numFmtId="0" fontId="2" fillId="2" borderId="162" xfId="9" applyFill="1" applyBorder="1" applyAlignment="1">
      <alignment horizontal="left" vertical="center"/>
    </xf>
    <xf numFmtId="0" fontId="20" fillId="2" borderId="162" xfId="9" applyFont="1" applyFill="1" applyBorder="1" applyAlignment="1">
      <alignment horizontal="left" vertical="center"/>
    </xf>
    <xf numFmtId="0" fontId="81" fillId="2" borderId="163" xfId="9" applyFont="1" applyFill="1" applyBorder="1" applyAlignment="1">
      <alignment horizontal="right" vertical="center"/>
    </xf>
    <xf numFmtId="1" fontId="21" fillId="3" borderId="31" xfId="0" applyNumberFormat="1" applyFont="1" applyFill="1" applyBorder="1" applyAlignment="1">
      <alignment horizontal="center" vertical="center"/>
    </xf>
    <xf numFmtId="0" fontId="2" fillId="0" borderId="38" xfId="0" applyFont="1" applyBorder="1" applyAlignment="1">
      <alignment horizontal="center" vertical="center" shrinkToFit="1"/>
    </xf>
    <xf numFmtId="0" fontId="2" fillId="0" borderId="102" xfId="0" applyFont="1" applyBorder="1" applyAlignment="1">
      <alignment horizontal="center" vertical="center" shrinkToFit="1"/>
    </xf>
    <xf numFmtId="0" fontId="2" fillId="0" borderId="121" xfId="0" applyFont="1" applyBorder="1" applyAlignment="1">
      <alignment horizontal="center" vertical="center" shrinkToFit="1"/>
    </xf>
    <xf numFmtId="164" fontId="2" fillId="0" borderId="121" xfId="0" applyNumberFormat="1" applyFont="1" applyBorder="1" applyAlignment="1">
      <alignment horizontal="center" vertical="center" shrinkToFit="1"/>
    </xf>
    <xf numFmtId="0" fontId="2" fillId="0" borderId="164" xfId="0" applyFont="1" applyBorder="1" applyAlignment="1">
      <alignment horizontal="left" vertical="center"/>
    </xf>
    <xf numFmtId="0" fontId="2" fillId="0" borderId="122" xfId="0" applyFont="1" applyBorder="1" applyAlignment="1">
      <alignment horizontal="left" vertical="center" shrinkToFit="1"/>
    </xf>
    <xf numFmtId="2" fontId="2" fillId="0" borderId="74" xfId="0" applyNumberFormat="1"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0" xfId="0" applyFont="1" applyBorder="1" applyAlignment="1">
      <alignment horizontal="left" vertical="center"/>
    </xf>
    <xf numFmtId="0" fontId="21" fillId="3" borderId="21" xfId="0" applyFont="1" applyFill="1" applyBorder="1" applyAlignment="1">
      <alignment horizontal="center" vertical="center"/>
    </xf>
    <xf numFmtId="1" fontId="2" fillId="0" borderId="0" xfId="0" applyNumberFormat="1" applyFont="1" applyAlignment="1">
      <alignment horizontal="center" vertical="center"/>
    </xf>
    <xf numFmtId="0" fontId="7" fillId="0" borderId="2" xfId="0" applyFont="1" applyBorder="1" applyAlignment="1">
      <alignment horizontal="center" vertical="center"/>
    </xf>
    <xf numFmtId="0" fontId="11" fillId="0" borderId="1" xfId="0" applyFont="1" applyBorder="1" applyAlignment="1">
      <alignment horizontal="right" vertical="center"/>
    </xf>
    <xf numFmtId="0" fontId="7" fillId="0" borderId="33" xfId="9" applyFont="1" applyBorder="1" applyAlignment="1">
      <alignment horizontal="center" vertical="center"/>
    </xf>
    <xf numFmtId="0" fontId="10" fillId="4" borderId="16" xfId="9" applyFont="1" applyFill="1" applyBorder="1" applyAlignment="1">
      <alignment horizontal="right" vertical="center"/>
    </xf>
    <xf numFmtId="0" fontId="7" fillId="0" borderId="24" xfId="0" applyFont="1" applyBorder="1" applyAlignment="1">
      <alignment horizontal="center" vertical="center"/>
    </xf>
    <xf numFmtId="0" fontId="7" fillId="0" borderId="112" xfId="9" applyFont="1" applyBorder="1" applyAlignment="1">
      <alignment horizontal="center" vertical="center"/>
    </xf>
    <xf numFmtId="0" fontId="78" fillId="4" borderId="111" xfId="9" applyFont="1" applyFill="1" applyBorder="1" applyAlignment="1">
      <alignment horizontal="right" vertical="center"/>
    </xf>
    <xf numFmtId="0" fontId="7" fillId="0" borderId="3" xfId="0" applyFont="1" applyBorder="1" applyAlignment="1">
      <alignment horizontal="center" vertical="center"/>
    </xf>
    <xf numFmtId="0" fontId="8" fillId="4" borderId="147" xfId="9" applyFont="1" applyFill="1" applyBorder="1" applyAlignment="1">
      <alignment horizontal="right" vertical="center"/>
    </xf>
    <xf numFmtId="0" fontId="11" fillId="2" borderId="4" xfId="0" applyFont="1" applyFill="1" applyBorder="1" applyAlignment="1">
      <alignment horizontal="right" vertical="center"/>
    </xf>
    <xf numFmtId="0" fontId="7" fillId="0" borderId="112" xfId="9" quotePrefix="1" applyFont="1" applyBorder="1" applyAlignment="1">
      <alignment horizontal="center" vertical="center"/>
    </xf>
    <xf numFmtId="1" fontId="7" fillId="0" borderId="12" xfId="9" applyNumberFormat="1" applyFont="1" applyBorder="1" applyAlignment="1">
      <alignment horizontal="center" vertical="center"/>
    </xf>
    <xf numFmtId="0" fontId="11" fillId="4" borderId="147" xfId="9" applyFont="1" applyFill="1" applyBorder="1" applyAlignment="1">
      <alignment horizontal="right" vertical="center"/>
    </xf>
    <xf numFmtId="0" fontId="7" fillId="0" borderId="7" xfId="0" applyFont="1" applyBorder="1" applyAlignment="1">
      <alignment horizontal="center" vertical="center"/>
    </xf>
    <xf numFmtId="1" fontId="7" fillId="0" borderId="6" xfId="9" applyNumberFormat="1" applyFont="1" applyBorder="1" applyAlignment="1">
      <alignment horizontal="center" vertical="center"/>
    </xf>
    <xf numFmtId="0" fontId="8" fillId="4" borderId="165" xfId="9" applyFont="1" applyFill="1" applyBorder="1" applyAlignment="1">
      <alignment horizontal="right"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6" fillId="0" borderId="9" xfId="0" applyFont="1" applyBorder="1" applyAlignment="1">
      <alignment horizontal="right" vertical="center"/>
    </xf>
    <xf numFmtId="0" fontId="7" fillId="0" borderId="9" xfId="0" applyFont="1" applyBorder="1" applyAlignment="1">
      <alignment horizontal="center" vertical="center"/>
    </xf>
    <xf numFmtId="0" fontId="7" fillId="0" borderId="9" xfId="0" applyFont="1" applyBorder="1" applyAlignment="1">
      <alignment horizontal="centerContinuous" vertical="center"/>
    </xf>
    <xf numFmtId="0" fontId="82" fillId="0" borderId="9" xfId="0" applyFont="1" applyBorder="1" applyAlignment="1">
      <alignment horizontal="centerContinuous" vertical="center"/>
    </xf>
    <xf numFmtId="0" fontId="6" fillId="0" borderId="8" xfId="0" applyFont="1" applyBorder="1" applyAlignment="1">
      <alignment horizontal="right" vertical="center"/>
    </xf>
    <xf numFmtId="49" fontId="7" fillId="0" borderId="2" xfId="0" quotePrefix="1" applyNumberFormat="1" applyFont="1" applyBorder="1" applyAlignment="1">
      <alignment horizontal="center" vertical="center"/>
    </xf>
    <xf numFmtId="0" fontId="82" fillId="0" borderId="0" xfId="0" applyFont="1" applyAlignment="1">
      <alignment horizontal="centerContinuous" vertical="center"/>
    </xf>
    <xf numFmtId="0" fontId="80" fillId="2" borderId="161" xfId="0" applyFont="1" applyFill="1" applyBorder="1" applyAlignment="1">
      <alignment horizontal="right" vertical="center"/>
    </xf>
    <xf numFmtId="0" fontId="4" fillId="2" borderId="162" xfId="0" applyFont="1" applyFill="1" applyBorder="1" applyAlignment="1">
      <alignment horizontal="centerContinuous" vertical="center"/>
    </xf>
    <xf numFmtId="0" fontId="2" fillId="2" borderId="162" xfId="0" applyFont="1" applyFill="1" applyBorder="1" applyAlignment="1">
      <alignment horizontal="left" vertical="center"/>
    </xf>
    <xf numFmtId="0" fontId="83" fillId="2" borderId="162" xfId="0" applyFont="1" applyFill="1" applyBorder="1" applyAlignment="1">
      <alignment horizontal="centerContinuous" vertical="center"/>
    </xf>
    <xf numFmtId="0" fontId="20" fillId="2" borderId="162" xfId="0" applyFont="1" applyFill="1" applyBorder="1" applyAlignment="1">
      <alignment horizontal="left" vertical="center"/>
    </xf>
    <xf numFmtId="0" fontId="84" fillId="2" borderId="163" xfId="0" applyFont="1" applyFill="1" applyBorder="1" applyAlignment="1">
      <alignment horizontal="right" vertical="center"/>
    </xf>
    <xf numFmtId="0" fontId="7" fillId="0" borderId="75" xfId="9" quotePrefix="1" applyFont="1" applyBorder="1" applyAlignment="1">
      <alignment horizontal="center" vertical="center"/>
    </xf>
    <xf numFmtId="1" fontId="6" fillId="13" borderId="69" xfId="9" applyNumberFormat="1" applyFont="1" applyFill="1" applyBorder="1" applyAlignment="1">
      <alignment horizontal="center" vertical="center"/>
    </xf>
    <xf numFmtId="9" fontId="7" fillId="0" borderId="13" xfId="2" applyFont="1" applyBorder="1" applyAlignment="1">
      <alignment horizontal="center" shrinkToFit="1"/>
    </xf>
    <xf numFmtId="0" fontId="7" fillId="0" borderId="25" xfId="5" applyFont="1" applyBorder="1" applyAlignment="1">
      <alignment horizontal="center" vertical="center" shrinkToFit="1"/>
    </xf>
    <xf numFmtId="9" fontId="7" fillId="0" borderId="57" xfId="2" applyFont="1" applyFill="1" applyBorder="1" applyAlignment="1">
      <alignment horizontal="center" vertical="center" shrinkToFit="1"/>
    </xf>
    <xf numFmtId="9" fontId="7" fillId="0" borderId="44" xfId="2" applyFont="1" applyFill="1" applyBorder="1" applyAlignment="1">
      <alignment horizontal="center" shrinkToFit="1"/>
    </xf>
    <xf numFmtId="9" fontId="7" fillId="0" borderId="15" xfId="2" applyFont="1" applyFill="1" applyBorder="1" applyAlignment="1">
      <alignment horizontal="center" vertical="center" shrinkToFit="1"/>
    </xf>
    <xf numFmtId="0" fontId="7" fillId="0" borderId="51" xfId="2" applyNumberFormat="1" applyFont="1" applyBorder="1" applyAlignment="1">
      <alignment horizontal="center" shrinkToFit="1"/>
    </xf>
    <xf numFmtId="0" fontId="7" fillId="0" borderId="15" xfId="5" applyFont="1" applyBorder="1" applyAlignment="1">
      <alignment horizontal="center" vertical="center" shrinkToFit="1"/>
    </xf>
    <xf numFmtId="0" fontId="7" fillId="0" borderId="45" xfId="2" applyNumberFormat="1" applyFont="1" applyFill="1" applyBorder="1" applyAlignment="1">
      <alignment horizontal="center" shrinkToFit="1"/>
    </xf>
    <xf numFmtId="0" fontId="2" fillId="0" borderId="166" xfId="0" applyFont="1" applyBorder="1" applyAlignment="1">
      <alignment horizontal="center" vertical="center" shrinkToFit="1"/>
    </xf>
    <xf numFmtId="0" fontId="2" fillId="0" borderId="167" xfId="0" applyFont="1" applyBorder="1" applyAlignment="1">
      <alignment horizontal="center" vertical="center" shrinkToFit="1"/>
    </xf>
    <xf numFmtId="0" fontId="2" fillId="0" borderId="168" xfId="0" applyFont="1" applyBorder="1" applyAlignment="1">
      <alignment horizontal="left" vertical="center"/>
    </xf>
    <xf numFmtId="0" fontId="2" fillId="0" borderId="170" xfId="0" applyFont="1" applyBorder="1" applyAlignment="1">
      <alignment horizontal="center" vertical="center" shrinkToFit="1"/>
    </xf>
    <xf numFmtId="1" fontId="2" fillId="0" borderId="168" xfId="0" applyNumberFormat="1" applyFont="1" applyBorder="1" applyAlignment="1">
      <alignment horizontal="center" vertical="center" shrinkToFit="1"/>
    </xf>
    <xf numFmtId="164" fontId="2" fillId="0" borderId="168" xfId="0" applyNumberFormat="1" applyFont="1" applyBorder="1" applyAlignment="1">
      <alignment horizontal="center" vertical="center" shrinkToFit="1"/>
    </xf>
    <xf numFmtId="0" fontId="2" fillId="0" borderId="171" xfId="0" applyFont="1" applyBorder="1" applyAlignment="1">
      <alignment horizontal="left" vertical="center"/>
    </xf>
    <xf numFmtId="0" fontId="2" fillId="0" borderId="169" xfId="0" applyFont="1" applyBorder="1" applyAlignment="1">
      <alignment horizontal="left" vertical="center" shrinkToFit="1"/>
    </xf>
    <xf numFmtId="1" fontId="2" fillId="0" borderId="113" xfId="0" applyNumberFormat="1" applyFont="1" applyBorder="1" applyAlignment="1">
      <alignment horizontal="center" vertical="center" shrinkToFit="1"/>
    </xf>
    <xf numFmtId="49" fontId="7" fillId="0" borderId="24" xfId="0" applyNumberFormat="1" applyFont="1" applyBorder="1" applyAlignment="1">
      <alignment horizontal="centerContinuous" vertical="center"/>
    </xf>
    <xf numFmtId="0" fontId="2" fillId="0" borderId="99" xfId="0" applyFont="1" applyBorder="1" applyAlignment="1">
      <alignment horizontal="centerContinuous" vertical="center"/>
    </xf>
    <xf numFmtId="0" fontId="26" fillId="0" borderId="15" xfId="0" applyFont="1" applyBorder="1" applyAlignment="1">
      <alignment horizontal="center" vertical="center"/>
    </xf>
    <xf numFmtId="0" fontId="2" fillId="0" borderId="153" xfId="0" applyFont="1" applyBorder="1" applyAlignment="1">
      <alignment horizontal="center"/>
    </xf>
    <xf numFmtId="0" fontId="2" fillId="0" borderId="120" xfId="0" applyFont="1" applyBorder="1" applyAlignment="1">
      <alignment horizontal="center"/>
    </xf>
    <xf numFmtId="164" fontId="5" fillId="0" borderId="168" xfId="0" applyNumberFormat="1" applyFont="1" applyBorder="1" applyAlignment="1">
      <alignment horizontal="center" vertical="center" shrinkToFit="1"/>
    </xf>
    <xf numFmtId="0" fontId="6" fillId="14" borderId="28" xfId="0" applyFont="1" applyFill="1" applyBorder="1" applyAlignment="1">
      <alignment horizontal="center" vertical="center"/>
    </xf>
    <xf numFmtId="0" fontId="2" fillId="0" borderId="172" xfId="0" applyFont="1" applyBorder="1" applyAlignment="1">
      <alignment horizontal="center" vertical="center" shrinkToFit="1"/>
    </xf>
    <xf numFmtId="0" fontId="2" fillId="0" borderId="173" xfId="0" applyFont="1" applyBorder="1" applyAlignment="1">
      <alignment horizontal="center" vertical="center"/>
    </xf>
    <xf numFmtId="0" fontId="2" fillId="0" borderId="173" xfId="0" quotePrefix="1" applyFont="1" applyBorder="1" applyAlignment="1">
      <alignment horizontal="center" vertical="center"/>
    </xf>
    <xf numFmtId="9" fontId="2" fillId="0" borderId="173" xfId="0" applyNumberFormat="1" applyFont="1" applyBorder="1" applyAlignment="1">
      <alignment horizontal="center" vertical="center"/>
    </xf>
    <xf numFmtId="49" fontId="2" fillId="0" borderId="173" xfId="0" quotePrefix="1" applyNumberFormat="1" applyFont="1" applyBorder="1" applyAlignment="1">
      <alignment horizontal="center" vertical="center"/>
    </xf>
    <xf numFmtId="164" fontId="2" fillId="0" borderId="173" xfId="0" applyNumberFormat="1" applyFont="1" applyBorder="1" applyAlignment="1">
      <alignment horizontal="center" vertical="center"/>
    </xf>
    <xf numFmtId="164" fontId="2" fillId="0" borderId="174" xfId="0" applyNumberFormat="1" applyFont="1" applyBorder="1" applyAlignment="1">
      <alignment horizontal="centerContinuous" vertical="center"/>
    </xf>
    <xf numFmtId="164" fontId="2" fillId="0" borderId="175" xfId="0" applyNumberFormat="1" applyFont="1" applyBorder="1" applyAlignment="1">
      <alignment horizontal="centerContinuous" vertical="center"/>
    </xf>
    <xf numFmtId="0" fontId="5" fillId="0" borderId="176" xfId="0" quotePrefix="1" applyFont="1" applyBorder="1" applyAlignment="1">
      <alignment horizontal="centerContinuous" vertical="center"/>
    </xf>
    <xf numFmtId="1" fontId="2" fillId="0" borderId="113" xfId="0" applyNumberFormat="1" applyFont="1" applyBorder="1" applyAlignment="1">
      <alignment horizontal="center" vertical="center"/>
    </xf>
    <xf numFmtId="0" fontId="2" fillId="15" borderId="55" xfId="0" applyFont="1" applyFill="1" applyBorder="1" applyAlignment="1">
      <alignment horizontal="center" vertical="center" shrinkToFit="1"/>
    </xf>
    <xf numFmtId="0" fontId="2" fillId="15" borderId="38" xfId="0" applyFont="1" applyFill="1" applyBorder="1" applyAlignment="1">
      <alignment horizontal="center" vertical="center" shrinkToFit="1"/>
    </xf>
    <xf numFmtId="164" fontId="2" fillId="15" borderId="38" xfId="0" applyNumberFormat="1" applyFont="1" applyFill="1" applyBorder="1" applyAlignment="1">
      <alignment horizontal="center" vertical="center" shrinkToFit="1"/>
    </xf>
    <xf numFmtId="0" fontId="2" fillId="15" borderId="38" xfId="0" applyFont="1" applyFill="1" applyBorder="1" applyAlignment="1">
      <alignment horizontal="left" vertical="center"/>
    </xf>
    <xf numFmtId="0" fontId="2" fillId="15" borderId="39" xfId="0" applyFont="1" applyFill="1" applyBorder="1" applyAlignment="1">
      <alignment horizontal="left" vertical="center" shrinkToFit="1"/>
    </xf>
    <xf numFmtId="1" fontId="2" fillId="15" borderId="74" xfId="0" applyNumberFormat="1" applyFont="1" applyFill="1" applyBorder="1" applyAlignment="1">
      <alignment horizontal="center" vertical="center" shrinkToFit="1"/>
    </xf>
    <xf numFmtId="0" fontId="2" fillId="15" borderId="147" xfId="0" applyFont="1" applyFill="1" applyBorder="1" applyAlignment="1">
      <alignment horizontal="center" vertical="center" shrinkToFit="1"/>
    </xf>
    <xf numFmtId="1" fontId="2" fillId="15" borderId="38" xfId="0" applyNumberFormat="1" applyFont="1" applyFill="1" applyBorder="1" applyAlignment="1">
      <alignment horizontal="center" vertical="center" shrinkToFit="1"/>
    </xf>
    <xf numFmtId="0" fontId="2" fillId="0" borderId="168" xfId="0" applyFont="1" applyBorder="1" applyAlignment="1">
      <alignment horizontal="center" vertical="center" shrinkToFit="1"/>
    </xf>
    <xf numFmtId="0" fontId="2" fillId="15" borderId="148" xfId="0" applyFont="1" applyFill="1" applyBorder="1" applyAlignment="1">
      <alignment horizontal="left" vertical="center"/>
    </xf>
    <xf numFmtId="0" fontId="7" fillId="0" borderId="68" xfId="0" applyFont="1" applyBorder="1" applyAlignment="1">
      <alignment horizontal="centerContinuous" vertical="center"/>
    </xf>
    <xf numFmtId="0" fontId="2" fillId="0" borderId="70" xfId="0" applyFont="1" applyBorder="1" applyAlignment="1">
      <alignment horizontal="centerContinuous" vertical="center"/>
    </xf>
    <xf numFmtId="0" fontId="2" fillId="0" borderId="155" xfId="0" applyFont="1" applyBorder="1" applyAlignment="1">
      <alignment horizontal="center" vertical="center"/>
    </xf>
    <xf numFmtId="0" fontId="2" fillId="0" borderId="104" xfId="0" quotePrefix="1" applyFont="1" applyBorder="1" applyAlignment="1">
      <alignment horizontal="center" vertical="center" wrapText="1"/>
    </xf>
    <xf numFmtId="0" fontId="2" fillId="0" borderId="104" xfId="0" applyFont="1" applyBorder="1" applyAlignment="1">
      <alignment horizontal="center" vertical="center" shrinkToFit="1"/>
    </xf>
    <xf numFmtId="164" fontId="2" fillId="0" borderId="104" xfId="0" applyNumberFormat="1" applyFont="1" applyBorder="1" applyAlignment="1">
      <alignment horizontal="center" vertical="center"/>
    </xf>
    <xf numFmtId="0" fontId="2" fillId="0" borderId="156" xfId="0" quotePrefix="1" applyFont="1" applyBorder="1" applyAlignment="1">
      <alignment horizontal="center" vertical="center"/>
    </xf>
    <xf numFmtId="49" fontId="2" fillId="0" borderId="104" xfId="2" applyNumberFormat="1" applyFont="1" applyFill="1" applyBorder="1" applyAlignment="1">
      <alignment horizontal="center" vertical="center"/>
    </xf>
    <xf numFmtId="0" fontId="2" fillId="0" borderId="178" xfId="0" applyFont="1" applyBorder="1" applyAlignment="1">
      <alignment horizontal="center" vertical="center"/>
    </xf>
    <xf numFmtId="0" fontId="2" fillId="0" borderId="179" xfId="0" applyFont="1" applyBorder="1" applyAlignment="1">
      <alignment horizontal="center" vertical="center"/>
    </xf>
    <xf numFmtId="0" fontId="2" fillId="0" borderId="179" xfId="0" quotePrefix="1" applyFont="1" applyBorder="1" applyAlignment="1">
      <alignment horizontal="center" vertical="center" wrapText="1"/>
    </xf>
    <xf numFmtId="49" fontId="2" fillId="0" borderId="179" xfId="2" applyNumberFormat="1" applyFont="1" applyFill="1" applyBorder="1" applyAlignment="1">
      <alignment horizontal="center" vertical="center"/>
    </xf>
    <xf numFmtId="0" fontId="2" fillId="0" borderId="179" xfId="0" applyFont="1" applyBorder="1" applyAlignment="1">
      <alignment horizontal="center" vertical="center" shrinkToFit="1"/>
    </xf>
    <xf numFmtId="164" fontId="2" fillId="0" borderId="179" xfId="0" applyNumberFormat="1" applyFont="1" applyBorder="1" applyAlignment="1">
      <alignment horizontal="center" vertical="center"/>
    </xf>
    <xf numFmtId="1" fontId="5" fillId="0" borderId="180" xfId="0" applyNumberFormat="1" applyFont="1" applyBorder="1" applyAlignment="1">
      <alignment horizontal="center" vertical="center"/>
    </xf>
    <xf numFmtId="1" fontId="46" fillId="11" borderId="180" xfId="0" applyNumberFormat="1" applyFont="1" applyFill="1" applyBorder="1" applyAlignment="1">
      <alignment horizontal="center" vertical="center"/>
    </xf>
    <xf numFmtId="1" fontId="2" fillId="0" borderId="180" xfId="0" applyNumberFormat="1" applyFont="1" applyBorder="1" applyAlignment="1">
      <alignment horizontal="center" vertical="center"/>
    </xf>
    <xf numFmtId="0" fontId="2" fillId="0" borderId="181" xfId="0" quotePrefix="1" applyFont="1" applyBorder="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0" fontId="5" fillId="0" borderId="44" xfId="0" quotePrefix="1" applyFont="1" applyBorder="1" applyAlignment="1">
      <alignment horizontal="center" vertical="center" wrapText="1"/>
    </xf>
    <xf numFmtId="49" fontId="2" fillId="0" borderId="44" xfId="2" applyNumberFormat="1" applyFont="1" applyFill="1" applyBorder="1" applyAlignment="1">
      <alignment horizontal="center" vertical="center"/>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xf>
    <xf numFmtId="1" fontId="5" fillId="0" borderId="45" xfId="0" applyNumberFormat="1" applyFont="1" applyBorder="1" applyAlignment="1">
      <alignment horizontal="center" vertical="center"/>
    </xf>
    <xf numFmtId="1" fontId="46" fillId="11" borderId="45" xfId="0" applyNumberFormat="1" applyFont="1" applyFill="1" applyBorder="1" applyAlignment="1">
      <alignment horizontal="center" vertical="center"/>
    </xf>
    <xf numFmtId="1" fontId="2" fillId="0" borderId="45" xfId="0" applyNumberFormat="1" applyFont="1" applyBorder="1" applyAlignment="1">
      <alignment horizontal="center" vertical="center"/>
    </xf>
    <xf numFmtId="0" fontId="2" fillId="0" borderId="33" xfId="0" quotePrefix="1" applyFont="1" applyBorder="1" applyAlignment="1">
      <alignment horizontal="center" vertical="center"/>
    </xf>
    <xf numFmtId="49" fontId="2" fillId="0" borderId="44" xfId="0" applyNumberFormat="1" applyFont="1" applyBorder="1" applyAlignment="1">
      <alignment horizontal="center" vertical="center"/>
    </xf>
    <xf numFmtId="1" fontId="46" fillId="11" borderId="44" xfId="0" applyNumberFormat="1" applyFont="1" applyFill="1" applyBorder="1" applyAlignment="1">
      <alignment horizontal="center" vertical="center"/>
    </xf>
    <xf numFmtId="0" fontId="2" fillId="0" borderId="33" xfId="0" applyFont="1" applyBorder="1" applyAlignment="1">
      <alignment horizontal="center" vertical="center"/>
    </xf>
    <xf numFmtId="1" fontId="46" fillId="11" borderId="179" xfId="0" applyNumberFormat="1" applyFont="1" applyFill="1" applyBorder="1" applyAlignment="1">
      <alignment horizontal="center" vertical="center"/>
    </xf>
    <xf numFmtId="1" fontId="46" fillId="11" borderId="104" xfId="0" applyNumberFormat="1" applyFont="1" applyFill="1" applyBorder="1" applyAlignment="1">
      <alignment horizontal="center" vertical="center"/>
    </xf>
    <xf numFmtId="1" fontId="2" fillId="0" borderId="177"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1" fontId="2" fillId="0" borderId="54" xfId="0" applyNumberFormat="1" applyFont="1" applyBorder="1" applyAlignment="1">
      <alignment horizontal="center" vertical="center"/>
    </xf>
    <xf numFmtId="0" fontId="77" fillId="0" borderId="53" xfId="0" applyFont="1" applyBorder="1" applyAlignment="1">
      <alignment horizontal="centerContinuous" vertical="center"/>
    </xf>
    <xf numFmtId="0" fontId="77" fillId="0" borderId="34" xfId="0" applyFont="1" applyBorder="1" applyAlignment="1">
      <alignment horizontal="center" shrinkToFit="1"/>
    </xf>
    <xf numFmtId="0" fontId="77" fillId="0" borderId="46" xfId="0" quotePrefix="1" applyFont="1" applyBorder="1" applyAlignment="1">
      <alignment horizontal="centerContinuous" vertical="center"/>
    </xf>
    <xf numFmtId="1" fontId="85" fillId="16" borderId="28" xfId="0" applyNumberFormat="1" applyFont="1" applyFill="1" applyBorder="1" applyAlignment="1">
      <alignment horizontal="center" vertical="center"/>
    </xf>
    <xf numFmtId="165" fontId="5" fillId="0" borderId="0" xfId="0" applyNumberFormat="1" applyFont="1" applyAlignment="1">
      <alignment vertical="center"/>
    </xf>
    <xf numFmtId="0" fontId="2" fillId="17" borderId="168" xfId="0" quotePrefix="1" applyFont="1" applyFill="1" applyBorder="1" applyAlignment="1">
      <alignment horizontal="center" vertical="center"/>
    </xf>
    <xf numFmtId="0" fontId="2" fillId="0" borderId="168" xfId="0" quotePrefix="1" applyFont="1" applyBorder="1" applyAlignment="1">
      <alignment horizontal="center" vertical="center"/>
    </xf>
    <xf numFmtId="0" fontId="2" fillId="0" borderId="168" xfId="0" applyFont="1" applyBorder="1" applyAlignment="1">
      <alignment horizontal="center" vertical="center"/>
    </xf>
    <xf numFmtId="9" fontId="2" fillId="15" borderId="182" xfId="0" applyNumberFormat="1" applyFont="1" applyFill="1" applyBorder="1" applyAlignment="1">
      <alignment horizontal="center" vertical="center"/>
    </xf>
    <xf numFmtId="164" fontId="2" fillId="0" borderId="168" xfId="0" applyNumberFormat="1" applyFont="1" applyBorder="1" applyAlignment="1">
      <alignment horizontal="center" vertical="center"/>
    </xf>
    <xf numFmtId="164" fontId="2" fillId="0" borderId="171" xfId="0" applyNumberFormat="1" applyFont="1" applyBorder="1" applyAlignment="1">
      <alignment horizontal="centerContinuous" vertical="center"/>
    </xf>
    <xf numFmtId="0" fontId="2" fillId="0" borderId="176" xfId="0" applyFont="1" applyBorder="1" applyAlignment="1">
      <alignment horizontal="centerContinuous" vertical="center"/>
    </xf>
    <xf numFmtId="0" fontId="86" fillId="2" borderId="4" xfId="0" applyFont="1" applyFill="1" applyBorder="1" applyAlignment="1">
      <alignment horizontal="right" vertical="center"/>
    </xf>
    <xf numFmtId="0" fontId="7" fillId="6" borderId="26" xfId="0" applyFont="1" applyFill="1" applyBorder="1" applyAlignment="1">
      <alignment horizontal="center" vertical="center"/>
    </xf>
    <xf numFmtId="1" fontId="7" fillId="0" borderId="28" xfId="0" applyNumberFormat="1" applyFont="1" applyBorder="1" applyAlignment="1">
      <alignment horizontal="center" vertical="center"/>
    </xf>
    <xf numFmtId="9" fontId="7" fillId="0" borderId="57"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63" fillId="0" borderId="183" xfId="5" applyFont="1" applyBorder="1" applyAlignment="1">
      <alignment horizontal="center" shrinkToFit="1"/>
    </xf>
    <xf numFmtId="0" fontId="7" fillId="0" borderId="160" xfId="5" applyFont="1" applyBorder="1" applyAlignment="1">
      <alignment horizontal="center"/>
    </xf>
    <xf numFmtId="9" fontId="7" fillId="0" borderId="160" xfId="2" applyFont="1" applyFill="1" applyBorder="1" applyAlignment="1">
      <alignment horizontal="center" shrinkToFit="1"/>
    </xf>
    <xf numFmtId="9" fontId="7" fillId="0" borderId="3" xfId="2" applyFont="1" applyFill="1" applyBorder="1" applyAlignment="1">
      <alignment horizontal="center" shrinkToFit="1"/>
    </xf>
    <xf numFmtId="0" fontId="7" fillId="0" borderId="3" xfId="2" applyNumberFormat="1" applyFont="1" applyFill="1" applyBorder="1" applyAlignment="1">
      <alignment horizontal="center" shrinkToFit="1"/>
    </xf>
    <xf numFmtId="0" fontId="7" fillId="0" borderId="3" xfId="2" applyNumberFormat="1" applyFont="1" applyFill="1" applyBorder="1" applyAlignment="1">
      <alignment horizontal="center" vertical="center" shrinkToFit="1"/>
    </xf>
    <xf numFmtId="0" fontId="7" fillId="0" borderId="184" xfId="5" applyFont="1" applyBorder="1" applyAlignment="1">
      <alignment horizontal="center" vertical="center"/>
    </xf>
    <xf numFmtId="0" fontId="7" fillId="0" borderId="26" xfId="0" applyFont="1" applyBorder="1" applyAlignment="1">
      <alignment horizontal="center" vertical="center"/>
    </xf>
    <xf numFmtId="0" fontId="6" fillId="0" borderId="185" xfId="0" applyFont="1" applyBorder="1" applyAlignment="1">
      <alignment vertical="center"/>
    </xf>
    <xf numFmtId="0" fontId="6" fillId="0" borderId="186" xfId="0" applyFont="1" applyBorder="1" applyAlignment="1">
      <alignment horizontal="center" vertical="center"/>
    </xf>
    <xf numFmtId="0" fontId="6" fillId="0" borderId="123" xfId="0" applyFont="1" applyBorder="1" applyAlignment="1">
      <alignment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wrapText="1"/>
    </xf>
    <xf numFmtId="0" fontId="5" fillId="0" borderId="168" xfId="0" applyFont="1" applyBorder="1" applyAlignment="1">
      <alignment horizontal="left" vertical="center"/>
    </xf>
    <xf numFmtId="0" fontId="5" fillId="0" borderId="169" xfId="0" applyFont="1" applyBorder="1" applyAlignment="1">
      <alignment horizontal="left" vertical="center" shrinkToFit="1"/>
    </xf>
    <xf numFmtId="49" fontId="7" fillId="0" borderId="0" xfId="0" applyNumberFormat="1" applyFont="1" applyAlignment="1">
      <alignment horizontal="center" vertical="center"/>
    </xf>
    <xf numFmtId="0" fontId="68" fillId="18" borderId="137" xfId="0" applyFont="1" applyFill="1" applyBorder="1" applyAlignment="1">
      <alignment horizontal="center"/>
    </xf>
    <xf numFmtId="0" fontId="68" fillId="18" borderId="65" xfId="0" applyFont="1" applyFill="1" applyBorder="1" applyAlignment="1">
      <alignment horizontal="center"/>
    </xf>
    <xf numFmtId="0" fontId="68" fillId="18" borderId="38" xfId="0" applyFont="1" applyFill="1" applyBorder="1" applyAlignment="1">
      <alignment horizontal="center"/>
    </xf>
    <xf numFmtId="0" fontId="68" fillId="18" borderId="39" xfId="0" applyFont="1" applyFill="1" applyBorder="1" applyAlignment="1">
      <alignment horizontal="center"/>
    </xf>
    <xf numFmtId="0" fontId="2" fillId="6" borderId="14"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5" xfId="0" quotePrefix="1" applyFont="1" applyFill="1" applyBorder="1" applyAlignment="1">
      <alignment horizontal="center" vertical="center" wrapText="1"/>
    </xf>
    <xf numFmtId="49" fontId="2" fillId="6" borderId="25" xfId="2" applyNumberFormat="1" applyFont="1" applyFill="1" applyBorder="1" applyAlignment="1">
      <alignment horizontal="center" vertical="center"/>
    </xf>
    <xf numFmtId="0" fontId="2" fillId="6" borderId="25" xfId="0" applyFont="1" applyFill="1" applyBorder="1" applyAlignment="1">
      <alignment horizontal="center" vertical="center" shrinkToFit="1"/>
    </xf>
    <xf numFmtId="164" fontId="2" fillId="6" borderId="25" xfId="0" applyNumberFormat="1" applyFont="1" applyFill="1" applyBorder="1" applyAlignment="1">
      <alignment horizontal="center" vertical="center"/>
    </xf>
    <xf numFmtId="1" fontId="2" fillId="6" borderId="26" xfId="0" applyNumberFormat="1" applyFont="1" applyFill="1" applyBorder="1" applyAlignment="1">
      <alignment horizontal="center" vertical="center"/>
    </xf>
    <xf numFmtId="1" fontId="2" fillId="6" borderId="25" xfId="0" applyNumberFormat="1" applyFont="1" applyFill="1" applyBorder="1" applyAlignment="1">
      <alignment horizontal="center" vertical="center"/>
    </xf>
    <xf numFmtId="0" fontId="2" fillId="6" borderId="27" xfId="0" quotePrefix="1" applyFont="1" applyFill="1" applyBorder="1" applyAlignment="1">
      <alignment horizontal="center" vertical="center"/>
    </xf>
    <xf numFmtId="1" fontId="2" fillId="6" borderId="187" xfId="0" applyNumberFormat="1" applyFont="1" applyFill="1" applyBorder="1" applyAlignment="1">
      <alignment horizontal="center" vertical="center"/>
    </xf>
    <xf numFmtId="0" fontId="2" fillId="6" borderId="155" xfId="0" applyFont="1" applyFill="1" applyBorder="1" applyAlignment="1">
      <alignment horizontal="center" vertical="center"/>
    </xf>
    <xf numFmtId="0" fontId="2" fillId="6" borderId="104" xfId="0" applyFont="1" applyFill="1" applyBorder="1" applyAlignment="1">
      <alignment horizontal="center" vertical="center"/>
    </xf>
    <xf numFmtId="0" fontId="2" fillId="6" borderId="104" xfId="0" quotePrefix="1" applyFont="1" applyFill="1" applyBorder="1" applyAlignment="1">
      <alignment horizontal="center" vertical="center" wrapText="1"/>
    </xf>
    <xf numFmtId="49" fontId="2" fillId="6" borderId="104" xfId="2" applyNumberFormat="1" applyFont="1" applyFill="1" applyBorder="1" applyAlignment="1">
      <alignment horizontal="center" vertical="center"/>
    </xf>
    <xf numFmtId="0" fontId="2" fillId="6" borderId="104" xfId="0" applyFont="1" applyFill="1" applyBorder="1" applyAlignment="1">
      <alignment horizontal="center" vertical="center" shrinkToFit="1"/>
    </xf>
    <xf numFmtId="164" fontId="2" fillId="6" borderId="104" xfId="0" applyNumberFormat="1" applyFont="1" applyFill="1" applyBorder="1" applyAlignment="1">
      <alignment horizontal="center" vertical="center"/>
    </xf>
    <xf numFmtId="1" fontId="2" fillId="6" borderId="105" xfId="0" applyNumberFormat="1" applyFont="1" applyFill="1" applyBorder="1" applyAlignment="1">
      <alignment horizontal="center" vertical="center"/>
    </xf>
    <xf numFmtId="1" fontId="2" fillId="6" borderId="104" xfId="0" applyNumberFormat="1" applyFont="1" applyFill="1" applyBorder="1" applyAlignment="1">
      <alignment horizontal="center" vertical="center"/>
    </xf>
    <xf numFmtId="0" fontId="2" fillId="6" borderId="156" xfId="0" quotePrefix="1" applyFont="1" applyFill="1" applyBorder="1" applyAlignment="1">
      <alignment horizontal="center" vertical="center"/>
    </xf>
    <xf numFmtId="0" fontId="4" fillId="6" borderId="14" xfId="0" applyFont="1" applyFill="1" applyBorder="1" applyAlignment="1">
      <alignment horizontal="center" vertical="center"/>
    </xf>
    <xf numFmtId="0" fontId="52" fillId="19" borderId="3" xfId="0" quotePrefix="1" applyFont="1" applyFill="1" applyBorder="1" applyAlignment="1">
      <alignment horizontal="center" vertical="center"/>
    </xf>
    <xf numFmtId="0" fontId="52" fillId="19" borderId="15" xfId="0" applyFont="1" applyFill="1" applyBorder="1" applyAlignment="1">
      <alignment horizontal="center" vertical="center"/>
    </xf>
  </cellXfs>
  <cellStyles count="12">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3" xfId="11" xr:uid="{00000000-0005-0000-0000-000005000000}"/>
    <cellStyle name="Normal 3" xfId="8" xr:uid="{00000000-0005-0000-0000-000006000000}"/>
    <cellStyle name="Normal 4" xfId="9" xr:uid="{00000000-0005-0000-0000-000007000000}"/>
    <cellStyle name="Normal 5" xfId="7" xr:uid="{00000000-0005-0000-0000-000008000000}"/>
    <cellStyle name="Percent" xfId="2" builtinId="5"/>
    <cellStyle name="Percent 2" xfId="3" xr:uid="{00000000-0005-0000-0000-00000A000000}"/>
    <cellStyle name="Percent 2 2" xfId="10" xr:uid="{00000000-0005-0000-0000-00000B000000}"/>
  </cellStyles>
  <dxfs count="10">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17D28261-7505-448C-B7CF-619D3CD95C52}"/>
  </tableStyles>
  <colors>
    <mruColors>
      <color rgb="FFCCFFCC"/>
      <color rgb="FFCCCCFF"/>
      <color rgb="FF9966FF"/>
      <color rgb="FFCC00FF"/>
      <color rgb="FF00FF00"/>
      <color rgb="FF6600CC"/>
      <color rgb="FF6600FF"/>
      <color rgb="FF0000FF"/>
      <color rgb="FF0099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60960</xdr:colOff>
      <xdr:row>17</xdr:row>
      <xdr:rowOff>1904</xdr:rowOff>
    </xdr:from>
    <xdr:to>
      <xdr:col>6</xdr:col>
      <xdr:colOff>982980</xdr:colOff>
      <xdr:row>18</xdr:row>
      <xdr:rowOff>243840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305300" y="3613784"/>
          <a:ext cx="1965960" cy="462916"/>
        </a:xfrm>
        <a:prstGeom prst="rect">
          <a:avLst/>
        </a:prstGeom>
        <a:solidFill>
          <a:srgbClr xmlns:mc="http://schemas.openxmlformats.org/markup-compatibility/2006" xmlns:a14="http://schemas.microsoft.com/office/drawing/2010/main" val="CCFFFF" mc:Ignorable="a14" a14:legacySpreadsheetColorIndex="41">
            <a:alpha val="64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r>
            <a:rPr lang="en-US" sz="1200" b="1" i="0" baseline="0">
              <a:effectLst/>
              <a:latin typeface="Times New Roman" panose="02020603050405020304" pitchFamily="18" charset="0"/>
              <a:ea typeface="+mn-ea"/>
              <a:cs typeface="Times New Roman" panose="02020603050405020304" pitchFamily="18" charset="0"/>
            </a:rPr>
            <a:t>Current Effects:</a:t>
          </a:r>
          <a:endParaRPr lang="en-US" sz="1200" b="0" i="1" baseline="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19050</xdr:colOff>
      <xdr:row>19</xdr:row>
      <xdr:rowOff>51434</xdr:rowOff>
    </xdr:from>
    <xdr:to>
      <xdr:col>6</xdr:col>
      <xdr:colOff>1017270</xdr:colOff>
      <xdr:row>43</xdr:row>
      <xdr:rowOff>190499</xdr:rowOff>
    </xdr:to>
    <xdr:sp macro="" textlink="">
      <xdr:nvSpPr>
        <xdr:cNvPr id="5" name="Text 6">
          <a:extLst>
            <a:ext uri="{FF2B5EF4-FFF2-40B4-BE49-F238E27FC236}">
              <a16:creationId xmlns:a16="http://schemas.microsoft.com/office/drawing/2014/main" id="{A1E6F62E-C980-4693-83FE-BA392389D585}"/>
            </a:ext>
          </a:extLst>
        </xdr:cNvPr>
        <xdr:cNvSpPr txBox="1">
          <a:spLocks noChangeArrowheads="1"/>
        </xdr:cNvSpPr>
      </xdr:nvSpPr>
      <xdr:spPr bwMode="auto">
        <a:xfrm>
          <a:off x="19050" y="4189094"/>
          <a:ext cx="6286500" cy="52673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Medium brown skin, green pixie cut hair, blue eyes, curvy, considered tall for a gnome.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Saradette is Tassaran, from Tasseldale, the tassel (or town) of Tasselheart, located in the Dalelands near Sembria. Gnomes are a tiny minority among the mostly human Dalelanders, but they are well respected as craftsmen. Saradette's parents were gemcutters, supplying other craftsman in Tasseldale with superior gemstones for jewelry and magical uses. Her favorite uncle was a inveterate tinkerer, and Saradette became fascinated with his avocation. Her mother, who taught her how to use weapons, pick locks, and other tradecraft, was also an investigator for the Mairshars (local constabulary). Her father taught her about metalcraft and gemcutting.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Her mother became embroiled in a case against the Zhentarim, one of the Dale's bitter enemies. Saradette knew nothing of this until one evening when she and her mother were staying in Tegal’s</a:t>
          </a:r>
          <a:r>
            <a:rPr lang="en-US" sz="1200" baseline="0">
              <a:effectLst/>
              <a:latin typeface="Times New Roman" panose="02020603050405020304" pitchFamily="18" charset="0"/>
              <a:ea typeface="+mn-ea"/>
              <a:cs typeface="Times New Roman" panose="02020603050405020304" pitchFamily="18" charset="0"/>
            </a:rPr>
            <a:t> </a:t>
          </a:r>
          <a:r>
            <a:rPr lang="en-US" sz="1200">
              <a:effectLst/>
              <a:latin typeface="Times New Roman" panose="02020603050405020304" pitchFamily="18" charset="0"/>
              <a:ea typeface="+mn-ea"/>
              <a:cs typeface="Times New Roman" panose="02020603050405020304" pitchFamily="18" charset="0"/>
            </a:rPr>
            <a:t>Mark, Tasseldale's administrative center. Her mother awakened her in the dead of night, bid her to dress, and pressed a small linen pouch into her hands. "You must flee," her mother said. "The Zhentarim and some within the Mairshars are conspiring to kill me, your father, and you. I will send for you when it is safe for you to return."</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So, Saradette fled, heading away from her home. Along the way, she bought weapons, armor, and other supplies, being careful to not display her wealth. She hasn't dared stay in one place for more than a single night since she left home.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Saradette has the optimism of the young, though it has been tempered with a deep concern for her parents. To the dismay of her family and her fellow Tassarans, Saradette believes strongly in the individual's right to choose their own path over devotion to law and order. A year ago, she became a follower of Mayaheine, as the goddess' message of helping the downtrodden and protecting the helpless appealed to her. Normally of cheerful demeanor and given to light conversation, Saradette has kept to herself in her travels, avoiding conversations and interactions with strangers.</a:t>
          </a:r>
        </a:p>
      </xdr:txBody>
    </xdr:sp>
    <xdr:clientData/>
  </xdr:twoCellAnchor>
  <xdr:twoCellAnchor editAs="oneCell">
    <xdr:from>
      <xdr:col>5</xdr:col>
      <xdr:colOff>83347</xdr:colOff>
      <xdr:row>1</xdr:row>
      <xdr:rowOff>198120</xdr:rowOff>
    </xdr:from>
    <xdr:to>
      <xdr:col>6</xdr:col>
      <xdr:colOff>1080153</xdr:colOff>
      <xdr:row>14</xdr:row>
      <xdr:rowOff>206782</xdr:rowOff>
    </xdr:to>
    <xdr:pic>
      <xdr:nvPicPr>
        <xdr:cNvPr id="3" name="Picture 2">
          <a:extLst>
            <a:ext uri="{FF2B5EF4-FFF2-40B4-BE49-F238E27FC236}">
              <a16:creationId xmlns:a16="http://schemas.microsoft.com/office/drawing/2014/main" id="{72F773AF-BDB0-4977-B897-532C2E06CDA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327687" y="571500"/>
          <a:ext cx="2147426" cy="2820442"/>
        </a:xfrm>
        <a:prstGeom prst="rect">
          <a:avLst/>
        </a:prstGeom>
        <a:ln w="38100" cmpd="dbl">
          <a:solidFill>
            <a:srgbClr val="FFC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46326E9C-FC6F-41D6-95A9-6FC90734537C}"/>
            </a:ext>
          </a:extLst>
        </xdr:cNvPr>
        <xdr:cNvSpPr>
          <a:spLocks noChangeArrowheads="1"/>
        </xdr:cNvSpPr>
      </xdr:nvSpPr>
      <xdr:spPr bwMode="auto">
        <a:xfrm>
          <a:off x="6713220" y="0"/>
          <a:ext cx="142494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251460</xdr:colOff>
      <xdr:row>9</xdr:row>
      <xdr:rowOff>22860</xdr:rowOff>
    </xdr:from>
    <xdr:to>
      <xdr:col>27</xdr:col>
      <xdr:colOff>213360</xdr:colOff>
      <xdr:row>21</xdr:row>
      <xdr:rowOff>205740</xdr:rowOff>
    </xdr:to>
    <xdr:sp macro="" textlink="">
      <xdr:nvSpPr>
        <xdr:cNvPr id="4" name="TextBox 3">
          <a:extLst>
            <a:ext uri="{FF2B5EF4-FFF2-40B4-BE49-F238E27FC236}">
              <a16:creationId xmlns:a16="http://schemas.microsoft.com/office/drawing/2014/main" id="{66386B33-E9DF-59D6-4E45-3D958B950E04}"/>
            </a:ext>
          </a:extLst>
        </xdr:cNvPr>
        <xdr:cNvSpPr txBox="1"/>
      </xdr:nvSpPr>
      <xdr:spPr>
        <a:xfrm>
          <a:off x="7856220" y="2080260"/>
          <a:ext cx="4930140" cy="2872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0-level: acid splash, caltrops, detect poison, electric jolt, flare, Horizikaul's cough, launch bolt, light, mage hand, ray of frost.</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1st-level: burning hands, detect undead, corrosive grasp, endure elements, expeditious retreat, feather fall, grease, Horizikaul's boom, jump, Kaupaer's skittish nerves, launch item, low-light vision, obscuring mist, ray of flame, shocking grasp, spider climb.</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2nd-level: battering ram, bull's strength, cat's grace, darkvision, daylight, flame dagger, fog cloud, glitterdust, levitate, Melf's acid arrow, scorching ray, see invisibility, shatter, speed swim.</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3rd-level: fireball, flame arrow, fly, gust of wind, haste, lightning bolt, shatterfloor, sleet storm, stinking cloud, water breathing.</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4th-level: ice storm, quench, rusting grasp, shout, solid fog, wall of fire, wall of ice.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868680</xdr:colOff>
      <xdr:row>15</xdr:row>
      <xdr:rowOff>198120</xdr:rowOff>
    </xdr:from>
    <xdr:to>
      <xdr:col>9</xdr:col>
      <xdr:colOff>624840</xdr:colOff>
      <xdr:row>18</xdr:row>
      <xdr:rowOff>45720</xdr:rowOff>
    </xdr:to>
    <xdr:sp macro="" textlink="">
      <xdr:nvSpPr>
        <xdr:cNvPr id="2" name="TextBox 1">
          <a:extLst>
            <a:ext uri="{FF2B5EF4-FFF2-40B4-BE49-F238E27FC236}">
              <a16:creationId xmlns:a16="http://schemas.microsoft.com/office/drawing/2014/main" id="{33DECBC9-01EB-07E9-20CD-6A59117F6ECB}"/>
            </a:ext>
          </a:extLst>
        </xdr:cNvPr>
        <xdr:cNvSpPr txBox="1"/>
      </xdr:nvSpPr>
      <xdr:spPr>
        <a:xfrm>
          <a:off x="7345680" y="3741420"/>
          <a:ext cx="4556760" cy="601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Rod of </a:t>
          </a:r>
          <a:r>
            <a:rPr lang="en-US" sz="1100" i="1">
              <a:solidFill>
                <a:schemeClr val="dk1"/>
              </a:solidFill>
              <a:effectLst/>
              <a:latin typeface="+mn-lt"/>
              <a:ea typeface="+mn-ea"/>
              <a:cs typeface="+mn-cs"/>
            </a:rPr>
            <a:t>Greater Plane Shift</a:t>
          </a:r>
          <a:r>
            <a:rPr lang="en-US" sz="1100">
              <a:solidFill>
                <a:schemeClr val="dk1"/>
              </a:solidFill>
              <a:effectLst/>
              <a:latin typeface="+mn-lt"/>
              <a:ea typeface="+mn-ea"/>
              <a:cs typeface="+mn-cs"/>
            </a:rPr>
            <a:t>.</a:t>
          </a:r>
        </a:p>
        <a:p>
          <a:r>
            <a:rPr lang="en-US" sz="1100" i="1">
              <a:solidFill>
                <a:schemeClr val="dk1"/>
              </a:solidFill>
              <a:effectLst/>
              <a:latin typeface="+mn-lt"/>
              <a:ea typeface="+mn-ea"/>
              <a:cs typeface="+mn-cs"/>
            </a:rPr>
            <a:t>7</a:t>
          </a:r>
          <a:r>
            <a:rPr lang="en-US" sz="1100" i="1" baseline="30000">
              <a:solidFill>
                <a:schemeClr val="dk1"/>
              </a:solidFill>
              <a:effectLst/>
              <a:latin typeface="+mn-lt"/>
              <a:ea typeface="+mn-ea"/>
              <a:cs typeface="+mn-cs"/>
            </a:rPr>
            <a:t>th</a:t>
          </a:r>
          <a:r>
            <a:rPr lang="en-US" sz="1100" i="1">
              <a:solidFill>
                <a:schemeClr val="dk1"/>
              </a:solidFill>
              <a:effectLst/>
              <a:latin typeface="+mn-lt"/>
              <a:ea typeface="+mn-ea"/>
              <a:cs typeface="+mn-cs"/>
            </a:rPr>
            <a:t> spell level x 13</a:t>
          </a:r>
          <a:r>
            <a:rPr lang="en-US" sz="1100" i="1" baseline="30000">
              <a:solidFill>
                <a:schemeClr val="dk1"/>
              </a:solidFill>
              <a:effectLst/>
              <a:latin typeface="+mn-lt"/>
              <a:ea typeface="+mn-ea"/>
              <a:cs typeface="+mn-cs"/>
            </a:rPr>
            <a:t>th</a:t>
          </a:r>
          <a:r>
            <a:rPr lang="en-US" sz="1100" i="1">
              <a:solidFill>
                <a:schemeClr val="dk1"/>
              </a:solidFill>
              <a:effectLst/>
              <a:latin typeface="+mn-lt"/>
              <a:ea typeface="+mn-ea"/>
              <a:cs typeface="+mn-cs"/>
            </a:rPr>
            <a:t> CL x 250 gp. for 50 charges ÷ 5 use once per day (DMG p. 285)  = 13,650 gp.</a:t>
          </a:r>
          <a:endParaRPr lang="en-US" sz="1100">
            <a:solidFill>
              <a:schemeClr val="dk1"/>
            </a:solidFill>
            <a:effectLst/>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626745</xdr:colOff>
      <xdr:row>1</xdr:row>
      <xdr:rowOff>123825</xdr:rowOff>
    </xdr:from>
    <xdr:to>
      <xdr:col>3</xdr:col>
      <xdr:colOff>47625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129540</xdr:colOff>
      <xdr:row>1</xdr:row>
      <xdr:rowOff>106679</xdr:rowOff>
    </xdr:from>
    <xdr:to>
      <xdr:col>10</xdr:col>
      <xdr:colOff>594360</xdr:colOff>
      <xdr:row>23</xdr:row>
      <xdr:rowOff>37846</xdr:rowOff>
    </xdr:to>
    <xdr:pic>
      <xdr:nvPicPr>
        <xdr:cNvPr id="2" name="Picture 1">
          <a:extLst>
            <a:ext uri="{FF2B5EF4-FFF2-40B4-BE49-F238E27FC236}">
              <a16:creationId xmlns:a16="http://schemas.microsoft.com/office/drawing/2014/main" id="{F54EED5C-2A8D-4C9F-B631-C019298C7FC2}"/>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223760" y="403859"/>
          <a:ext cx="2430780" cy="4548887"/>
        </a:xfrm>
        <a:prstGeom prst="rect">
          <a:avLst/>
        </a:prstGeom>
        <a:ln w="38100" cmpd="dbl">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144781</xdr:colOff>
      <xdr:row>46</xdr:row>
      <xdr:rowOff>90763</xdr:rowOff>
    </xdr:from>
    <xdr:to>
      <xdr:col>13</xdr:col>
      <xdr:colOff>190500</xdr:colOff>
      <xdr:row>59</xdr:row>
      <xdr:rowOff>25428</xdr:rowOff>
    </xdr:to>
    <xdr:pic>
      <xdr:nvPicPr>
        <xdr:cNvPr id="4" name="Picture 3">
          <a:extLst>
            <a:ext uri="{FF2B5EF4-FFF2-40B4-BE49-F238E27FC236}">
              <a16:creationId xmlns:a16="http://schemas.microsoft.com/office/drawing/2014/main" id="{9D132580-C3EE-4A00-848F-15DDED20EF73}"/>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239001" y="9638623"/>
          <a:ext cx="3977639" cy="2517845"/>
        </a:xfrm>
        <a:prstGeom prst="rect">
          <a:avLst/>
        </a:prstGeom>
      </xdr:spPr>
    </xdr:pic>
    <xdr:clientData/>
  </xdr:twoCellAnchor>
  <xdr:twoCellAnchor editAs="oneCell">
    <xdr:from>
      <xdr:col>7</xdr:col>
      <xdr:colOff>129540</xdr:colOff>
      <xdr:row>24</xdr:row>
      <xdr:rowOff>160020</xdr:rowOff>
    </xdr:from>
    <xdr:to>
      <xdr:col>10</xdr:col>
      <xdr:colOff>571500</xdr:colOff>
      <xdr:row>46</xdr:row>
      <xdr:rowOff>31226</xdr:rowOff>
    </xdr:to>
    <xdr:pic>
      <xdr:nvPicPr>
        <xdr:cNvPr id="5" name="Picture 4">
          <a:extLst>
            <a:ext uri="{FF2B5EF4-FFF2-40B4-BE49-F238E27FC236}">
              <a16:creationId xmlns:a16="http://schemas.microsoft.com/office/drawing/2014/main" id="{BFC75BEB-911F-4EDF-B6C8-680519DB23A4}"/>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7223760" y="5074920"/>
          <a:ext cx="2407920" cy="4504166"/>
        </a:xfrm>
        <a:prstGeom prst="rect">
          <a:avLst/>
        </a:prstGeom>
        <a:ln w="38100" cmpd="dbl">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7CA76307-05B6-494E-87C3-1BE03871D0A1}"/>
            </a:ext>
          </a:extLst>
        </xdr:cNvPr>
        <xdr:cNvSpPr txBox="1">
          <a:spLocks noChangeArrowheads="1"/>
        </xdr:cNvSpPr>
      </xdr:nvSpPr>
      <xdr:spPr bwMode="auto">
        <a:xfrm>
          <a:off x="0" y="1792605"/>
          <a:ext cx="4686300" cy="58483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Balance 10, Climb 10, Hide 11, Move Silently 8, Spot 7, Swim 12.</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+4 melee (1d3-4)</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DDFFF6C0-B0B5-4A13-88A3-9EFD109EB45B}"/>
            </a:ext>
          </a:extLst>
        </xdr:cNvPr>
        <xdr:cNvSpPr txBox="1">
          <a:spLocks noChangeArrowheads="1"/>
        </xdr:cNvSpPr>
      </xdr:nvSpPr>
      <xdr:spPr bwMode="auto">
        <a:xfrm>
          <a:off x="4962525" y="1000125"/>
          <a:ext cx="1971675" cy="137350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Qualities:  </a:t>
          </a:r>
          <a:r>
            <a:rPr lang="en-US" sz="1200" b="0" i="0" u="none" strike="noStrike" baseline="0">
              <a:solidFill>
                <a:srgbClr val="000000"/>
              </a:solidFill>
              <a:latin typeface="Times New Roman" pitchFamily="18" charset="0"/>
              <a:cs typeface="Times New Roman" pitchFamily="18" charset="0"/>
            </a:rPr>
            <a:t>Low Light Vision, Scent, Weapon Finesse.</a:t>
          </a:r>
        </a:p>
        <a:p>
          <a:pPr algn="just" rtl="0">
            <a:defRPr sz="1000"/>
          </a:pPr>
          <a:endParaRPr lang="en-US" sz="1200" b="0" i="0" u="none" strike="noStrike" baseline="0">
            <a:solidFill>
              <a:srgbClr val="000000"/>
            </a:solidFill>
            <a:latin typeface="Times New Roman" pitchFamily="18" charset="0"/>
            <a:cs typeface="Times New Roman" pitchFamily="18" charset="0"/>
          </a:endParaRPr>
        </a:p>
        <a:p>
          <a:pPr algn="just" rtl="0">
            <a:defRPr sz="1000"/>
          </a:pPr>
          <a:r>
            <a:rPr lang="en-US" sz="1200" b="1" i="0" u="none" strike="noStrike" baseline="0">
              <a:solidFill>
                <a:srgbClr val="000000"/>
              </a:solidFill>
              <a:latin typeface="Times New Roman" pitchFamily="18" charset="0"/>
              <a:cs typeface="Times New Roman" pitchFamily="18" charset="0"/>
            </a:rPr>
            <a:t>Tricks:  </a:t>
          </a:r>
          <a:r>
            <a:rPr lang="en-US" sz="1200" b="0" i="0" u="none" strike="noStrike" baseline="0">
              <a:solidFill>
                <a:srgbClr val="000000"/>
              </a:solidFill>
              <a:latin typeface="Times New Roman" pitchFamily="18" charset="0"/>
              <a:cs typeface="Times New Roman" pitchFamily="18" charset="0"/>
            </a:rPr>
            <a:t>attack, come, defend, down, fetch, heel, seek, stay.</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a:extLst>
            <a:ext uri="{FF2B5EF4-FFF2-40B4-BE49-F238E27FC236}">
              <a16:creationId xmlns:a16="http://schemas.microsoft.com/office/drawing/2014/main" id="{39DBFB64-A06C-445D-9FD8-09A6577A2016}"/>
            </a:ext>
          </a:extLst>
        </xdr:cNvPr>
        <xdr:cNvSpPr txBox="1">
          <a:spLocks noChangeArrowheads="1"/>
        </xdr:cNvSpPr>
      </xdr:nvSpPr>
      <xdr:spPr bwMode="auto">
        <a:xfrm>
          <a:off x="9525" y="1792605"/>
          <a:ext cx="4943475" cy="78295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Listen 5, Spot 5</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2 Hooves -3 melee (1d3)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Endurance</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7</xdr:col>
      <xdr:colOff>0</xdr:colOff>
      <xdr:row>12</xdr:row>
      <xdr:rowOff>209551</xdr:rowOff>
    </xdr:to>
    <xdr:sp macro="" textlink="">
      <xdr:nvSpPr>
        <xdr:cNvPr id="3" name="Text Box 2">
          <a:extLst>
            <a:ext uri="{FF2B5EF4-FFF2-40B4-BE49-F238E27FC236}">
              <a16:creationId xmlns:a16="http://schemas.microsoft.com/office/drawing/2014/main" id="{0A44CD72-0BC7-46FF-B4D8-E722863B7D82}"/>
            </a:ext>
          </a:extLst>
        </xdr:cNvPr>
        <xdr:cNvSpPr txBox="1">
          <a:spLocks noChangeArrowheads="1"/>
        </xdr:cNvSpPr>
      </xdr:nvSpPr>
      <xdr:spPr bwMode="auto">
        <a:xfrm>
          <a:off x="4962525" y="990601"/>
          <a:ext cx="1971675" cy="15811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Load:  </a:t>
          </a:r>
          <a:r>
            <a:rPr lang="en-US" sz="1200" b="0" i="0" u="none" strike="noStrike" baseline="0">
              <a:solidFill>
                <a:srgbClr val="000000"/>
              </a:solidFill>
              <a:latin typeface="Times New Roman" pitchFamily="18" charset="0"/>
              <a:cs typeface="Times New Roman" pitchFamily="18" charset="0"/>
            </a:rPr>
            <a:t>Drags up to 1,125 lbs. on wagon.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656714</xdr:colOff>
      <xdr:row>43</xdr:row>
      <xdr:rowOff>71316</xdr:rowOff>
    </xdr:to>
    <xdr:pic>
      <xdr:nvPicPr>
        <xdr:cNvPr id="2" name="Picture 1">
          <a:extLst>
            <a:ext uri="{FF2B5EF4-FFF2-40B4-BE49-F238E27FC236}">
              <a16:creationId xmlns:a16="http://schemas.microsoft.com/office/drawing/2014/main" id="{94ACD978-978B-453C-A622-B543DBA44D43}"/>
            </a:ext>
          </a:extLst>
        </xdr:cNvPr>
        <xdr:cNvPicPr>
          <a:picLocks noChangeAspect="1"/>
        </xdr:cNvPicPr>
      </xdr:nvPicPr>
      <xdr:blipFill>
        <a:blip xmlns:r="http://schemas.openxmlformats.org/officeDocument/2006/relationships" r:embed="rId1"/>
        <a:stretch>
          <a:fillRect/>
        </a:stretch>
      </xdr:blipFill>
      <xdr:spPr>
        <a:xfrm>
          <a:off x="5996940" y="0"/>
          <a:ext cx="4085714" cy="85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20%3cjoertexas@earthlink.net%3e?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mazon.com/ghillie-suit/s?k=ghillie+sui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tabSelected="1" zoomScaleNormal="100" workbookViewId="0"/>
  </sheetViews>
  <sheetFormatPr defaultColWidth="13" defaultRowHeight="15.6" x14ac:dyDescent="0.3"/>
  <cols>
    <col min="1" max="1" width="16.8984375" style="122" bestFit="1" customWidth="1"/>
    <col min="2" max="2" width="10" style="124" customWidth="1"/>
    <col min="3" max="3" width="5.5" style="124" customWidth="1"/>
    <col min="4" max="4" width="13.69921875" style="122" bestFit="1" customWidth="1"/>
    <col min="5" max="5" width="13.796875" style="124" bestFit="1" customWidth="1"/>
    <col min="6" max="6" width="15.09765625" style="122" customWidth="1"/>
    <col min="7" max="7" width="15.09765625" style="124" customWidth="1"/>
    <col min="8" max="16384" width="13" style="11"/>
  </cols>
  <sheetData>
    <row r="1" spans="1:7" ht="29.4" thickTop="1" thickBot="1" x14ac:dyDescent="0.35">
      <c r="A1" s="126" t="s">
        <v>101</v>
      </c>
      <c r="B1" s="387" t="s">
        <v>264</v>
      </c>
      <c r="C1" s="127"/>
      <c r="D1" s="128"/>
      <c r="E1" s="129"/>
      <c r="F1" s="128"/>
      <c r="G1" s="130" t="s">
        <v>100</v>
      </c>
    </row>
    <row r="2" spans="1:7" ht="17.399999999999999" thickTop="1" x14ac:dyDescent="0.3">
      <c r="A2" s="131" t="s">
        <v>133</v>
      </c>
      <c r="B2" s="132" t="s">
        <v>420</v>
      </c>
      <c r="C2" s="132"/>
      <c r="D2" s="133" t="s">
        <v>140</v>
      </c>
      <c r="E2" s="134" t="s">
        <v>102</v>
      </c>
      <c r="F2" s="135"/>
      <c r="G2" s="136"/>
    </row>
    <row r="3" spans="1:7" ht="16.8" x14ac:dyDescent="0.3">
      <c r="A3" s="131" t="s">
        <v>134</v>
      </c>
      <c r="B3" s="132" t="s">
        <v>109</v>
      </c>
      <c r="C3" s="132"/>
      <c r="D3" s="133" t="s">
        <v>77</v>
      </c>
      <c r="E3" s="134">
        <v>4</v>
      </c>
      <c r="F3" s="133"/>
      <c r="G3" s="136"/>
    </row>
    <row r="4" spans="1:7" ht="16.8" x14ac:dyDescent="0.3">
      <c r="A4" s="131" t="s">
        <v>134</v>
      </c>
      <c r="B4" s="132" t="s">
        <v>174</v>
      </c>
      <c r="C4" s="132"/>
      <c r="D4" s="133" t="s">
        <v>77</v>
      </c>
      <c r="E4" s="134">
        <v>1</v>
      </c>
      <c r="F4" s="133"/>
      <c r="G4" s="136"/>
    </row>
    <row r="5" spans="1:7" ht="16.8" x14ac:dyDescent="0.3">
      <c r="A5" s="131" t="s">
        <v>134</v>
      </c>
      <c r="B5" s="132" t="s">
        <v>395</v>
      </c>
      <c r="C5" s="132"/>
      <c r="D5" s="133" t="s">
        <v>77</v>
      </c>
      <c r="E5" s="134">
        <v>8</v>
      </c>
      <c r="F5" s="133"/>
      <c r="G5" s="136"/>
    </row>
    <row r="6" spans="1:7" ht="16.8" x14ac:dyDescent="0.3">
      <c r="A6" s="131" t="s">
        <v>134</v>
      </c>
      <c r="B6" s="132"/>
      <c r="C6" s="132"/>
      <c r="D6" s="133" t="s">
        <v>77</v>
      </c>
      <c r="E6" s="134"/>
      <c r="F6" s="133"/>
      <c r="G6" s="136"/>
    </row>
    <row r="7" spans="1:7" ht="16.8" x14ac:dyDescent="0.3">
      <c r="A7" s="131" t="s">
        <v>416</v>
      </c>
      <c r="B7" s="132" t="s">
        <v>417</v>
      </c>
      <c r="C7" s="132"/>
      <c r="D7" s="133" t="s">
        <v>418</v>
      </c>
      <c r="E7" s="684">
        <f>SUM(E3:E6)+C18</f>
        <v>13</v>
      </c>
      <c r="F7" s="133"/>
      <c r="G7" s="136"/>
    </row>
    <row r="8" spans="1:7" ht="16.8" x14ac:dyDescent="0.3">
      <c r="A8" s="131" t="s">
        <v>135</v>
      </c>
      <c r="B8" s="132" t="s">
        <v>396</v>
      </c>
      <c r="C8" s="132"/>
      <c r="D8" s="133" t="s">
        <v>136</v>
      </c>
      <c r="E8" s="134" t="s">
        <v>103</v>
      </c>
      <c r="F8" s="133"/>
      <c r="G8" s="136"/>
    </row>
    <row r="9" spans="1:7" ht="16.8" x14ac:dyDescent="0.3">
      <c r="A9" s="131" t="s">
        <v>137</v>
      </c>
      <c r="B9" s="132">
        <v>45</v>
      </c>
      <c r="C9" s="132"/>
      <c r="D9" s="133" t="s">
        <v>138</v>
      </c>
      <c r="E9" s="134" t="s">
        <v>104</v>
      </c>
      <c r="F9" s="133"/>
      <c r="G9" s="136"/>
    </row>
    <row r="10" spans="1:7" ht="17.399999999999999" thickBot="1" x14ac:dyDescent="0.35">
      <c r="A10" s="131" t="s">
        <v>141</v>
      </c>
      <c r="B10" s="132" t="s">
        <v>105</v>
      </c>
      <c r="C10" s="132"/>
      <c r="D10" s="133" t="s">
        <v>139</v>
      </c>
      <c r="E10" s="134" t="s">
        <v>106</v>
      </c>
      <c r="F10" s="133"/>
      <c r="G10" s="136"/>
    </row>
    <row r="11" spans="1:7" ht="17.399999999999999" thickTop="1" x14ac:dyDescent="0.3">
      <c r="A11" s="137" t="s">
        <v>142</v>
      </c>
      <c r="B11" s="614">
        <f>3+0+6</f>
        <v>9</v>
      </c>
      <c r="C11" s="615"/>
      <c r="D11" s="138" t="s">
        <v>67</v>
      </c>
      <c r="E11" s="139" t="s">
        <v>166</v>
      </c>
      <c r="F11" s="140"/>
      <c r="G11" s="136"/>
    </row>
    <row r="12" spans="1:7" ht="17.399999999999999" thickBot="1" x14ac:dyDescent="0.35">
      <c r="A12" s="141" t="s">
        <v>143</v>
      </c>
      <c r="B12" s="587" t="str">
        <f>C14</f>
        <v>+2</v>
      </c>
      <c r="C12" s="588"/>
      <c r="D12" s="233" t="s">
        <v>144</v>
      </c>
      <c r="E12" s="303">
        <v>78000</v>
      </c>
      <c r="F12" s="140"/>
      <c r="G12" s="136"/>
    </row>
    <row r="13" spans="1:7" ht="17.399999999999999" thickTop="1" x14ac:dyDescent="0.3">
      <c r="A13" s="142" t="s">
        <v>145</v>
      </c>
      <c r="B13" s="710">
        <f>8-2</f>
        <v>6</v>
      </c>
      <c r="C13" s="589">
        <f>IF(B13&gt;9.9,CONCATENATE("+",ROUNDDOWN((B13-10)/2,0)),ROUNDUP((B13-10)/2,0))</f>
        <v>-2</v>
      </c>
      <c r="D13" s="143" t="s">
        <v>146</v>
      </c>
      <c r="E13" s="189" t="s">
        <v>419</v>
      </c>
      <c r="F13" s="140"/>
      <c r="G13" s="136"/>
    </row>
    <row r="14" spans="1:7" ht="16.8" x14ac:dyDescent="0.3">
      <c r="A14" s="144" t="s">
        <v>147</v>
      </c>
      <c r="B14" s="709">
        <f>16-2</f>
        <v>14</v>
      </c>
      <c r="C14" s="145" t="str">
        <f t="shared" ref="C14:C18" si="0">IF(B14&gt;9.9,CONCATENATE("+",ROUNDDOWN((B14-10)/2,0)),ROUNDUP((B14-10)/2,0))</f>
        <v>+2</v>
      </c>
      <c r="D14" s="146" t="s">
        <v>148</v>
      </c>
      <c r="E14" s="147">
        <f>SUM(Martial!G7:G31)+SUM(Equipment!C3:C18)+15</f>
        <v>28.375</v>
      </c>
      <c r="F14" s="140"/>
      <c r="G14" s="136"/>
    </row>
    <row r="15" spans="1:7" ht="16.8" x14ac:dyDescent="0.3">
      <c r="A15" s="662" t="s">
        <v>149</v>
      </c>
      <c r="B15" s="149">
        <f>13</f>
        <v>13</v>
      </c>
      <c r="C15" s="150" t="str">
        <f t="shared" si="0"/>
        <v>+1</v>
      </c>
      <c r="D15" s="146" t="s">
        <v>150</v>
      </c>
      <c r="E15" s="593">
        <f>ROUNDUP(((E3*6)*0.75)+((E4*4)*0.75)+((E5*6)*0.75)+((E3+E5)*C15),0)</f>
        <v>69</v>
      </c>
      <c r="F15" s="140"/>
      <c r="G15" s="136"/>
    </row>
    <row r="16" spans="1:7" ht="16.8" x14ac:dyDescent="0.3">
      <c r="A16" s="151" t="s">
        <v>151</v>
      </c>
      <c r="B16" s="149">
        <f>16</f>
        <v>16</v>
      </c>
      <c r="C16" s="145" t="str">
        <f t="shared" si="0"/>
        <v>+3</v>
      </c>
      <c r="D16" s="152" t="s">
        <v>152</v>
      </c>
      <c r="E16" s="664">
        <f>11+C14</f>
        <v>13</v>
      </c>
      <c r="F16" s="203"/>
      <c r="G16" s="136"/>
    </row>
    <row r="17" spans="1:7" ht="16.8" x14ac:dyDescent="0.3">
      <c r="A17" s="153" t="s">
        <v>153</v>
      </c>
      <c r="B17" s="149">
        <f>12</f>
        <v>12</v>
      </c>
      <c r="C17" s="145" t="str">
        <f t="shared" si="0"/>
        <v>+1</v>
      </c>
      <c r="D17" s="152" t="s">
        <v>154</v>
      </c>
      <c r="E17" s="653">
        <f>E18-C14</f>
        <v>21</v>
      </c>
      <c r="F17" s="203"/>
      <c r="G17" s="136"/>
    </row>
    <row r="18" spans="1:7" ht="17.399999999999999" thickBot="1" x14ac:dyDescent="0.35">
      <c r="A18" s="154" t="s">
        <v>155</v>
      </c>
      <c r="B18" s="155">
        <f>11</f>
        <v>11</v>
      </c>
      <c r="C18" s="156" t="str">
        <f t="shared" si="0"/>
        <v>+0</v>
      </c>
      <c r="D18" s="157" t="s">
        <v>156</v>
      </c>
      <c r="E18" s="246">
        <f>E16+SUM(Martial!B23:B27)</f>
        <v>23</v>
      </c>
      <c r="F18" s="203"/>
      <c r="G18" s="136"/>
    </row>
    <row r="19" spans="1:7" s="5" customFormat="1" ht="24" thickTop="1" thickBot="1" x14ac:dyDescent="0.35">
      <c r="A19" s="247" t="s">
        <v>107</v>
      </c>
      <c r="B19" s="248"/>
      <c r="C19" s="248"/>
      <c r="D19" s="249"/>
      <c r="E19" s="249"/>
      <c r="F19" s="249"/>
      <c r="G19" s="250"/>
    </row>
    <row r="20" spans="1:7" s="5" customFormat="1" ht="17.399999999999999" thickTop="1" x14ac:dyDescent="0.3">
      <c r="A20" s="158"/>
      <c r="B20" s="159"/>
      <c r="C20" s="159"/>
      <c r="D20" s="159"/>
      <c r="E20" s="159"/>
      <c r="F20" s="159"/>
      <c r="G20" s="160"/>
    </row>
    <row r="21" spans="1:7" s="5" customFormat="1" ht="16.8" x14ac:dyDescent="0.3">
      <c r="A21" s="161"/>
      <c r="B21" s="251"/>
      <c r="C21" s="251"/>
      <c r="D21" s="251"/>
      <c r="E21" s="251"/>
      <c r="F21" s="251"/>
      <c r="G21" s="162"/>
    </row>
    <row r="22" spans="1:7" s="5" customFormat="1" ht="16.8" x14ac:dyDescent="0.3">
      <c r="A22" s="161"/>
      <c r="B22" s="251"/>
      <c r="C22" s="251"/>
      <c r="D22" s="251"/>
      <c r="E22" s="251"/>
      <c r="F22" s="251"/>
      <c r="G22" s="162"/>
    </row>
    <row r="23" spans="1:7" s="5" customFormat="1" ht="16.8" x14ac:dyDescent="0.3">
      <c r="A23" s="161"/>
      <c r="B23" s="251"/>
      <c r="C23" s="251"/>
      <c r="D23" s="251"/>
      <c r="E23" s="251"/>
      <c r="F23" s="251"/>
      <c r="G23" s="162"/>
    </row>
    <row r="24" spans="1:7" s="5" customFormat="1" ht="16.8" x14ac:dyDescent="0.3">
      <c r="A24" s="161"/>
      <c r="B24" s="251"/>
      <c r="C24" s="251"/>
      <c r="D24" s="251"/>
      <c r="E24" s="251"/>
      <c r="F24" s="251"/>
      <c r="G24" s="162"/>
    </row>
    <row r="25" spans="1:7" ht="16.8" x14ac:dyDescent="0.3">
      <c r="A25" s="161"/>
      <c r="B25" s="251"/>
      <c r="C25" s="251"/>
      <c r="D25" s="251"/>
      <c r="E25" s="251"/>
      <c r="F25" s="251"/>
      <c r="G25" s="162"/>
    </row>
    <row r="26" spans="1:7" ht="16.8" x14ac:dyDescent="0.3">
      <c r="A26" s="161"/>
      <c r="B26" s="251"/>
      <c r="C26" s="251"/>
      <c r="D26" s="251"/>
      <c r="E26" s="251"/>
      <c r="F26" s="251"/>
      <c r="G26" s="162"/>
    </row>
    <row r="27" spans="1:7" ht="16.8" x14ac:dyDescent="0.3">
      <c r="A27" s="161"/>
      <c r="B27" s="251"/>
      <c r="C27" s="251"/>
      <c r="D27" s="251"/>
      <c r="E27" s="251"/>
      <c r="F27" s="251"/>
      <c r="G27" s="162"/>
    </row>
    <row r="28" spans="1:7" ht="16.8" x14ac:dyDescent="0.3">
      <c r="A28" s="161"/>
      <c r="B28" s="251"/>
      <c r="C28" s="251"/>
      <c r="D28" s="251"/>
      <c r="E28" s="251"/>
      <c r="F28" s="251"/>
      <c r="G28" s="162"/>
    </row>
    <row r="29" spans="1:7" ht="16.8" x14ac:dyDescent="0.3">
      <c r="A29" s="161"/>
      <c r="B29" s="251"/>
      <c r="C29" s="251"/>
      <c r="D29" s="251"/>
      <c r="E29" s="251"/>
      <c r="F29" s="251"/>
      <c r="G29" s="162"/>
    </row>
    <row r="30" spans="1:7" ht="16.8" x14ac:dyDescent="0.3">
      <c r="A30" s="161"/>
      <c r="B30" s="251"/>
      <c r="C30" s="251"/>
      <c r="D30" s="251"/>
      <c r="E30" s="251"/>
      <c r="F30" s="251"/>
      <c r="G30" s="162"/>
    </row>
    <row r="31" spans="1:7" ht="16.8" x14ac:dyDescent="0.3">
      <c r="A31" s="161"/>
      <c r="B31" s="251"/>
      <c r="C31" s="251"/>
      <c r="D31" s="251"/>
      <c r="E31" s="251"/>
      <c r="F31" s="251"/>
      <c r="G31" s="162"/>
    </row>
    <row r="32" spans="1:7" ht="16.8" x14ac:dyDescent="0.3">
      <c r="A32" s="161"/>
      <c r="B32" s="251"/>
      <c r="C32" s="251"/>
      <c r="D32" s="251"/>
      <c r="E32" s="251"/>
      <c r="F32" s="251"/>
      <c r="G32" s="162"/>
    </row>
    <row r="33" spans="1:7" ht="16.8" x14ac:dyDescent="0.3">
      <c r="A33" s="161"/>
      <c r="B33" s="251"/>
      <c r="C33" s="251"/>
      <c r="D33" s="251"/>
      <c r="E33" s="251"/>
      <c r="F33" s="251"/>
      <c r="G33" s="162"/>
    </row>
    <row r="34" spans="1:7" ht="16.8" x14ac:dyDescent="0.3">
      <c r="A34" s="161"/>
      <c r="B34" s="251"/>
      <c r="C34" s="251"/>
      <c r="D34" s="251"/>
      <c r="E34" s="251"/>
      <c r="F34" s="251"/>
      <c r="G34" s="162"/>
    </row>
    <row r="35" spans="1:7" ht="16.8" x14ac:dyDescent="0.3">
      <c r="A35" s="161"/>
      <c r="B35" s="251"/>
      <c r="C35" s="251"/>
      <c r="D35" s="251"/>
      <c r="E35" s="251"/>
      <c r="F35" s="251"/>
      <c r="G35" s="162"/>
    </row>
    <row r="36" spans="1:7" ht="16.8" x14ac:dyDescent="0.3">
      <c r="A36" s="161"/>
      <c r="B36" s="251"/>
      <c r="C36" s="251"/>
      <c r="D36" s="251"/>
      <c r="E36" s="251"/>
      <c r="F36" s="251"/>
      <c r="G36" s="162"/>
    </row>
    <row r="37" spans="1:7" ht="16.8" x14ac:dyDescent="0.3">
      <c r="A37" s="161"/>
      <c r="B37" s="251"/>
      <c r="C37" s="251"/>
      <c r="D37" s="251"/>
      <c r="E37" s="251"/>
      <c r="F37" s="251"/>
      <c r="G37" s="162"/>
    </row>
    <row r="38" spans="1:7" ht="16.8" x14ac:dyDescent="0.3">
      <c r="A38" s="161"/>
      <c r="B38" s="251"/>
      <c r="C38" s="251"/>
      <c r="D38" s="251"/>
      <c r="E38" s="251"/>
      <c r="F38" s="251"/>
      <c r="G38" s="162"/>
    </row>
    <row r="39" spans="1:7" ht="16.8" x14ac:dyDescent="0.3">
      <c r="A39" s="161"/>
      <c r="B39" s="251"/>
      <c r="C39" s="251"/>
      <c r="D39" s="251"/>
      <c r="E39" s="251"/>
      <c r="F39" s="251"/>
      <c r="G39" s="162"/>
    </row>
    <row r="40" spans="1:7" ht="16.8" x14ac:dyDescent="0.3">
      <c r="A40" s="161"/>
      <c r="B40" s="251"/>
      <c r="C40" s="251"/>
      <c r="D40" s="251"/>
      <c r="E40" s="251"/>
      <c r="F40" s="251"/>
      <c r="G40" s="162"/>
    </row>
    <row r="41" spans="1:7" ht="16.8" x14ac:dyDescent="0.3">
      <c r="A41" s="161"/>
      <c r="B41" s="251"/>
      <c r="C41" s="251"/>
      <c r="D41" s="251"/>
      <c r="E41" s="251"/>
      <c r="F41" s="251"/>
      <c r="G41" s="162"/>
    </row>
    <row r="42" spans="1:7" ht="16.8" x14ac:dyDescent="0.3">
      <c r="A42" s="161"/>
      <c r="B42" s="251"/>
      <c r="C42" s="251"/>
      <c r="D42" s="251"/>
      <c r="E42" s="251"/>
      <c r="F42" s="251"/>
      <c r="G42" s="162"/>
    </row>
    <row r="43" spans="1:7" ht="16.8" x14ac:dyDescent="0.3">
      <c r="A43" s="161"/>
      <c r="B43" s="251"/>
      <c r="C43" s="251"/>
      <c r="D43" s="251"/>
      <c r="E43" s="251"/>
      <c r="F43" s="251"/>
      <c r="G43" s="162"/>
    </row>
    <row r="44" spans="1:7" ht="17.399999999999999" thickBot="1" x14ac:dyDescent="0.35">
      <c r="A44" s="163"/>
      <c r="B44" s="164"/>
      <c r="C44" s="164"/>
      <c r="D44" s="164"/>
      <c r="E44" s="164"/>
      <c r="F44" s="164"/>
      <c r="G44" s="165"/>
    </row>
    <row r="45" spans="1:7" ht="16.2" thickTop="1" x14ac:dyDescent="0.3">
      <c r="B45" s="252"/>
      <c r="C45" s="252"/>
      <c r="E45" s="252"/>
      <c r="G45" s="252"/>
    </row>
  </sheetData>
  <phoneticPr fontId="0" type="noConversion"/>
  <conditionalFormatting sqref="E14">
    <cfRule type="cellIs" dxfId="9" priority="1" stopIfTrue="1" operator="greaterThan">
      <formula>50</formula>
    </cfRule>
    <cfRule type="cellIs" dxfId="8" priority="2" stopIfTrue="1" operator="between">
      <formula>25</formula>
      <formula>50</formula>
    </cfRule>
  </conditionalFormatting>
  <hyperlinks>
    <hyperlink ref="G1" r:id="rId1" xr:uid="{F88A9D46-7E58-4EC8-80C0-E2FAC845C3DB}"/>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53F1-AFCF-4263-8F99-8AA77722313A}">
  <dimension ref="A1:C17"/>
  <sheetViews>
    <sheetView showGridLines="0" workbookViewId="0"/>
  </sheetViews>
  <sheetFormatPr defaultColWidth="9" defaultRowHeight="15.6" x14ac:dyDescent="0.3"/>
  <cols>
    <col min="1" max="1" width="62.796875" style="135" bestFit="1" customWidth="1"/>
    <col min="2" max="2" width="9.5" style="298" customWidth="1"/>
    <col min="3" max="3" width="6.3984375" style="135" customWidth="1"/>
    <col min="4" max="16384" width="9" style="135"/>
  </cols>
  <sheetData>
    <row r="1" spans="1:3" x14ac:dyDescent="0.3">
      <c r="A1" s="122" t="s">
        <v>157</v>
      </c>
      <c r="B1" s="123" t="str">
        <f>'Personal File'!A1</f>
        <v>Saradette</v>
      </c>
      <c r="C1" s="290" t="s">
        <v>158</v>
      </c>
    </row>
    <row r="2" spans="1:3" x14ac:dyDescent="0.3">
      <c r="A2" s="291" t="s">
        <v>342</v>
      </c>
      <c r="B2" s="39" t="s">
        <v>159</v>
      </c>
      <c r="C2" s="292">
        <v>0.2</v>
      </c>
    </row>
    <row r="3" spans="1:3" x14ac:dyDescent="0.3">
      <c r="A3" s="291" t="s">
        <v>167</v>
      </c>
      <c r="B3" s="39" t="s">
        <v>159</v>
      </c>
      <c r="C3" s="292">
        <v>0.2</v>
      </c>
    </row>
    <row r="4" spans="1:3" x14ac:dyDescent="0.3">
      <c r="A4" s="291" t="s">
        <v>168</v>
      </c>
      <c r="B4" s="39" t="s">
        <v>159</v>
      </c>
      <c r="C4" s="292">
        <v>0.2</v>
      </c>
    </row>
    <row r="5" spans="1:3" x14ac:dyDescent="0.3">
      <c r="A5" s="291" t="s">
        <v>169</v>
      </c>
      <c r="B5" s="39" t="s">
        <v>388</v>
      </c>
      <c r="C5" s="292">
        <v>0.16</v>
      </c>
    </row>
    <row r="6" spans="1:3" x14ac:dyDescent="0.3">
      <c r="A6" s="291" t="s">
        <v>170</v>
      </c>
      <c r="B6" s="39" t="s">
        <v>159</v>
      </c>
      <c r="C6" s="292">
        <v>0.2</v>
      </c>
    </row>
    <row r="7" spans="1:3" x14ac:dyDescent="0.3">
      <c r="A7" s="122" t="s">
        <v>54</v>
      </c>
      <c r="B7" s="123"/>
      <c r="C7" s="290">
        <f>SUM(C2:C6)</f>
        <v>0.96000000000000019</v>
      </c>
    </row>
    <row r="8" spans="1:3" x14ac:dyDescent="0.3">
      <c r="A8" s="122"/>
      <c r="B8" s="123"/>
      <c r="C8" s="290"/>
    </row>
    <row r="9" spans="1:3" x14ac:dyDescent="0.3">
      <c r="A9" s="122" t="s">
        <v>160</v>
      </c>
      <c r="B9" s="293">
        <v>0</v>
      </c>
      <c r="C9" s="294"/>
    </row>
    <row r="10" spans="1:3" x14ac:dyDescent="0.3">
      <c r="A10" s="122" t="s">
        <v>161</v>
      </c>
      <c r="B10" s="293"/>
      <c r="C10" s="294"/>
    </row>
    <row r="11" spans="1:3" x14ac:dyDescent="0.3">
      <c r="A11" s="122" t="s">
        <v>162</v>
      </c>
      <c r="B11" s="293">
        <f>IF(B9=0,B10*C7,(B10*C7*(1-(B9/4))))</f>
        <v>0</v>
      </c>
      <c r="C11" s="294"/>
    </row>
    <row r="12" spans="1:3" x14ac:dyDescent="0.3">
      <c r="A12" s="122" t="s">
        <v>163</v>
      </c>
      <c r="B12" s="295">
        <v>0</v>
      </c>
      <c r="C12" s="296"/>
    </row>
    <row r="13" spans="1:3" x14ac:dyDescent="0.3">
      <c r="A13" s="122" t="s">
        <v>54</v>
      </c>
      <c r="B13" s="297">
        <f>SUM(B11:B12)</f>
        <v>0</v>
      </c>
      <c r="C13" s="294"/>
    </row>
    <row r="14" spans="1:3" x14ac:dyDescent="0.3">
      <c r="A14" s="122" t="s">
        <v>164</v>
      </c>
      <c r="B14" s="293"/>
      <c r="C14" s="294"/>
    </row>
    <row r="15" spans="1:3" x14ac:dyDescent="0.3">
      <c r="A15" s="122" t="s">
        <v>165</v>
      </c>
      <c r="B15" s="297">
        <f>SUM(B13:B14)</f>
        <v>0</v>
      </c>
      <c r="C15" s="294"/>
    </row>
    <row r="17" spans="1:1" x14ac:dyDescent="0.3">
      <c r="A17" s="173"/>
    </row>
  </sheetData>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x14ac:dyDescent="0.3"/>
  <cols>
    <col min="1" max="1" width="29.59765625" style="122" bestFit="1" customWidth="1"/>
    <col min="2" max="2" width="5.8984375" style="122" bestFit="1" customWidth="1"/>
    <col min="3" max="3" width="7.59765625" style="124" hidden="1" customWidth="1"/>
    <col min="4" max="4" width="7.19921875" style="124" hidden="1" customWidth="1"/>
    <col min="5" max="5" width="9.19921875" style="124" bestFit="1" customWidth="1"/>
    <col min="6" max="6" width="7.3984375" style="124" customWidth="1"/>
    <col min="7" max="7" width="6" style="124" bestFit="1" customWidth="1"/>
    <col min="8" max="8" width="5.19921875" style="124" bestFit="1" customWidth="1"/>
    <col min="9" max="9" width="7.5" style="124" customWidth="1"/>
    <col min="10" max="10" width="26.59765625" style="122" customWidth="1"/>
    <col min="11" max="16384" width="13" style="11"/>
  </cols>
  <sheetData>
    <row r="1" spans="1:10" ht="23.4" thickBot="1" x14ac:dyDescent="0.35">
      <c r="A1" s="74" t="s">
        <v>6</v>
      </c>
      <c r="B1" s="75"/>
      <c r="C1" s="75"/>
      <c r="D1" s="75"/>
      <c r="E1" s="75"/>
      <c r="F1" s="75"/>
      <c r="G1" s="75"/>
      <c r="H1" s="75"/>
      <c r="I1" s="75"/>
      <c r="J1" s="75"/>
    </row>
    <row r="2" spans="1:10" s="5" customFormat="1" ht="34.200000000000003" thickBot="1" x14ac:dyDescent="0.35">
      <c r="A2" s="1" t="s">
        <v>80</v>
      </c>
      <c r="B2" s="2" t="s">
        <v>20</v>
      </c>
      <c r="C2" s="2" t="s">
        <v>27</v>
      </c>
      <c r="D2" s="2" t="s">
        <v>19</v>
      </c>
      <c r="E2" s="3" t="s">
        <v>52</v>
      </c>
      <c r="F2" s="3" t="s">
        <v>28</v>
      </c>
      <c r="G2" s="2" t="s">
        <v>54</v>
      </c>
      <c r="H2" s="299" t="s">
        <v>74</v>
      </c>
      <c r="I2" s="2" t="s">
        <v>65</v>
      </c>
      <c r="J2" s="4" t="s">
        <v>63</v>
      </c>
    </row>
    <row r="3" spans="1:10" s="5" customFormat="1" ht="16.8" x14ac:dyDescent="0.3">
      <c r="A3" s="185" t="s">
        <v>94</v>
      </c>
      <c r="B3" s="186">
        <f>1+0+2</f>
        <v>3</v>
      </c>
      <c r="C3" s="73" t="s">
        <v>22</v>
      </c>
      <c r="D3" s="73" t="str">
        <f>IF(C3="Str",'Personal File'!$C$13,IF(C3="Dex",'Personal File'!$C$14,IF(C3="Con",'Personal File'!$C$15,IF(C3="Int",'Personal File'!$C$16,IF(C3="Wis",'Personal File'!$C$17,IF(C3="Cha",'Personal File'!$C$18))))))</f>
        <v>+1</v>
      </c>
      <c r="E3" s="188" t="str">
        <f t="shared" ref="E3" si="0">CONCATENATE(C3," (",D3,")")</f>
        <v>Con (+1)</v>
      </c>
      <c r="F3" s="73" t="s">
        <v>53</v>
      </c>
      <c r="G3" s="268">
        <f t="shared" ref="G3:G4" si="1">B3+D3+F3</f>
        <v>4</v>
      </c>
      <c r="H3" s="286">
        <f t="shared" ref="H3:H45" ca="1" si="2">RANDBETWEEN(1,20)</f>
        <v>3</v>
      </c>
      <c r="I3" s="166">
        <f t="shared" ref="I3:I4" ca="1" si="3">SUM(G3:H3)</f>
        <v>7</v>
      </c>
      <c r="J3" s="204"/>
    </row>
    <row r="4" spans="1:10" s="5" customFormat="1" ht="16.8" x14ac:dyDescent="0.3">
      <c r="A4" s="187" t="s">
        <v>95</v>
      </c>
      <c r="B4" s="186">
        <f>4+0+6</f>
        <v>10</v>
      </c>
      <c r="C4" s="73" t="s">
        <v>25</v>
      </c>
      <c r="D4" s="73" t="str">
        <f>IF(C4="Str",'Personal File'!$C$13,IF(C4="Dex",'Personal File'!$C$14,IF(C4="Con",'Personal File'!$C$15,IF(C4="Int",'Personal File'!$C$16,IF(C4="Wis",'Personal File'!$C$17,IF(C4="Cha",'Personal File'!$C$18))))))</f>
        <v>+2</v>
      </c>
      <c r="E4" s="76" t="str">
        <f t="shared" ref="E4" si="4">CONCATENATE(C4," (",D4,")")</f>
        <v>Dex (+2)</v>
      </c>
      <c r="F4" s="93" t="s">
        <v>73</v>
      </c>
      <c r="G4" s="268">
        <f t="shared" si="1"/>
        <v>14</v>
      </c>
      <c r="H4" s="286">
        <f t="shared" ca="1" si="2"/>
        <v>8</v>
      </c>
      <c r="I4" s="166">
        <f t="shared" ca="1" si="3"/>
        <v>22</v>
      </c>
      <c r="J4" s="121" t="s">
        <v>356</v>
      </c>
    </row>
    <row r="5" spans="1:10" s="5" customFormat="1" ht="16.8" x14ac:dyDescent="0.3">
      <c r="A5" s="77" t="s">
        <v>56</v>
      </c>
      <c r="B5" s="78">
        <f>1+2+2</f>
        <v>5</v>
      </c>
      <c r="C5" s="79" t="s">
        <v>24</v>
      </c>
      <c r="D5" s="79" t="str">
        <f>IF(C5="Str",'Personal File'!$C$13,IF(C5="Dex",'Personal File'!$C$14,IF(C5="Con",'Personal File'!$C$15,IF(C5="Int",'Personal File'!$C$16,IF(C5="Wis",'Personal File'!$C$17,IF(C5="Cha",'Personal File'!$C$18))))))</f>
        <v>+1</v>
      </c>
      <c r="E5" s="269" t="str">
        <f t="shared" ref="E5:E6" si="5">CONCATENATE(C5," (",D5,")")</f>
        <v>Wis (+1)</v>
      </c>
      <c r="F5" s="79" t="s">
        <v>53</v>
      </c>
      <c r="G5" s="270">
        <f t="shared" ref="G5:G46" si="6">B5+D5+F5</f>
        <v>6</v>
      </c>
      <c r="H5" s="287">
        <f t="shared" ca="1" si="2"/>
        <v>6</v>
      </c>
      <c r="I5" s="271">
        <f t="shared" ref="I5" ca="1" si="7">SUM(G5:H5)</f>
        <v>12</v>
      </c>
      <c r="J5" s="453" t="s">
        <v>265</v>
      </c>
    </row>
    <row r="6" spans="1:10" s="87" customFormat="1" ht="16.8" x14ac:dyDescent="0.3">
      <c r="A6" s="101" t="s">
        <v>29</v>
      </c>
      <c r="B6" s="73">
        <v>0</v>
      </c>
      <c r="C6" s="102" t="s">
        <v>23</v>
      </c>
      <c r="D6" s="103" t="str">
        <f>IF(C6="Str",'Personal File'!$C$13,IF(C6="Dex",'Personal File'!$C$14,IF(C6="Con",'Personal File'!$C$15,IF(C6="Int",'Personal File'!$C$16,IF(C6="Wis",'Personal File'!$C$17,IF(C6="Cha",'Personal File'!$C$18))))))</f>
        <v>+3</v>
      </c>
      <c r="E6" s="104" t="str">
        <f t="shared" si="5"/>
        <v>Int (+3)</v>
      </c>
      <c r="F6" s="93" t="s">
        <v>53</v>
      </c>
      <c r="G6" s="93">
        <f t="shared" si="6"/>
        <v>3</v>
      </c>
      <c r="H6" s="288">
        <f t="shared" ca="1" si="2"/>
        <v>3</v>
      </c>
      <c r="I6" s="93">
        <f ca="1">SUM(G6:H6)</f>
        <v>6</v>
      </c>
      <c r="J6" s="121"/>
    </row>
    <row r="7" spans="1:10" s="88" customFormat="1" ht="16.8" x14ac:dyDescent="0.3">
      <c r="A7" s="199" t="s">
        <v>30</v>
      </c>
      <c r="B7" s="81">
        <v>4</v>
      </c>
      <c r="C7" s="200" t="s">
        <v>25</v>
      </c>
      <c r="D7" s="201" t="str">
        <f>IF(C7="Str",'Personal File'!$C$13,IF(C7="Dex",'Personal File'!$C$14,IF(C7="Con",'Personal File'!$C$15,IF(C7="Int",'Personal File'!$C$16,IF(C7="Wis",'Personal File'!$C$17,IF(C7="Cha",'Personal File'!$C$18))))))</f>
        <v>+2</v>
      </c>
      <c r="E7" s="202" t="str">
        <f t="shared" ref="E7:E46" si="8">CONCATENATE(C7," (",D7,")")</f>
        <v>Dex (+2)</v>
      </c>
      <c r="F7" s="85" t="s">
        <v>53</v>
      </c>
      <c r="G7" s="85">
        <f t="shared" si="6"/>
        <v>6</v>
      </c>
      <c r="H7" s="286">
        <f t="shared" ca="1" si="2"/>
        <v>6</v>
      </c>
      <c r="I7" s="85">
        <f t="shared" ref="I7" ca="1" si="9">SUM(G7:H7)</f>
        <v>12</v>
      </c>
      <c r="J7" s="120"/>
    </row>
    <row r="8" spans="1:10" s="95" customFormat="1" ht="16.8" x14ac:dyDescent="0.3">
      <c r="A8" s="206" t="s">
        <v>31</v>
      </c>
      <c r="B8" s="81">
        <v>2</v>
      </c>
      <c r="C8" s="207" t="s">
        <v>21</v>
      </c>
      <c r="D8" s="208" t="str">
        <f>IF(C8="Str",'Personal File'!$C$13,IF(C8="Dex",'Personal File'!$C$14,IF(C8="Con",'Personal File'!$C$15,IF(C8="Int",'Personal File'!$C$16,IF(C8="Wis",'Personal File'!$C$17,IF(C8="Cha",'Personal File'!$C$18))))))</f>
        <v>+0</v>
      </c>
      <c r="E8" s="209" t="str">
        <f t="shared" si="8"/>
        <v>Cha (+0)</v>
      </c>
      <c r="F8" s="85" t="s">
        <v>53</v>
      </c>
      <c r="G8" s="85">
        <f t="shared" si="6"/>
        <v>2</v>
      </c>
      <c r="H8" s="286">
        <f t="shared" ca="1" si="2"/>
        <v>17</v>
      </c>
      <c r="I8" s="85">
        <f t="shared" ref="I8:I46" ca="1" si="10">SUM(G8:H8)</f>
        <v>19</v>
      </c>
      <c r="J8" s="120"/>
    </row>
    <row r="9" spans="1:10" s="96" customFormat="1" ht="16.8" x14ac:dyDescent="0.3">
      <c r="A9" s="257" t="s">
        <v>32</v>
      </c>
      <c r="B9" s="81">
        <v>6</v>
      </c>
      <c r="C9" s="258" t="s">
        <v>26</v>
      </c>
      <c r="D9" s="259">
        <f>IF(C9="Str",'Personal File'!$C$13,IF(C9="Dex",'Personal File'!$C$14,IF(C9="Con",'Personal File'!$C$15,IF(C9="Int",'Personal File'!$C$16,IF(C9="Wis",'Personal File'!$C$17,IF(C9="Cha",'Personal File'!$C$18))))))</f>
        <v>-2</v>
      </c>
      <c r="E9" s="260" t="str">
        <f t="shared" si="8"/>
        <v>Str (-2)</v>
      </c>
      <c r="F9" s="85" t="s">
        <v>53</v>
      </c>
      <c r="G9" s="85">
        <f t="shared" si="6"/>
        <v>4</v>
      </c>
      <c r="H9" s="286">
        <f t="shared" ca="1" si="2"/>
        <v>12</v>
      </c>
      <c r="I9" s="85">
        <f t="shared" ca="1" si="10"/>
        <v>16</v>
      </c>
      <c r="J9" s="120"/>
    </row>
    <row r="10" spans="1:10" s="96" customFormat="1" ht="16.8" x14ac:dyDescent="0.3">
      <c r="A10" s="262" t="s">
        <v>7</v>
      </c>
      <c r="B10" s="73">
        <v>0</v>
      </c>
      <c r="C10" s="263" t="s">
        <v>22</v>
      </c>
      <c r="D10" s="264" t="str">
        <f>IF(C10="Str",'Personal File'!$C$13,IF(C10="Dex",'Personal File'!$C$14,IF(C10="Con",'Personal File'!$C$15,IF(C10="Int",'Personal File'!$C$16,IF(C10="Wis",'Personal File'!$C$17,IF(C10="Cha",'Personal File'!$C$18))))))</f>
        <v>+1</v>
      </c>
      <c r="E10" s="188" t="str">
        <f t="shared" si="8"/>
        <v>Con (+1)</v>
      </c>
      <c r="F10" s="93" t="s">
        <v>53</v>
      </c>
      <c r="G10" s="93">
        <f t="shared" si="6"/>
        <v>1</v>
      </c>
      <c r="H10" s="286">
        <f t="shared" ca="1" si="2"/>
        <v>18</v>
      </c>
      <c r="I10" s="93">
        <f t="shared" ca="1" si="10"/>
        <v>19</v>
      </c>
      <c r="J10" s="121"/>
    </row>
    <row r="11" spans="1:10" s="87" customFormat="1" ht="16.8" x14ac:dyDescent="0.3">
      <c r="A11" s="80" t="s">
        <v>267</v>
      </c>
      <c r="B11" s="81">
        <v>5</v>
      </c>
      <c r="C11" s="82" t="s">
        <v>23</v>
      </c>
      <c r="D11" s="83" t="str">
        <f>IF(C11="Str",'Personal File'!$C$13,IF(C11="Dex",'Personal File'!$C$14,IF(C11="Con",'Personal File'!$C$15,IF(C11="Int",'Personal File'!$C$16,IF(C11="Wis",'Personal File'!$C$17,IF(C11="Cha",'Personal File'!$C$18))))))</f>
        <v>+3</v>
      </c>
      <c r="E11" s="84" t="str">
        <f t="shared" si="8"/>
        <v>Int (+3)</v>
      </c>
      <c r="F11" s="85" t="s">
        <v>53</v>
      </c>
      <c r="G11" s="85">
        <f t="shared" si="6"/>
        <v>8</v>
      </c>
      <c r="H11" s="286">
        <f t="shared" ca="1" si="2"/>
        <v>15</v>
      </c>
      <c r="I11" s="261">
        <f t="shared" ca="1" si="10"/>
        <v>23</v>
      </c>
      <c r="J11" s="120"/>
    </row>
    <row r="12" spans="1:10" s="87" customFormat="1" ht="16.8" x14ac:dyDescent="0.3">
      <c r="A12" s="80" t="s">
        <v>268</v>
      </c>
      <c r="B12" s="81">
        <v>5</v>
      </c>
      <c r="C12" s="82" t="s">
        <v>23</v>
      </c>
      <c r="D12" s="83" t="str">
        <f>IF(C12="Str",'Personal File'!$C$13,IF(C12="Dex",'Personal File'!$C$14,IF(C12="Con",'Personal File'!$C$15,IF(C12="Int",'Personal File'!$C$16,IF(C12="Wis",'Personal File'!$C$17,IF(C12="Cha",'Personal File'!$C$18))))))</f>
        <v>+3</v>
      </c>
      <c r="E12" s="84" t="str">
        <f t="shared" ref="E12:E14" si="11">CONCATENATE(C12," (",D12,")")</f>
        <v>Int (+3)</v>
      </c>
      <c r="F12" s="85" t="s">
        <v>53</v>
      </c>
      <c r="G12" s="85">
        <f t="shared" ref="G12:G14" si="12">B12+D12+F12</f>
        <v>8</v>
      </c>
      <c r="H12" s="286">
        <f t="shared" ca="1" si="2"/>
        <v>7</v>
      </c>
      <c r="I12" s="261">
        <f t="shared" ref="I12:I14" ca="1" si="13">SUM(G12:H12)</f>
        <v>15</v>
      </c>
      <c r="J12" s="120"/>
    </row>
    <row r="13" spans="1:10" s="87" customFormat="1" ht="16.8" x14ac:dyDescent="0.3">
      <c r="A13" s="80" t="s">
        <v>285</v>
      </c>
      <c r="B13" s="81">
        <v>4</v>
      </c>
      <c r="C13" s="82" t="s">
        <v>23</v>
      </c>
      <c r="D13" s="83" t="str">
        <f>IF(C13="Str",'Personal File'!$C$13,IF(C13="Dex",'Personal File'!$C$14,IF(C13="Con",'Personal File'!$C$15,IF(C13="Int",'Personal File'!$C$16,IF(C13="Wis",'Personal File'!$C$17,IF(C13="Cha",'Personal File'!$C$18))))))</f>
        <v>+3</v>
      </c>
      <c r="E13" s="84" t="str">
        <f t="shared" ref="E13" si="14">CONCATENATE(C13," (",D13,")")</f>
        <v>Int (+3)</v>
      </c>
      <c r="F13" s="85" t="s">
        <v>53</v>
      </c>
      <c r="G13" s="85">
        <f t="shared" ref="G13" si="15">B13+D13+F13</f>
        <v>7</v>
      </c>
      <c r="H13" s="286">
        <f t="shared" ca="1" si="2"/>
        <v>1</v>
      </c>
      <c r="I13" s="261">
        <f t="shared" ref="I13" ca="1" si="16">SUM(G13:H13)</f>
        <v>8</v>
      </c>
      <c r="J13" s="120"/>
    </row>
    <row r="14" spans="1:10" s="87" customFormat="1" ht="16.8" x14ac:dyDescent="0.3">
      <c r="A14" s="80" t="s">
        <v>124</v>
      </c>
      <c r="B14" s="81">
        <v>14</v>
      </c>
      <c r="C14" s="82" t="s">
        <v>23</v>
      </c>
      <c r="D14" s="83" t="str">
        <f>IF(C14="Str",'Personal File'!$C$13,IF(C14="Dex",'Personal File'!$C$14,IF(C14="Con",'Personal File'!$C$15,IF(C14="Int",'Personal File'!$C$16,IF(C14="Wis",'Personal File'!$C$17,IF(C14="Cha",'Personal File'!$C$18))))))</f>
        <v>+3</v>
      </c>
      <c r="E14" s="84" t="str">
        <f t="shared" si="11"/>
        <v>Int (+3)</v>
      </c>
      <c r="F14" s="85" t="s">
        <v>73</v>
      </c>
      <c r="G14" s="85">
        <f t="shared" si="12"/>
        <v>19</v>
      </c>
      <c r="H14" s="286">
        <f t="shared" ca="1" si="2"/>
        <v>3</v>
      </c>
      <c r="I14" s="261">
        <f t="shared" ca="1" si="13"/>
        <v>22</v>
      </c>
      <c r="J14" s="120"/>
    </row>
    <row r="15" spans="1:10" s="97" customFormat="1" ht="16.8" x14ac:dyDescent="0.3">
      <c r="A15" s="116" t="s">
        <v>33</v>
      </c>
      <c r="B15" s="105">
        <v>0</v>
      </c>
      <c r="C15" s="117" t="s">
        <v>23</v>
      </c>
      <c r="D15" s="118" t="str">
        <f>IF(C15="Str",'Personal File'!$C$13,IF(C15="Dex",'Personal File'!$C$14,IF(C15="Con",'Personal File'!$C$15,IF(C15="Int",'Personal File'!$C$16,IF(C15="Wis",'Personal File'!$C$17,IF(C15="Cha",'Personal File'!$C$18))))))</f>
        <v>+3</v>
      </c>
      <c r="E15" s="119" t="str">
        <f t="shared" si="8"/>
        <v>Int (+3)</v>
      </c>
      <c r="F15" s="106" t="s">
        <v>53</v>
      </c>
      <c r="G15" s="106">
        <f t="shared" si="6"/>
        <v>3</v>
      </c>
      <c r="H15" s="286">
        <f t="shared" ca="1" si="2"/>
        <v>17</v>
      </c>
      <c r="I15" s="106">
        <f t="shared" ca="1" si="10"/>
        <v>20</v>
      </c>
      <c r="J15" s="205"/>
    </row>
    <row r="16" spans="1:10" s="88" customFormat="1" ht="16.8" x14ac:dyDescent="0.3">
      <c r="A16" s="206" t="s">
        <v>34</v>
      </c>
      <c r="B16" s="81">
        <v>2</v>
      </c>
      <c r="C16" s="207" t="s">
        <v>21</v>
      </c>
      <c r="D16" s="208" t="str">
        <f>IF(C16="Str",'Personal File'!$C$13,IF(C16="Dex",'Personal File'!$C$14,IF(C16="Con",'Personal File'!$C$15,IF(C16="Int",'Personal File'!$C$16,IF(C16="Wis",'Personal File'!$C$17,IF(C16="Cha",'Personal File'!$C$18))))))</f>
        <v>+0</v>
      </c>
      <c r="E16" s="209" t="str">
        <f t="shared" si="8"/>
        <v>Cha (+0)</v>
      </c>
      <c r="F16" s="85" t="s">
        <v>53</v>
      </c>
      <c r="G16" s="85">
        <f t="shared" si="6"/>
        <v>2</v>
      </c>
      <c r="H16" s="286">
        <f t="shared" ca="1" si="2"/>
        <v>11</v>
      </c>
      <c r="I16" s="85">
        <f t="shared" ca="1" si="10"/>
        <v>13</v>
      </c>
      <c r="J16" s="120"/>
    </row>
    <row r="17" spans="1:10" s="88" customFormat="1" ht="16.8" x14ac:dyDescent="0.3">
      <c r="A17" s="80" t="s">
        <v>35</v>
      </c>
      <c r="B17" s="81">
        <v>5</v>
      </c>
      <c r="C17" s="82" t="s">
        <v>23</v>
      </c>
      <c r="D17" s="83" t="str">
        <f>IF(C17="Str",'Personal File'!$C$13,IF(C17="Dex",'Personal File'!$C$14,IF(C17="Con",'Personal File'!$C$15,IF(C17="Int",'Personal File'!$C$16,IF(C17="Wis",'Personal File'!$C$17,IF(C17="Cha",'Personal File'!$C$18))))))</f>
        <v>+3</v>
      </c>
      <c r="E17" s="84" t="str">
        <f t="shared" si="8"/>
        <v>Int (+3)</v>
      </c>
      <c r="F17" s="85" t="s">
        <v>73</v>
      </c>
      <c r="G17" s="85">
        <f t="shared" si="6"/>
        <v>10</v>
      </c>
      <c r="H17" s="286">
        <f t="shared" ca="1" si="2"/>
        <v>16</v>
      </c>
      <c r="I17" s="85">
        <f t="shared" ca="1" si="10"/>
        <v>26</v>
      </c>
      <c r="J17" s="120"/>
    </row>
    <row r="18" spans="1:10" s="88" customFormat="1" ht="16.8" x14ac:dyDescent="0.3">
      <c r="A18" s="206" t="s">
        <v>36</v>
      </c>
      <c r="B18" s="81">
        <v>4</v>
      </c>
      <c r="C18" s="207" t="s">
        <v>21</v>
      </c>
      <c r="D18" s="208" t="str">
        <f>IF(C18="Str",'Personal File'!$C$13,IF(C18="Dex",'Personal File'!$C$14,IF(C18="Con",'Personal File'!$C$15,IF(C18="Int",'Personal File'!$C$16,IF(C18="Wis",'Personal File'!$C$17,IF(C18="Cha",'Personal File'!$C$18))))))</f>
        <v>+0</v>
      </c>
      <c r="E18" s="209" t="str">
        <f t="shared" si="8"/>
        <v>Cha (+0)</v>
      </c>
      <c r="F18" s="85" t="s">
        <v>53</v>
      </c>
      <c r="G18" s="85">
        <f t="shared" si="6"/>
        <v>4</v>
      </c>
      <c r="H18" s="286">
        <f t="shared" ca="1" si="2"/>
        <v>7</v>
      </c>
      <c r="I18" s="85">
        <f t="shared" ca="1" si="10"/>
        <v>11</v>
      </c>
      <c r="J18" s="120"/>
    </row>
    <row r="19" spans="1:10" s="88" customFormat="1" ht="16.8" x14ac:dyDescent="0.3">
      <c r="A19" s="199" t="s">
        <v>37</v>
      </c>
      <c r="B19" s="81">
        <v>1</v>
      </c>
      <c r="C19" s="200" t="s">
        <v>25</v>
      </c>
      <c r="D19" s="201" t="str">
        <f>IF(C19="Str",'Personal File'!$C$13,IF(C19="Dex",'Personal File'!$C$14,IF(C19="Con",'Personal File'!$C$15,IF(C19="Int",'Personal File'!$C$16,IF(C19="Wis",'Personal File'!$C$17,IF(C19="Cha",'Personal File'!$C$18))))))</f>
        <v>+2</v>
      </c>
      <c r="E19" s="202" t="str">
        <f t="shared" si="8"/>
        <v>Dex (+2)</v>
      </c>
      <c r="F19" s="85" t="s">
        <v>53</v>
      </c>
      <c r="G19" s="85">
        <f t="shared" si="6"/>
        <v>3</v>
      </c>
      <c r="H19" s="286">
        <f t="shared" ca="1" si="2"/>
        <v>1</v>
      </c>
      <c r="I19" s="85">
        <f t="shared" ca="1" si="10"/>
        <v>4</v>
      </c>
      <c r="J19" s="120"/>
    </row>
    <row r="20" spans="1:10" s="88" customFormat="1" ht="16.8" x14ac:dyDescent="0.3">
      <c r="A20" s="101" t="s">
        <v>38</v>
      </c>
      <c r="B20" s="73">
        <v>0</v>
      </c>
      <c r="C20" s="102" t="s">
        <v>23</v>
      </c>
      <c r="D20" s="103" t="str">
        <f>IF(C20="Str",'Personal File'!$C$13,IF(C20="Dex",'Personal File'!$C$14,IF(C20="Con",'Personal File'!$C$15,IF(C20="Int",'Personal File'!$C$16,IF(C20="Wis",'Personal File'!$C$17,IF(C20="Cha",'Personal File'!$C$18))))))</f>
        <v>+3</v>
      </c>
      <c r="E20" s="104" t="str">
        <f t="shared" si="8"/>
        <v>Int (+3)</v>
      </c>
      <c r="F20" s="93" t="s">
        <v>53</v>
      </c>
      <c r="G20" s="93">
        <f t="shared" si="6"/>
        <v>3</v>
      </c>
      <c r="H20" s="286">
        <f t="shared" ca="1" si="2"/>
        <v>15</v>
      </c>
      <c r="I20" s="93">
        <f t="shared" ca="1" si="10"/>
        <v>18</v>
      </c>
      <c r="J20" s="121"/>
    </row>
    <row r="21" spans="1:10" s="88" customFormat="1" ht="16.8" x14ac:dyDescent="0.3">
      <c r="A21" s="206" t="s">
        <v>39</v>
      </c>
      <c r="B21" s="81">
        <v>1</v>
      </c>
      <c r="C21" s="207" t="s">
        <v>21</v>
      </c>
      <c r="D21" s="208" t="str">
        <f>IF(C21="Str",'Personal File'!$C$13,IF(C21="Dex",'Personal File'!$C$14,IF(C21="Con",'Personal File'!$C$15,IF(C21="Int",'Personal File'!$C$16,IF(C21="Wis",'Personal File'!$C$17,IF(C21="Cha",'Personal File'!$C$18))))))</f>
        <v>+0</v>
      </c>
      <c r="E21" s="209" t="str">
        <f t="shared" si="8"/>
        <v>Cha (+0)</v>
      </c>
      <c r="F21" s="85" t="s">
        <v>53</v>
      </c>
      <c r="G21" s="85">
        <f t="shared" si="6"/>
        <v>1</v>
      </c>
      <c r="H21" s="286">
        <f t="shared" ca="1" si="2"/>
        <v>16</v>
      </c>
      <c r="I21" s="85">
        <f t="shared" ca="1" si="10"/>
        <v>17</v>
      </c>
      <c r="J21" s="120"/>
    </row>
    <row r="22" spans="1:10" s="88" customFormat="1" ht="16.8" x14ac:dyDescent="0.3">
      <c r="A22" s="89" t="s">
        <v>9</v>
      </c>
      <c r="B22" s="73">
        <v>0</v>
      </c>
      <c r="C22" s="90" t="s">
        <v>21</v>
      </c>
      <c r="D22" s="91" t="str">
        <f>IF(C22="Str",'Personal File'!$C$13,IF(C22="Dex",'Personal File'!$C$14,IF(C22="Con",'Personal File'!$C$15,IF(C22="Int",'Personal File'!$C$16,IF(C22="Wis",'Personal File'!$C$17,IF(C22="Cha",'Personal File'!$C$18))))))</f>
        <v>+0</v>
      </c>
      <c r="E22" s="92" t="str">
        <f t="shared" si="8"/>
        <v>Cha (+0)</v>
      </c>
      <c r="F22" s="93" t="s">
        <v>73</v>
      </c>
      <c r="G22" s="93">
        <f t="shared" si="6"/>
        <v>2</v>
      </c>
      <c r="H22" s="286">
        <f t="shared" ca="1" si="2"/>
        <v>16</v>
      </c>
      <c r="I22" s="93">
        <f t="shared" ca="1" si="10"/>
        <v>18</v>
      </c>
      <c r="J22" s="121"/>
    </row>
    <row r="23" spans="1:10" s="88" customFormat="1" ht="16.8" x14ac:dyDescent="0.3">
      <c r="A23" s="108" t="s">
        <v>40</v>
      </c>
      <c r="B23" s="73">
        <v>0</v>
      </c>
      <c r="C23" s="109" t="s">
        <v>24</v>
      </c>
      <c r="D23" s="110" t="str">
        <f>IF(C23="Str",'Personal File'!$C$13,IF(C23="Dex",'Personal File'!$C$14,IF(C23="Con",'Personal File'!$C$15,IF(C23="Int",'Personal File'!$C$16,IF(C23="Wis",'Personal File'!$C$17,IF(C23="Cha",'Personal File'!$C$18))))))</f>
        <v>+1</v>
      </c>
      <c r="E23" s="111" t="str">
        <f t="shared" si="8"/>
        <v>Wis (+1)</v>
      </c>
      <c r="F23" s="93" t="s">
        <v>53</v>
      </c>
      <c r="G23" s="93">
        <f t="shared" si="6"/>
        <v>1</v>
      </c>
      <c r="H23" s="286">
        <f t="shared" ca="1" si="2"/>
        <v>11</v>
      </c>
      <c r="I23" s="93">
        <f t="shared" ca="1" si="10"/>
        <v>12</v>
      </c>
      <c r="J23" s="121"/>
    </row>
    <row r="24" spans="1:10" s="88" customFormat="1" ht="16.8" x14ac:dyDescent="0.3">
      <c r="A24" s="199" t="s">
        <v>41</v>
      </c>
      <c r="B24" s="81">
        <v>6</v>
      </c>
      <c r="C24" s="200" t="s">
        <v>25</v>
      </c>
      <c r="D24" s="201" t="str">
        <f>IF(C24="Str",'Personal File'!$C$13,IF(C24="Dex",'Personal File'!$C$14,IF(C24="Con",'Personal File'!$C$15,IF(C24="Int",'Personal File'!$C$16,IF(C24="Wis",'Personal File'!$C$17,IF(C24="Cha",'Personal File'!$C$18))))))</f>
        <v>+2</v>
      </c>
      <c r="E24" s="202" t="str">
        <f t="shared" si="8"/>
        <v>Dex (+2)</v>
      </c>
      <c r="F24" s="85" t="s">
        <v>89</v>
      </c>
      <c r="G24" s="85">
        <f t="shared" si="6"/>
        <v>12</v>
      </c>
      <c r="H24" s="286">
        <f t="shared" ca="1" si="2"/>
        <v>1</v>
      </c>
      <c r="I24" s="85">
        <f t="shared" ca="1" si="10"/>
        <v>13</v>
      </c>
      <c r="J24" s="120"/>
    </row>
    <row r="25" spans="1:10" s="88" customFormat="1" ht="16.8" x14ac:dyDescent="0.3">
      <c r="A25" s="89" t="s">
        <v>42</v>
      </c>
      <c r="B25" s="73">
        <v>0</v>
      </c>
      <c r="C25" s="90" t="s">
        <v>21</v>
      </c>
      <c r="D25" s="91" t="str">
        <f>IF(C25="Str",'Personal File'!$C$13,IF(C25="Dex",'Personal File'!$C$14,IF(C25="Con",'Personal File'!$C$15,IF(C25="Int",'Personal File'!$C$16,IF(C25="Wis",'Personal File'!$C$17,IF(C25="Cha",'Personal File'!$C$18))))))</f>
        <v>+0</v>
      </c>
      <c r="E25" s="92" t="str">
        <f t="shared" si="8"/>
        <v>Cha (+0)</v>
      </c>
      <c r="F25" s="93" t="s">
        <v>53</v>
      </c>
      <c r="G25" s="93">
        <f t="shared" si="6"/>
        <v>0</v>
      </c>
      <c r="H25" s="286">
        <f t="shared" ca="1" si="2"/>
        <v>3</v>
      </c>
      <c r="I25" s="93">
        <f t="shared" ca="1" si="10"/>
        <v>3</v>
      </c>
      <c r="J25" s="121"/>
    </row>
    <row r="26" spans="1:10" s="88" customFormat="1" ht="16.8" x14ac:dyDescent="0.3">
      <c r="A26" s="257" t="s">
        <v>43</v>
      </c>
      <c r="B26" s="81">
        <v>1</v>
      </c>
      <c r="C26" s="258" t="s">
        <v>26</v>
      </c>
      <c r="D26" s="259">
        <f>IF(C26="Str",'Personal File'!$C$13,IF(C26="Dex",'Personal File'!$C$14,IF(C26="Con",'Personal File'!$C$15,IF(C26="Int",'Personal File'!$C$16,IF(C26="Wis",'Personal File'!$C$17,IF(C26="Cha",'Personal File'!$C$18))))))</f>
        <v>-2</v>
      </c>
      <c r="E26" s="260" t="str">
        <f t="shared" si="8"/>
        <v>Str (-2)</v>
      </c>
      <c r="F26" s="85" t="s">
        <v>53</v>
      </c>
      <c r="G26" s="85">
        <f t="shared" si="6"/>
        <v>-1</v>
      </c>
      <c r="H26" s="286">
        <f t="shared" ca="1" si="2"/>
        <v>1</v>
      </c>
      <c r="I26" s="85">
        <f t="shared" ca="1" si="10"/>
        <v>0</v>
      </c>
      <c r="J26" s="120"/>
    </row>
    <row r="27" spans="1:10" s="88" customFormat="1" ht="16.8" x14ac:dyDescent="0.3">
      <c r="A27" s="80" t="s">
        <v>176</v>
      </c>
      <c r="B27" s="81">
        <v>7</v>
      </c>
      <c r="C27" s="82" t="s">
        <v>23</v>
      </c>
      <c r="D27" s="83" t="str">
        <f>IF(C27="Str",'Personal File'!$C$13,IF(C27="Dex",'Personal File'!$C$14,IF(C27="Con",'Personal File'!$C$15,IF(C27="Int",'Personal File'!$C$16,IF(C27="Wis",'Personal File'!$C$17,IF(C27="Cha",'Personal File'!$C$18))))))</f>
        <v>+3</v>
      </c>
      <c r="E27" s="84" t="str">
        <f t="shared" ref="E27:E28" si="17">CONCATENATE(C27," (",D27,")")</f>
        <v>Int (+3)</v>
      </c>
      <c r="F27" s="85" t="s">
        <v>53</v>
      </c>
      <c r="G27" s="85">
        <f t="shared" ref="G27:G28" si="18">B27+D27+F27</f>
        <v>10</v>
      </c>
      <c r="H27" s="286">
        <f t="shared" ca="1" si="2"/>
        <v>1</v>
      </c>
      <c r="I27" s="85">
        <f t="shared" ref="I27:I28" ca="1" si="19">SUM(G27:H27)</f>
        <v>11</v>
      </c>
      <c r="J27" s="120"/>
    </row>
    <row r="28" spans="1:10" s="88" customFormat="1" ht="16.8" x14ac:dyDescent="0.3">
      <c r="A28" s="80" t="s">
        <v>370</v>
      </c>
      <c r="B28" s="81">
        <v>2</v>
      </c>
      <c r="C28" s="82" t="s">
        <v>23</v>
      </c>
      <c r="D28" s="83" t="str">
        <f>IF(C28="Str",'Personal File'!$C$13,IF(C28="Dex",'Personal File'!$C$14,IF(C28="Con",'Personal File'!$C$15,IF(C28="Int",'Personal File'!$C$16,IF(C28="Wis",'Personal File'!$C$17,IF(C28="Cha",'Personal File'!$C$18))))))</f>
        <v>+3</v>
      </c>
      <c r="E28" s="84" t="str">
        <f t="shared" si="17"/>
        <v>Int (+3)</v>
      </c>
      <c r="F28" s="85" t="s">
        <v>73</v>
      </c>
      <c r="G28" s="85">
        <f t="shared" si="18"/>
        <v>7</v>
      </c>
      <c r="H28" s="286">
        <f t="shared" ca="1" si="2"/>
        <v>4</v>
      </c>
      <c r="I28" s="85">
        <f t="shared" ca="1" si="19"/>
        <v>11</v>
      </c>
      <c r="J28" s="120"/>
    </row>
    <row r="29" spans="1:10" s="88" customFormat="1" ht="16.8" x14ac:dyDescent="0.3">
      <c r="A29" s="80" t="s">
        <v>286</v>
      </c>
      <c r="B29" s="81">
        <v>9</v>
      </c>
      <c r="C29" s="82" t="s">
        <v>23</v>
      </c>
      <c r="D29" s="83" t="str">
        <f>IF(C29="Str",'Personal File'!$C$13,IF(C29="Dex",'Personal File'!$C$14,IF(C29="Con",'Personal File'!$C$15,IF(C29="Int",'Personal File'!$C$16,IF(C29="Wis",'Personal File'!$C$17,IF(C29="Cha",'Personal File'!$C$18))))))</f>
        <v>+3</v>
      </c>
      <c r="E29" s="84" t="str">
        <f t="shared" ref="E29" si="20">CONCATENATE(C29," (",D29,")")</f>
        <v>Int (+3)</v>
      </c>
      <c r="F29" s="85" t="s">
        <v>53</v>
      </c>
      <c r="G29" s="85">
        <f t="shared" ref="G29" si="21">B29+D29+F29</f>
        <v>12</v>
      </c>
      <c r="H29" s="286">
        <f t="shared" ca="1" si="2"/>
        <v>10</v>
      </c>
      <c r="I29" s="85">
        <f t="shared" ref="I29" ca="1" si="22">SUM(G29:H29)</f>
        <v>22</v>
      </c>
      <c r="J29" s="120"/>
    </row>
    <row r="30" spans="1:10" s="88" customFormat="1" ht="16.8" x14ac:dyDescent="0.3">
      <c r="A30" s="108" t="s">
        <v>44</v>
      </c>
      <c r="B30" s="73">
        <v>0</v>
      </c>
      <c r="C30" s="109" t="s">
        <v>24</v>
      </c>
      <c r="D30" s="110" t="str">
        <f>IF(C30="Str",'Personal File'!$C$13,IF(C30="Dex",'Personal File'!$C$14,IF(C30="Con",'Personal File'!$C$15,IF(C30="Int",'Personal File'!$C$16,IF(C30="Wis",'Personal File'!$C$17,IF(C30="Cha",'Personal File'!$C$18))))))</f>
        <v>+1</v>
      </c>
      <c r="E30" s="111" t="str">
        <f t="shared" si="8"/>
        <v>Wis (+1)</v>
      </c>
      <c r="F30" s="675">
        <f>2</f>
        <v>2</v>
      </c>
      <c r="G30" s="93">
        <f t="shared" si="6"/>
        <v>3</v>
      </c>
      <c r="H30" s="286">
        <f t="shared" ca="1" si="2"/>
        <v>1</v>
      </c>
      <c r="I30" s="93">
        <f t="shared" ca="1" si="10"/>
        <v>4</v>
      </c>
      <c r="J30" s="121"/>
    </row>
    <row r="31" spans="1:10" s="88" customFormat="1" ht="16.8" x14ac:dyDescent="0.3">
      <c r="A31" s="199" t="s">
        <v>10</v>
      </c>
      <c r="B31" s="81">
        <v>6</v>
      </c>
      <c r="C31" s="200" t="s">
        <v>25</v>
      </c>
      <c r="D31" s="201" t="str">
        <f>IF(C31="Str",'Personal File'!$C$13,IF(C31="Dex",'Personal File'!$C$14,IF(C31="Con",'Personal File'!$C$15,IF(C31="Int",'Personal File'!$C$16,IF(C31="Wis",'Personal File'!$C$17,IF(C31="Cha",'Personal File'!$C$18))))))</f>
        <v>+2</v>
      </c>
      <c r="E31" s="202" t="str">
        <f t="shared" si="8"/>
        <v>Dex (+2)</v>
      </c>
      <c r="F31" s="85" t="s">
        <v>89</v>
      </c>
      <c r="G31" s="85">
        <f t="shared" si="6"/>
        <v>12</v>
      </c>
      <c r="H31" s="286">
        <f t="shared" ca="1" si="2"/>
        <v>5</v>
      </c>
      <c r="I31" s="85">
        <f t="shared" ca="1" si="10"/>
        <v>17</v>
      </c>
      <c r="J31" s="120"/>
    </row>
    <row r="32" spans="1:10" s="88" customFormat="1" ht="16.8" x14ac:dyDescent="0.3">
      <c r="A32" s="199" t="s">
        <v>45</v>
      </c>
      <c r="B32" s="81">
        <v>6</v>
      </c>
      <c r="C32" s="200" t="s">
        <v>25</v>
      </c>
      <c r="D32" s="201" t="str">
        <f>IF(C32="Str",'Personal File'!$C$13,IF(C32="Dex",'Personal File'!$C$14,IF(C32="Con",'Personal File'!$C$15,IF(C32="Int",'Personal File'!$C$16,IF(C32="Wis",'Personal File'!$C$17,IF(C32="Cha",'Personal File'!$C$18))))))</f>
        <v>+2</v>
      </c>
      <c r="E32" s="202" t="str">
        <f t="shared" si="8"/>
        <v>Dex (+2)</v>
      </c>
      <c r="F32" s="85" t="s">
        <v>53</v>
      </c>
      <c r="G32" s="85">
        <f t="shared" si="6"/>
        <v>8</v>
      </c>
      <c r="H32" s="286">
        <f t="shared" ca="1" si="2"/>
        <v>7</v>
      </c>
      <c r="I32" s="85">
        <f t="shared" ca="1" si="10"/>
        <v>15</v>
      </c>
      <c r="J32" s="120"/>
    </row>
    <row r="33" spans="1:10" ht="16.8" x14ac:dyDescent="0.3">
      <c r="A33" s="89" t="s">
        <v>97</v>
      </c>
      <c r="B33" s="73">
        <v>0</v>
      </c>
      <c r="C33" s="90" t="s">
        <v>21</v>
      </c>
      <c r="D33" s="91" t="str">
        <f>IF(C33="Str",'Personal File'!$C$13,IF(C33="Dex",'Personal File'!$C$14,IF(C33="Con",'Personal File'!$C$15,IF(C33="Int",'Personal File'!$C$16,IF(C33="Wis",'Personal File'!$C$17,IF(C33="Cha",'Personal File'!$C$18))))))</f>
        <v>+0</v>
      </c>
      <c r="E33" s="92" t="str">
        <f t="shared" si="8"/>
        <v>Cha (+0)</v>
      </c>
      <c r="F33" s="93" t="s">
        <v>53</v>
      </c>
      <c r="G33" s="93">
        <f t="shared" si="6"/>
        <v>0</v>
      </c>
      <c r="H33" s="286">
        <f t="shared" ca="1" si="2"/>
        <v>3</v>
      </c>
      <c r="I33" s="93">
        <f t="shared" ca="1" si="10"/>
        <v>3</v>
      </c>
      <c r="J33" s="121"/>
    </row>
    <row r="34" spans="1:10" ht="16.8" x14ac:dyDescent="0.3">
      <c r="A34" s="206" t="s">
        <v>262</v>
      </c>
      <c r="B34" s="81">
        <v>8</v>
      </c>
      <c r="C34" s="215" t="s">
        <v>24</v>
      </c>
      <c r="D34" s="216" t="str">
        <f>IF(C34="Str",'Personal File'!$C$13,IF(C34="Dex",'Personal File'!$C$14,IF(C34="Con",'Personal File'!$C$15,IF(C34="Int",'Personal File'!$C$16,IF(C34="Wis",'Personal File'!$C$17,IF(C34="Cha",'Personal File'!$C$18))))))</f>
        <v>+1</v>
      </c>
      <c r="E34" s="217" t="str">
        <f t="shared" ref="E34" si="23">CONCATENATE(C34," (",D34,")")</f>
        <v>Wis (+1)</v>
      </c>
      <c r="F34" s="85" t="s">
        <v>53</v>
      </c>
      <c r="G34" s="218">
        <f t="shared" si="6"/>
        <v>9</v>
      </c>
      <c r="H34" s="286">
        <f t="shared" ca="1" si="2"/>
        <v>19</v>
      </c>
      <c r="I34" s="218">
        <f t="shared" ca="1" si="10"/>
        <v>28</v>
      </c>
      <c r="J34" s="120"/>
    </row>
    <row r="35" spans="1:10" ht="16.8" x14ac:dyDescent="0.3">
      <c r="A35" s="98" t="s">
        <v>11</v>
      </c>
      <c r="B35" s="73">
        <v>0</v>
      </c>
      <c r="C35" s="99" t="s">
        <v>25</v>
      </c>
      <c r="D35" s="100" t="str">
        <f>IF(C35="Str",'Personal File'!$C$13,IF(C35="Dex",'Personal File'!$C$14,IF(C35="Con",'Personal File'!$C$15,IF(C35="Int",'Personal File'!$C$16,IF(C35="Wis",'Personal File'!$C$17,IF(C35="Cha",'Personal File'!$C$18))))))</f>
        <v>+2</v>
      </c>
      <c r="E35" s="76" t="str">
        <f t="shared" si="8"/>
        <v>Dex (+2)</v>
      </c>
      <c r="F35" s="93" t="s">
        <v>53</v>
      </c>
      <c r="G35" s="93">
        <f t="shared" si="6"/>
        <v>2</v>
      </c>
      <c r="H35" s="286">
        <f t="shared" ca="1" si="2"/>
        <v>3</v>
      </c>
      <c r="I35" s="93">
        <f t="shared" ca="1" si="10"/>
        <v>5</v>
      </c>
      <c r="J35" s="94"/>
    </row>
    <row r="36" spans="1:10" ht="16.8" x14ac:dyDescent="0.3">
      <c r="A36" s="80" t="s">
        <v>12</v>
      </c>
      <c r="B36" s="81">
        <v>3</v>
      </c>
      <c r="C36" s="82" t="s">
        <v>23</v>
      </c>
      <c r="D36" s="83" t="str">
        <f>IF(C36="Str",'Personal File'!$C$13,IF(C36="Dex",'Personal File'!$C$14,IF(C36="Con",'Personal File'!$C$15,IF(C36="Int",'Personal File'!$C$16,IF(C36="Wis",'Personal File'!$C$17,IF(C36="Cha",'Personal File'!$C$18))))))</f>
        <v>+3</v>
      </c>
      <c r="E36" s="84" t="str">
        <f t="shared" si="8"/>
        <v>Int (+3)</v>
      </c>
      <c r="F36" s="85" t="s">
        <v>53</v>
      </c>
      <c r="G36" s="85">
        <f t="shared" si="6"/>
        <v>6</v>
      </c>
      <c r="H36" s="286">
        <f t="shared" ca="1" si="2"/>
        <v>13</v>
      </c>
      <c r="I36" s="85">
        <f t="shared" ca="1" si="10"/>
        <v>19</v>
      </c>
      <c r="J36" s="86"/>
    </row>
    <row r="37" spans="1:10" ht="16.8" x14ac:dyDescent="0.3">
      <c r="A37" s="301" t="s">
        <v>46</v>
      </c>
      <c r="B37" s="81">
        <v>1</v>
      </c>
      <c r="C37" s="215" t="s">
        <v>24</v>
      </c>
      <c r="D37" s="216" t="str">
        <f>IF(C37="Str",'Personal File'!$C$13,IF(C37="Dex",'Personal File'!$C$14,IF(C37="Con",'Personal File'!$C$15,IF(C37="Int",'Personal File'!$C$16,IF(C37="Wis",'Personal File'!$C$17,IF(C37="Cha",'Personal File'!$C$18))))))</f>
        <v>+1</v>
      </c>
      <c r="E37" s="217" t="str">
        <f t="shared" si="8"/>
        <v>Wis (+1)</v>
      </c>
      <c r="F37" s="85" t="s">
        <v>53</v>
      </c>
      <c r="G37" s="85">
        <f t="shared" si="6"/>
        <v>2</v>
      </c>
      <c r="H37" s="286">
        <f t="shared" ca="1" si="2"/>
        <v>10</v>
      </c>
      <c r="I37" s="85">
        <f t="shared" ca="1" si="10"/>
        <v>12</v>
      </c>
      <c r="J37" s="86"/>
    </row>
    <row r="38" spans="1:10" ht="16.8" x14ac:dyDescent="0.3">
      <c r="A38" s="195" t="s">
        <v>68</v>
      </c>
      <c r="B38" s="105">
        <v>0</v>
      </c>
      <c r="C38" s="196" t="s">
        <v>25</v>
      </c>
      <c r="D38" s="197" t="str">
        <f>IF(C38="Str",'Personal File'!$C$13,IF(C38="Dex",'Personal File'!$C$14,IF(C38="Con",'Personal File'!$C$15,IF(C38="Int",'Personal File'!$C$16,IF(C38="Wis",'Personal File'!$C$17,IF(C38="Cha",'Personal File'!$C$18))))))</f>
        <v>+2</v>
      </c>
      <c r="E38" s="198" t="str">
        <f t="shared" si="8"/>
        <v>Dex (+2)</v>
      </c>
      <c r="F38" s="106" t="s">
        <v>53</v>
      </c>
      <c r="G38" s="106">
        <f t="shared" si="6"/>
        <v>2</v>
      </c>
      <c r="H38" s="286">
        <f t="shared" ca="1" si="2"/>
        <v>20</v>
      </c>
      <c r="I38" s="106">
        <f t="shared" ca="1" si="10"/>
        <v>22</v>
      </c>
      <c r="J38" s="107"/>
    </row>
    <row r="39" spans="1:10" ht="16.8" x14ac:dyDescent="0.3">
      <c r="A39" s="116" t="s">
        <v>123</v>
      </c>
      <c r="B39" s="105">
        <v>0</v>
      </c>
      <c r="C39" s="117" t="s">
        <v>23</v>
      </c>
      <c r="D39" s="118" t="str">
        <f>IF(C39="Str",'Personal File'!$C$13,IF(C39="Dex",'Personal File'!$C$14,IF(C39="Con",'Personal File'!$C$15,IF(C39="Int",'Personal File'!$C$16,IF(C39="Wis",'Personal File'!$C$17,IF(C39="Cha",'Personal File'!$C$18))))))</f>
        <v>+3</v>
      </c>
      <c r="E39" s="119" t="str">
        <f t="shared" si="8"/>
        <v>Int (+3)</v>
      </c>
      <c r="F39" s="106" t="s">
        <v>53</v>
      </c>
      <c r="G39" s="106" t="s">
        <v>53</v>
      </c>
      <c r="H39" s="286">
        <f t="shared" ca="1" si="2"/>
        <v>15</v>
      </c>
      <c r="I39" s="106">
        <f t="shared" ca="1" si="10"/>
        <v>15</v>
      </c>
      <c r="J39" s="205"/>
    </row>
    <row r="40" spans="1:10" ht="16.8" x14ac:dyDescent="0.3">
      <c r="A40" s="80" t="s">
        <v>47</v>
      </c>
      <c r="B40" s="81">
        <v>0</v>
      </c>
      <c r="C40" s="82" t="s">
        <v>23</v>
      </c>
      <c r="D40" s="83" t="str">
        <f>IF(C40="Str",'Personal File'!$C$13,IF(C40="Dex",'Personal File'!$C$14,IF(C40="Con",'Personal File'!$C$15,IF(C40="Int",'Personal File'!$C$16,IF(C40="Wis",'Personal File'!$C$17,IF(C40="Cha",'Personal File'!$C$18))))))</f>
        <v>+3</v>
      </c>
      <c r="E40" s="84" t="str">
        <f t="shared" si="8"/>
        <v>Int (+3)</v>
      </c>
      <c r="F40" s="85" t="s">
        <v>53</v>
      </c>
      <c r="G40" s="85">
        <f t="shared" si="6"/>
        <v>3</v>
      </c>
      <c r="H40" s="286">
        <f t="shared" ca="1" si="2"/>
        <v>16</v>
      </c>
      <c r="I40" s="85">
        <f t="shared" ca="1" si="10"/>
        <v>19</v>
      </c>
      <c r="J40" s="120"/>
    </row>
    <row r="41" spans="1:10" ht="16.8" x14ac:dyDescent="0.3">
      <c r="A41" s="301" t="s">
        <v>48</v>
      </c>
      <c r="B41" s="81">
        <v>4</v>
      </c>
      <c r="C41" s="215" t="s">
        <v>24</v>
      </c>
      <c r="D41" s="216" t="str">
        <f>IF(C41="Str",'Personal File'!$C$13,IF(C41="Dex",'Personal File'!$C$14,IF(C41="Con",'Personal File'!$C$15,IF(C41="Int",'Personal File'!$C$16,IF(C41="Wis",'Personal File'!$C$17,IF(C41="Cha",'Personal File'!$C$18))))))</f>
        <v>+1</v>
      </c>
      <c r="E41" s="217" t="str">
        <f t="shared" si="8"/>
        <v>Wis (+1)</v>
      </c>
      <c r="F41" s="663">
        <f>2</f>
        <v>2</v>
      </c>
      <c r="G41" s="85">
        <f t="shared" si="6"/>
        <v>7</v>
      </c>
      <c r="H41" s="286">
        <f t="shared" ca="1" si="2"/>
        <v>7</v>
      </c>
      <c r="I41" s="85">
        <f t="shared" ca="1" si="10"/>
        <v>14</v>
      </c>
      <c r="J41" s="86"/>
    </row>
    <row r="42" spans="1:10" ht="16.8" x14ac:dyDescent="0.3">
      <c r="A42" s="301" t="s">
        <v>69</v>
      </c>
      <c r="B42" s="81">
        <v>4</v>
      </c>
      <c r="C42" s="215" t="s">
        <v>24</v>
      </c>
      <c r="D42" s="216" t="str">
        <f>IF(C42="Str",'Personal File'!$C$13,IF(C42="Dex",'Personal File'!$C$14,IF(C42="Con",'Personal File'!$C$15,IF(C42="Int",'Personal File'!$C$16,IF(C42="Wis",'Personal File'!$C$17,IF(C42="Cha",'Personal File'!$C$18))))))</f>
        <v>+1</v>
      </c>
      <c r="E42" s="217" t="str">
        <f t="shared" si="8"/>
        <v>Wis (+1)</v>
      </c>
      <c r="F42" s="85" t="s">
        <v>53</v>
      </c>
      <c r="G42" s="85">
        <f t="shared" si="6"/>
        <v>5</v>
      </c>
      <c r="H42" s="286">
        <f t="shared" ca="1" si="2"/>
        <v>9</v>
      </c>
      <c r="I42" s="85">
        <f t="shared" ca="1" si="10"/>
        <v>14</v>
      </c>
      <c r="J42" s="120" t="s">
        <v>172</v>
      </c>
    </row>
    <row r="43" spans="1:10" ht="16.8" x14ac:dyDescent="0.3">
      <c r="A43" s="112" t="s">
        <v>13</v>
      </c>
      <c r="B43" s="73">
        <v>0</v>
      </c>
      <c r="C43" s="113" t="s">
        <v>26</v>
      </c>
      <c r="D43" s="114">
        <f>IF(C43="Str",'Personal File'!$C$13,IF(C43="Dex",'Personal File'!$C$14,IF(C43="Con",'Personal File'!$C$15,IF(C43="Int",'Personal File'!$C$16,IF(C43="Wis",'Personal File'!$C$17,IF(C43="Cha",'Personal File'!$C$18))))))</f>
        <v>-2</v>
      </c>
      <c r="E43" s="115" t="str">
        <f t="shared" si="8"/>
        <v>Str (-2)</v>
      </c>
      <c r="F43" s="93" t="s">
        <v>53</v>
      </c>
      <c r="G43" s="93">
        <f t="shared" si="6"/>
        <v>-2</v>
      </c>
      <c r="H43" s="286">
        <f t="shared" ca="1" si="2"/>
        <v>11</v>
      </c>
      <c r="I43" s="93">
        <f t="shared" ca="1" si="10"/>
        <v>9</v>
      </c>
      <c r="J43" s="94"/>
    </row>
    <row r="44" spans="1:10" ht="16.8" x14ac:dyDescent="0.3">
      <c r="A44" s="199" t="s">
        <v>49</v>
      </c>
      <c r="B44" s="81">
        <v>3</v>
      </c>
      <c r="C44" s="200" t="s">
        <v>25</v>
      </c>
      <c r="D44" s="201" t="str">
        <f>IF(C44="Str",'Personal File'!$C$13,IF(C44="Dex",'Personal File'!$C$14,IF(C44="Con",'Personal File'!$C$15,IF(C44="Int",'Personal File'!$C$16,IF(C44="Wis",'Personal File'!$C$17,IF(C44="Cha",'Personal File'!$C$18))))))</f>
        <v>+2</v>
      </c>
      <c r="E44" s="202" t="str">
        <f t="shared" si="8"/>
        <v>Dex (+2)</v>
      </c>
      <c r="F44" s="85" t="s">
        <v>53</v>
      </c>
      <c r="G44" s="85">
        <f t="shared" si="6"/>
        <v>5</v>
      </c>
      <c r="H44" s="286">
        <f t="shared" ca="1" si="2"/>
        <v>9</v>
      </c>
      <c r="I44" s="85">
        <f t="shared" ca="1" si="10"/>
        <v>14</v>
      </c>
      <c r="J44" s="86"/>
    </row>
    <row r="45" spans="1:10" ht="16.8" x14ac:dyDescent="0.3">
      <c r="A45" s="206" t="s">
        <v>50</v>
      </c>
      <c r="B45" s="81">
        <v>4</v>
      </c>
      <c r="C45" s="207" t="s">
        <v>21</v>
      </c>
      <c r="D45" s="208" t="str">
        <f>IF(C45="Str",'Personal File'!$C$13,IF(C45="Dex",'Personal File'!$C$14,IF(C45="Con",'Personal File'!$C$15,IF(C45="Int",'Personal File'!$C$16,IF(C45="Wis",'Personal File'!$C$17,IF(C45="Cha",'Personal File'!$C$18))))))</f>
        <v>+0</v>
      </c>
      <c r="E45" s="209" t="str">
        <f t="shared" si="8"/>
        <v>Cha (+0)</v>
      </c>
      <c r="F45" s="85" t="s">
        <v>53</v>
      </c>
      <c r="G45" s="85">
        <f t="shared" si="6"/>
        <v>4</v>
      </c>
      <c r="H45" s="286">
        <f t="shared" ca="1" si="2"/>
        <v>12</v>
      </c>
      <c r="I45" s="85">
        <f t="shared" ca="1" si="10"/>
        <v>16</v>
      </c>
      <c r="J45" s="86"/>
    </row>
    <row r="46" spans="1:10" ht="17.399999999999999" thickBot="1" x14ac:dyDescent="0.35">
      <c r="A46" s="279" t="s">
        <v>51</v>
      </c>
      <c r="B46" s="280">
        <v>3</v>
      </c>
      <c r="C46" s="281" t="s">
        <v>25</v>
      </c>
      <c r="D46" s="282" t="str">
        <f>IF(C46="Str",'Personal File'!$C$13,IF(C46="Dex",'Personal File'!$C$14,IF(C46="Con",'Personal File'!$C$15,IF(C46="Int",'Personal File'!$C$16,IF(C46="Wis",'Personal File'!$C$17,IF(C46="Cha",'Personal File'!$C$18))))))</f>
        <v>+2</v>
      </c>
      <c r="E46" s="283" t="str">
        <f t="shared" si="8"/>
        <v>Dex (+2)</v>
      </c>
      <c r="F46" s="284" t="s">
        <v>53</v>
      </c>
      <c r="G46" s="284">
        <f t="shared" si="6"/>
        <v>5</v>
      </c>
      <c r="H46" s="289">
        <f t="shared" ref="H46" ca="1" si="24">RANDBETWEEN(1,20)</f>
        <v>16</v>
      </c>
      <c r="I46" s="284">
        <f t="shared" ca="1" si="10"/>
        <v>21</v>
      </c>
      <c r="J46" s="285"/>
    </row>
    <row r="47" spans="1:10" ht="16.2" thickTop="1" x14ac:dyDescent="0.3">
      <c r="B47" s="123">
        <f>SUM(B6:B46)+B42</f>
        <v>124</v>
      </c>
      <c r="E47" s="304">
        <f>SUM(E48:E60)</f>
        <v>138</v>
      </c>
    </row>
    <row r="48" spans="1:10" x14ac:dyDescent="0.3">
      <c r="B48" s="123"/>
      <c r="E48" s="253">
        <f>4*(8+'Personal File'!$C$16)</f>
        <v>44</v>
      </c>
      <c r="F48" s="125" t="s">
        <v>110</v>
      </c>
    </row>
    <row r="49" spans="5:6" x14ac:dyDescent="0.3">
      <c r="E49" s="300">
        <f>8+'Personal File'!$C$16</f>
        <v>11</v>
      </c>
      <c r="F49" s="125" t="s">
        <v>171</v>
      </c>
    </row>
    <row r="50" spans="5:6" x14ac:dyDescent="0.3">
      <c r="E50" s="300">
        <f>2+'Personal File'!$C$16</f>
        <v>5</v>
      </c>
      <c r="F50" s="125" t="s">
        <v>175</v>
      </c>
    </row>
    <row r="51" spans="5:6" x14ac:dyDescent="0.3">
      <c r="E51" s="300">
        <f>8+'Personal File'!$C$16</f>
        <v>11</v>
      </c>
      <c r="F51" s="125" t="s">
        <v>266</v>
      </c>
    </row>
    <row r="52" spans="5:6" x14ac:dyDescent="0.3">
      <c r="E52" s="300">
        <f>8+'Personal File'!$C$16</f>
        <v>11</v>
      </c>
      <c r="F52" s="125" t="s">
        <v>283</v>
      </c>
    </row>
    <row r="53" spans="5:6" x14ac:dyDescent="0.3">
      <c r="E53" s="300">
        <f>4+'Personal File'!$C$16</f>
        <v>7</v>
      </c>
      <c r="F53" s="125" t="s">
        <v>287</v>
      </c>
    </row>
    <row r="54" spans="5:6" x14ac:dyDescent="0.3">
      <c r="E54" s="300">
        <f>4+'Personal File'!$C$16</f>
        <v>7</v>
      </c>
      <c r="F54" s="125" t="s">
        <v>354</v>
      </c>
    </row>
    <row r="55" spans="5:6" x14ac:dyDescent="0.3">
      <c r="E55" s="300">
        <f>4+'Personal File'!$C$16</f>
        <v>7</v>
      </c>
      <c r="F55" s="125" t="s">
        <v>377</v>
      </c>
    </row>
    <row r="56" spans="5:6" x14ac:dyDescent="0.3">
      <c r="E56" s="300">
        <f>4+'Personal File'!$C$16</f>
        <v>7</v>
      </c>
      <c r="F56" s="125" t="s">
        <v>378</v>
      </c>
    </row>
    <row r="57" spans="5:6" x14ac:dyDescent="0.3">
      <c r="E57" s="300">
        <f>4+'Personal File'!$C$16</f>
        <v>7</v>
      </c>
      <c r="F57" s="125" t="s">
        <v>383</v>
      </c>
    </row>
    <row r="58" spans="5:6" x14ac:dyDescent="0.3">
      <c r="E58" s="300">
        <f>4+'Personal File'!$C$16</f>
        <v>7</v>
      </c>
      <c r="F58" s="125" t="s">
        <v>392</v>
      </c>
    </row>
    <row r="59" spans="5:6" x14ac:dyDescent="0.3">
      <c r="E59" s="300">
        <f>4+'Personal File'!$C$16</f>
        <v>7</v>
      </c>
      <c r="F59" s="125" t="s">
        <v>421</v>
      </c>
    </row>
    <row r="60" spans="5:6" x14ac:dyDescent="0.3">
      <c r="E60" s="300">
        <f>4+'Personal File'!$C$16</f>
        <v>7</v>
      </c>
      <c r="F60" s="125" t="s">
        <v>422</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3F6BE-4C33-4CAB-9C23-ADB2CC485239}">
  <dimension ref="A1:J28"/>
  <sheetViews>
    <sheetView showGridLines="0" zoomScaleNormal="100" workbookViewId="0">
      <pane ySplit="2" topLeftCell="A3" activePane="bottomLeft" state="frozen"/>
      <selection pane="bottomLeft" activeCell="A3" sqref="A3"/>
    </sheetView>
  </sheetViews>
  <sheetFormatPr defaultColWidth="18.19921875" defaultRowHeight="15.6" x14ac:dyDescent="0.3"/>
  <cols>
    <col min="1" max="1" width="21.296875" style="341" bestFit="1" customWidth="1"/>
    <col min="2" max="2" width="6.19921875" style="341" bestFit="1" customWidth="1"/>
    <col min="3" max="3" width="13.59765625" style="342" bestFit="1" customWidth="1"/>
    <col min="4" max="4" width="11.296875" style="342" bestFit="1" customWidth="1"/>
    <col min="5" max="5" width="10.5" style="342" bestFit="1" customWidth="1"/>
    <col min="6" max="7" width="13.19921875" style="342" bestFit="1" customWidth="1"/>
    <col min="8" max="8" width="21.3984375" style="341" bestFit="1" customWidth="1"/>
    <col min="9" max="9" width="5.5" style="330" bestFit="1" customWidth="1"/>
    <col min="10" max="10" width="3.296875" style="330" bestFit="1" customWidth="1"/>
    <col min="11" max="16384" width="18.19921875" style="330"/>
  </cols>
  <sheetData>
    <row r="1" spans="1:10" ht="23.4" thickBot="1" x14ac:dyDescent="0.45">
      <c r="A1" s="328" t="s">
        <v>257</v>
      </c>
      <c r="B1" s="329"/>
      <c r="C1" s="329"/>
      <c r="D1" s="329"/>
      <c r="E1" s="329"/>
      <c r="F1" s="329"/>
      <c r="G1" s="329"/>
      <c r="H1" s="329"/>
    </row>
    <row r="2" spans="1:10" s="296" customFormat="1" ht="16.8" x14ac:dyDescent="0.3">
      <c r="A2" s="331" t="s">
        <v>75</v>
      </c>
      <c r="B2" s="332" t="s">
        <v>77</v>
      </c>
      <c r="C2" s="332" t="s">
        <v>180</v>
      </c>
      <c r="D2" s="333" t="s">
        <v>181</v>
      </c>
      <c r="E2" s="333" t="s">
        <v>182</v>
      </c>
      <c r="F2" s="332" t="s">
        <v>183</v>
      </c>
      <c r="G2" s="332" t="s">
        <v>184</v>
      </c>
      <c r="H2" s="332" t="s">
        <v>185</v>
      </c>
      <c r="I2" s="334" t="s">
        <v>186</v>
      </c>
      <c r="J2" s="306"/>
    </row>
    <row r="3" spans="1:10" s="337" customFormat="1" ht="16.8" x14ac:dyDescent="0.3">
      <c r="A3" s="322" t="s">
        <v>187</v>
      </c>
      <c r="B3" s="335">
        <v>0</v>
      </c>
      <c r="C3" s="570" t="s">
        <v>188</v>
      </c>
      <c r="D3" s="323" t="s">
        <v>189</v>
      </c>
      <c r="E3" s="575" t="s">
        <v>190</v>
      </c>
      <c r="F3" s="575" t="s">
        <v>191</v>
      </c>
      <c r="G3" s="575" t="s">
        <v>192</v>
      </c>
      <c r="H3" s="324" t="s">
        <v>193</v>
      </c>
      <c r="I3" s="336">
        <v>196</v>
      </c>
    </row>
    <row r="4" spans="1:10" ht="16.8" x14ac:dyDescent="0.3">
      <c r="A4" s="307" t="s">
        <v>224</v>
      </c>
      <c r="B4" s="338">
        <v>0</v>
      </c>
      <c r="C4" s="311" t="s">
        <v>234</v>
      </c>
      <c r="D4" s="313" t="s">
        <v>189</v>
      </c>
      <c r="E4" s="312" t="s">
        <v>190</v>
      </c>
      <c r="F4" s="312" t="s">
        <v>235</v>
      </c>
      <c r="G4" s="312" t="s">
        <v>236</v>
      </c>
      <c r="H4" s="310" t="s">
        <v>193</v>
      </c>
      <c r="I4" s="325">
        <v>201</v>
      </c>
    </row>
    <row r="5" spans="1:10" ht="16.8" x14ac:dyDescent="0.3">
      <c r="A5" s="307" t="s">
        <v>214</v>
      </c>
      <c r="B5" s="338">
        <v>0</v>
      </c>
      <c r="C5" s="311" t="s">
        <v>188</v>
      </c>
      <c r="D5" s="313" t="s">
        <v>189</v>
      </c>
      <c r="E5" s="312" t="s">
        <v>190</v>
      </c>
      <c r="F5" s="312" t="s">
        <v>191</v>
      </c>
      <c r="G5" s="312" t="s">
        <v>201</v>
      </c>
      <c r="H5" s="310" t="s">
        <v>211</v>
      </c>
      <c r="I5" s="325">
        <v>42</v>
      </c>
    </row>
    <row r="6" spans="1:10" ht="16.8" x14ac:dyDescent="0.3">
      <c r="A6" s="307" t="s">
        <v>127</v>
      </c>
      <c r="B6" s="338">
        <v>0</v>
      </c>
      <c r="C6" s="311" t="s">
        <v>209</v>
      </c>
      <c r="D6" s="308" t="s">
        <v>189</v>
      </c>
      <c r="E6" s="312" t="s">
        <v>190</v>
      </c>
      <c r="F6" s="312" t="s">
        <v>206</v>
      </c>
      <c r="G6" s="312" t="s">
        <v>227</v>
      </c>
      <c r="H6" s="310" t="s">
        <v>193</v>
      </c>
      <c r="I6" s="325">
        <v>216</v>
      </c>
    </row>
    <row r="7" spans="1:10" ht="16.8" x14ac:dyDescent="0.3">
      <c r="A7" s="307" t="s">
        <v>194</v>
      </c>
      <c r="B7" s="338">
        <v>0</v>
      </c>
      <c r="C7" s="314" t="s">
        <v>195</v>
      </c>
      <c r="D7" s="308" t="s">
        <v>196</v>
      </c>
      <c r="E7" s="309" t="s">
        <v>190</v>
      </c>
      <c r="F7" s="310" t="s">
        <v>191</v>
      </c>
      <c r="G7" s="310" t="s">
        <v>197</v>
      </c>
      <c r="H7" s="310" t="s">
        <v>193</v>
      </c>
      <c r="I7" s="317">
        <v>217</v>
      </c>
    </row>
    <row r="8" spans="1:10" ht="16.8" x14ac:dyDescent="0.3">
      <c r="A8" s="307" t="s">
        <v>225</v>
      </c>
      <c r="B8" s="338">
        <v>0</v>
      </c>
      <c r="C8" s="318" t="s">
        <v>234</v>
      </c>
      <c r="D8" s="321" t="s">
        <v>189</v>
      </c>
      <c r="E8" s="319" t="s">
        <v>190</v>
      </c>
      <c r="F8" s="319" t="s">
        <v>130</v>
      </c>
      <c r="G8" s="319" t="s">
        <v>207</v>
      </c>
      <c r="H8" s="310" t="s">
        <v>193</v>
      </c>
      <c r="I8" s="325">
        <v>219</v>
      </c>
    </row>
    <row r="9" spans="1:10" ht="16.8" x14ac:dyDescent="0.3">
      <c r="A9" s="307" t="s">
        <v>216</v>
      </c>
      <c r="B9" s="338">
        <v>0</v>
      </c>
      <c r="C9" s="311" t="s">
        <v>198</v>
      </c>
      <c r="D9" s="313" t="s">
        <v>189</v>
      </c>
      <c r="E9" s="312" t="s">
        <v>190</v>
      </c>
      <c r="F9" s="312" t="s">
        <v>191</v>
      </c>
      <c r="G9" s="312" t="s">
        <v>192</v>
      </c>
      <c r="H9" s="310" t="s">
        <v>193</v>
      </c>
      <c r="I9" s="325">
        <v>219</v>
      </c>
    </row>
    <row r="10" spans="1:10" ht="16.8" x14ac:dyDescent="0.3">
      <c r="A10" s="307" t="s">
        <v>217</v>
      </c>
      <c r="B10" s="338">
        <v>0</v>
      </c>
      <c r="C10" s="314" t="s">
        <v>204</v>
      </c>
      <c r="D10" s="308" t="s">
        <v>189</v>
      </c>
      <c r="E10" s="309" t="s">
        <v>190</v>
      </c>
      <c r="F10" s="310" t="s">
        <v>191</v>
      </c>
      <c r="G10" s="310" t="s">
        <v>192</v>
      </c>
      <c r="H10" s="310" t="s">
        <v>211</v>
      </c>
      <c r="I10" s="317">
        <v>78</v>
      </c>
    </row>
    <row r="11" spans="1:10" ht="16.8" x14ac:dyDescent="0.3">
      <c r="A11" s="307" t="s">
        <v>218</v>
      </c>
      <c r="B11" s="338">
        <v>0</v>
      </c>
      <c r="C11" s="314" t="s">
        <v>204</v>
      </c>
      <c r="D11" s="308" t="s">
        <v>202</v>
      </c>
      <c r="E11" s="309" t="s">
        <v>190</v>
      </c>
      <c r="F11" s="310" t="s">
        <v>191</v>
      </c>
      <c r="G11" s="310" t="s">
        <v>192</v>
      </c>
      <c r="H11" s="310" t="s">
        <v>193</v>
      </c>
      <c r="I11" s="325">
        <v>232</v>
      </c>
    </row>
    <row r="12" spans="1:10" ht="16.8" x14ac:dyDescent="0.3">
      <c r="A12" s="307" t="s">
        <v>81</v>
      </c>
      <c r="B12" s="338">
        <v>0</v>
      </c>
      <c r="C12" s="314" t="s">
        <v>209</v>
      </c>
      <c r="D12" s="308" t="s">
        <v>196</v>
      </c>
      <c r="E12" s="309" t="s">
        <v>190</v>
      </c>
      <c r="F12" s="310" t="s">
        <v>191</v>
      </c>
      <c r="G12" s="310" t="s">
        <v>201</v>
      </c>
      <c r="H12" s="310" t="s">
        <v>193</v>
      </c>
      <c r="I12" s="325">
        <v>235</v>
      </c>
    </row>
    <row r="13" spans="1:10" ht="16.8" x14ac:dyDescent="0.3">
      <c r="A13" s="307" t="s">
        <v>219</v>
      </c>
      <c r="B13" s="338">
        <v>0</v>
      </c>
      <c r="C13" s="314" t="s">
        <v>204</v>
      </c>
      <c r="D13" s="308" t="s">
        <v>228</v>
      </c>
      <c r="E13" s="309" t="s">
        <v>190</v>
      </c>
      <c r="F13" s="310" t="s">
        <v>200</v>
      </c>
      <c r="G13" s="310" t="s">
        <v>208</v>
      </c>
      <c r="H13" s="310" t="s">
        <v>193</v>
      </c>
      <c r="I13" s="325">
        <v>248</v>
      </c>
    </row>
    <row r="14" spans="1:10" ht="16.8" x14ac:dyDescent="0.3">
      <c r="A14" s="307" t="s">
        <v>389</v>
      </c>
      <c r="B14" s="338">
        <v>0</v>
      </c>
      <c r="C14" s="679" t="s">
        <v>410</v>
      </c>
      <c r="D14" s="308" t="s">
        <v>189</v>
      </c>
      <c r="E14" s="680" t="s">
        <v>190</v>
      </c>
      <c r="F14" s="310" t="s">
        <v>191</v>
      </c>
      <c r="G14" s="310" t="s">
        <v>7</v>
      </c>
      <c r="H14" s="310" t="s">
        <v>193</v>
      </c>
      <c r="I14" s="681">
        <v>249</v>
      </c>
    </row>
    <row r="15" spans="1:10" ht="16.8" x14ac:dyDescent="0.3">
      <c r="A15" s="307" t="s">
        <v>128</v>
      </c>
      <c r="B15" s="338">
        <v>0</v>
      </c>
      <c r="C15" s="318" t="s">
        <v>234</v>
      </c>
      <c r="D15" s="321" t="s">
        <v>189</v>
      </c>
      <c r="E15" s="319" t="s">
        <v>190</v>
      </c>
      <c r="F15" s="319" t="s">
        <v>232</v>
      </c>
      <c r="G15" s="319" t="s">
        <v>203</v>
      </c>
      <c r="H15" s="310" t="s">
        <v>193</v>
      </c>
      <c r="I15" s="325">
        <v>264</v>
      </c>
    </row>
    <row r="16" spans="1:10" ht="16.8" x14ac:dyDescent="0.3">
      <c r="A16" s="307" t="s">
        <v>215</v>
      </c>
      <c r="B16" s="338">
        <v>0</v>
      </c>
      <c r="C16" s="314" t="s">
        <v>188</v>
      </c>
      <c r="D16" s="308" t="s">
        <v>189</v>
      </c>
      <c r="E16" s="309" t="s">
        <v>190</v>
      </c>
      <c r="F16" s="310" t="s">
        <v>191</v>
      </c>
      <c r="G16" s="310" t="s">
        <v>192</v>
      </c>
      <c r="H16" s="310" t="s">
        <v>193</v>
      </c>
      <c r="I16" s="325">
        <v>269</v>
      </c>
    </row>
    <row r="17" spans="1:10" ht="16.8" x14ac:dyDescent="0.3">
      <c r="A17" s="307" t="s">
        <v>226</v>
      </c>
      <c r="B17" s="338">
        <v>0</v>
      </c>
      <c r="C17" s="318" t="s">
        <v>234</v>
      </c>
      <c r="D17" s="321" t="s">
        <v>212</v>
      </c>
      <c r="E17" s="319" t="s">
        <v>190</v>
      </c>
      <c r="F17" s="319" t="s">
        <v>199</v>
      </c>
      <c r="G17" s="319" t="s">
        <v>208</v>
      </c>
      <c r="H17" s="310" t="s">
        <v>193</v>
      </c>
      <c r="I17" s="325">
        <v>269</v>
      </c>
      <c r="J17" s="306"/>
    </row>
    <row r="18" spans="1:10" ht="16.8" x14ac:dyDescent="0.3">
      <c r="A18" s="307" t="s">
        <v>213</v>
      </c>
      <c r="B18" s="338">
        <v>0</v>
      </c>
      <c r="C18" s="571" t="s">
        <v>210</v>
      </c>
      <c r="D18" s="308" t="s">
        <v>205</v>
      </c>
      <c r="E18" s="309" t="s">
        <v>190</v>
      </c>
      <c r="F18" s="310" t="s">
        <v>200</v>
      </c>
      <c r="G18" s="310" t="s">
        <v>227</v>
      </c>
      <c r="H18" s="310" t="s">
        <v>193</v>
      </c>
      <c r="I18" s="325">
        <v>272</v>
      </c>
    </row>
    <row r="19" spans="1:10" ht="16.8" x14ac:dyDescent="0.3">
      <c r="A19" s="307" t="s">
        <v>221</v>
      </c>
      <c r="B19" s="338">
        <v>0</v>
      </c>
      <c r="C19" s="311" t="s">
        <v>209</v>
      </c>
      <c r="D19" s="313" t="s">
        <v>229</v>
      </c>
      <c r="E19" s="312" t="s">
        <v>190</v>
      </c>
      <c r="F19" s="312" t="s">
        <v>191</v>
      </c>
      <c r="G19" s="312" t="s">
        <v>207</v>
      </c>
      <c r="H19" s="310" t="s">
        <v>211</v>
      </c>
      <c r="I19" s="325">
        <v>190</v>
      </c>
    </row>
    <row r="20" spans="1:10" ht="16.8" x14ac:dyDescent="0.3">
      <c r="A20" s="307" t="s">
        <v>220</v>
      </c>
      <c r="B20" s="338">
        <v>0</v>
      </c>
      <c r="C20" s="314" t="s">
        <v>204</v>
      </c>
      <c r="D20" s="308" t="s">
        <v>189</v>
      </c>
      <c r="E20" s="309" t="s">
        <v>190</v>
      </c>
      <c r="F20" s="310" t="s">
        <v>191</v>
      </c>
      <c r="G20" s="310" t="s">
        <v>192</v>
      </c>
      <c r="H20" s="310" t="s">
        <v>211</v>
      </c>
      <c r="I20" s="317">
        <v>195</v>
      </c>
    </row>
    <row r="21" spans="1:10" ht="16.8" x14ac:dyDescent="0.3">
      <c r="A21" s="315" t="s">
        <v>222</v>
      </c>
      <c r="B21" s="343">
        <v>0</v>
      </c>
      <c r="C21" s="572" t="s">
        <v>209</v>
      </c>
      <c r="D21" s="574" t="s">
        <v>189</v>
      </c>
      <c r="E21" s="576" t="s">
        <v>190</v>
      </c>
      <c r="F21" s="316" t="s">
        <v>191</v>
      </c>
      <c r="G21" s="316" t="s">
        <v>201</v>
      </c>
      <c r="H21" s="316" t="s">
        <v>230</v>
      </c>
      <c r="I21" s="320">
        <v>108</v>
      </c>
    </row>
    <row r="22" spans="1:10" ht="16.8" x14ac:dyDescent="0.3">
      <c r="A22" s="307" t="s">
        <v>237</v>
      </c>
      <c r="B22" s="338">
        <v>1</v>
      </c>
      <c r="C22" s="318" t="s">
        <v>210</v>
      </c>
      <c r="D22" s="321" t="s">
        <v>205</v>
      </c>
      <c r="E22" s="319" t="s">
        <v>190</v>
      </c>
      <c r="F22" s="319" t="s">
        <v>191</v>
      </c>
      <c r="G22" s="319" t="s">
        <v>241</v>
      </c>
      <c r="H22" s="310" t="s">
        <v>193</v>
      </c>
      <c r="I22" s="325">
        <v>197</v>
      </c>
    </row>
    <row r="23" spans="1:10" ht="16.8" x14ac:dyDescent="0.3">
      <c r="A23" s="307" t="s">
        <v>240</v>
      </c>
      <c r="B23" s="338">
        <v>1</v>
      </c>
      <c r="C23" s="314" t="s">
        <v>210</v>
      </c>
      <c r="D23" s="308" t="s">
        <v>189</v>
      </c>
      <c r="E23" s="310" t="s">
        <v>190</v>
      </c>
      <c r="F23" s="310" t="s">
        <v>200</v>
      </c>
      <c r="G23" s="310" t="s">
        <v>231</v>
      </c>
      <c r="H23" s="310" t="s">
        <v>193</v>
      </c>
      <c r="I23" s="325">
        <v>226</v>
      </c>
    </row>
    <row r="24" spans="1:10" ht="16.8" x14ac:dyDescent="0.3">
      <c r="A24" s="307" t="s">
        <v>238</v>
      </c>
      <c r="B24" s="338">
        <v>1</v>
      </c>
      <c r="C24" s="318" t="s">
        <v>188</v>
      </c>
      <c r="D24" s="321" t="s">
        <v>212</v>
      </c>
      <c r="E24" s="319" t="s">
        <v>190</v>
      </c>
      <c r="F24" s="319" t="s">
        <v>200</v>
      </c>
      <c r="G24" s="319" t="s">
        <v>233</v>
      </c>
      <c r="H24" s="310" t="s">
        <v>193</v>
      </c>
      <c r="I24" s="325">
        <v>249</v>
      </c>
    </row>
    <row r="25" spans="1:10" ht="16.8" x14ac:dyDescent="0.3">
      <c r="A25" s="315" t="s">
        <v>239</v>
      </c>
      <c r="B25" s="343">
        <v>1</v>
      </c>
      <c r="C25" s="665" t="s">
        <v>204</v>
      </c>
      <c r="D25" s="666" t="s">
        <v>196</v>
      </c>
      <c r="E25" s="667" t="s">
        <v>190</v>
      </c>
      <c r="F25" s="667" t="s">
        <v>191</v>
      </c>
      <c r="G25" s="667" t="s">
        <v>233</v>
      </c>
      <c r="H25" s="316" t="s">
        <v>193</v>
      </c>
      <c r="I25" s="320">
        <v>294</v>
      </c>
    </row>
    <row r="26" spans="1:10" ht="16.8" x14ac:dyDescent="0.3">
      <c r="A26" s="668" t="s">
        <v>390</v>
      </c>
      <c r="B26" s="669">
        <v>2</v>
      </c>
      <c r="C26" s="670" t="s">
        <v>198</v>
      </c>
      <c r="D26" s="671" t="s">
        <v>196</v>
      </c>
      <c r="E26" s="672" t="s">
        <v>190</v>
      </c>
      <c r="F26" s="672" t="s">
        <v>206</v>
      </c>
      <c r="G26" s="672" t="s">
        <v>208</v>
      </c>
      <c r="H26" s="673" t="s">
        <v>193</v>
      </c>
      <c r="I26" s="674">
        <v>275</v>
      </c>
    </row>
    <row r="27" spans="1:10" ht="17.399999999999999" thickBot="1" x14ac:dyDescent="0.35">
      <c r="A27" s="326" t="s">
        <v>391</v>
      </c>
      <c r="B27" s="339">
        <v>3</v>
      </c>
      <c r="C27" s="573" t="s">
        <v>410</v>
      </c>
      <c r="D27" s="577" t="s">
        <v>205</v>
      </c>
      <c r="E27" s="577" t="s">
        <v>190</v>
      </c>
      <c r="F27" s="577" t="s">
        <v>200</v>
      </c>
      <c r="G27" s="577" t="s">
        <v>241</v>
      </c>
      <c r="H27" s="327" t="s">
        <v>193</v>
      </c>
      <c r="I27" s="340">
        <v>300</v>
      </c>
    </row>
    <row r="28" spans="1:10" ht="16.2" thickTop="1" x14ac:dyDescent="0.3"/>
  </sheetData>
  <sortState xmlns:xlrd2="http://schemas.microsoft.com/office/spreadsheetml/2017/richdata2" ref="A3:I27">
    <sortCondition ref="B3:B27"/>
    <sortCondition ref="A3:A27"/>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1EC9-ECEB-47A4-B92A-F46BEB4CA2F4}">
  <dimension ref="A1:Q22"/>
  <sheetViews>
    <sheetView showGridLines="0" workbookViewId="0"/>
  </sheetViews>
  <sheetFormatPr defaultColWidth="6.19921875" defaultRowHeight="16.8" x14ac:dyDescent="0.3"/>
  <cols>
    <col min="1" max="1" width="21.296875" style="251" bestFit="1" customWidth="1"/>
    <col min="2" max="2" width="6.19921875" style="251"/>
    <col min="3" max="3" width="8.8984375" style="251" bestFit="1" customWidth="1"/>
    <col min="4" max="4" width="4.09765625" style="251" bestFit="1" customWidth="1"/>
    <col min="5" max="5" width="6.296875" style="251" bestFit="1" customWidth="1"/>
    <col min="6" max="6" width="3.796875" style="251" customWidth="1"/>
    <col min="7" max="7" width="16.3984375" style="251" bestFit="1" customWidth="1"/>
    <col min="8" max="8" width="3.8984375" style="251" bestFit="1" customWidth="1"/>
    <col min="9" max="10" width="4.59765625" style="251" customWidth="1"/>
    <col min="11" max="11" width="4.09765625" style="251" bestFit="1" customWidth="1"/>
    <col min="12" max="19" width="3.8984375" style="251" bestFit="1" customWidth="1"/>
    <col min="20" max="16384" width="6.19921875" style="251"/>
  </cols>
  <sheetData>
    <row r="1" spans="1:17" ht="22.2" thickTop="1" thickBot="1" x14ac:dyDescent="0.35">
      <c r="A1" s="372" t="s">
        <v>258</v>
      </c>
      <c r="B1" s="373"/>
      <c r="C1" s="373"/>
      <c r="D1" s="373"/>
      <c r="E1" s="374"/>
      <c r="F1" s="173"/>
      <c r="G1" s="173"/>
      <c r="H1" s="345" t="s">
        <v>242</v>
      </c>
      <c r="I1" s="346"/>
      <c r="J1" s="346"/>
      <c r="K1" s="346"/>
      <c r="L1" s="346"/>
      <c r="M1" s="346"/>
      <c r="N1" s="346"/>
      <c r="O1" s="346"/>
      <c r="P1" s="346"/>
      <c r="Q1" s="347"/>
    </row>
    <row r="2" spans="1:17" ht="18" thickTop="1" thickBot="1" x14ac:dyDescent="0.35">
      <c r="A2" s="375" t="s">
        <v>75</v>
      </c>
      <c r="B2" s="376" t="s">
        <v>77</v>
      </c>
      <c r="C2" s="377" t="s">
        <v>259</v>
      </c>
      <c r="D2" s="377" t="s">
        <v>78</v>
      </c>
      <c r="E2" s="378" t="s">
        <v>79</v>
      </c>
      <c r="F2" s="173"/>
      <c r="G2" s="173"/>
      <c r="H2" s="348" t="s">
        <v>243</v>
      </c>
      <c r="I2" s="349" t="s">
        <v>244</v>
      </c>
      <c r="J2" s="349" t="s">
        <v>245</v>
      </c>
      <c r="K2" s="349" t="s">
        <v>246</v>
      </c>
      <c r="L2" s="350" t="s">
        <v>247</v>
      </c>
      <c r="M2" s="349" t="s">
        <v>248</v>
      </c>
      <c r="N2" s="349" t="s">
        <v>249</v>
      </c>
      <c r="O2" s="349" t="s">
        <v>250</v>
      </c>
      <c r="P2" s="350" t="s">
        <v>251</v>
      </c>
      <c r="Q2" s="351" t="s">
        <v>252</v>
      </c>
    </row>
    <row r="3" spans="1:17" ht="17.399999999999999" thickTop="1" x14ac:dyDescent="0.3">
      <c r="A3" s="379" t="s">
        <v>225</v>
      </c>
      <c r="B3" s="73">
        <v>0</v>
      </c>
      <c r="C3" s="73">
        <v>0</v>
      </c>
      <c r="D3" s="166">
        <f>10+B3+C3+'Personal File'!$C$16</f>
        <v>13</v>
      </c>
      <c r="E3" s="380" t="s">
        <v>98</v>
      </c>
      <c r="F3" s="173"/>
      <c r="G3" s="352" t="s">
        <v>253</v>
      </c>
      <c r="H3" s="353">
        <v>3</v>
      </c>
      <c r="I3" s="354">
        <v>1</v>
      </c>
      <c r="J3" s="355">
        <v>0</v>
      </c>
      <c r="K3" s="355">
        <v>0</v>
      </c>
      <c r="L3" s="355">
        <v>0</v>
      </c>
      <c r="M3" s="355">
        <v>0</v>
      </c>
      <c r="N3" s="355">
        <v>0</v>
      </c>
      <c r="O3" s="355">
        <v>0</v>
      </c>
      <c r="P3" s="355">
        <v>0</v>
      </c>
      <c r="Q3" s="356">
        <v>0</v>
      </c>
    </row>
    <row r="4" spans="1:17" x14ac:dyDescent="0.3">
      <c r="A4" s="379" t="s">
        <v>194</v>
      </c>
      <c r="B4" s="73">
        <v>0</v>
      </c>
      <c r="C4" s="73">
        <v>0</v>
      </c>
      <c r="D4" s="166">
        <f>10+B4+C4+'Personal File'!$C$16</f>
        <v>13</v>
      </c>
      <c r="E4" s="380" t="s">
        <v>98</v>
      </c>
      <c r="F4" s="173"/>
      <c r="G4" s="357" t="s">
        <v>254</v>
      </c>
      <c r="H4" s="358">
        <v>0</v>
      </c>
      <c r="I4" s="359">
        <v>1</v>
      </c>
      <c r="J4" s="360">
        <v>1</v>
      </c>
      <c r="K4" s="360">
        <v>0</v>
      </c>
      <c r="L4" s="360">
        <v>0</v>
      </c>
      <c r="M4" s="360">
        <v>0</v>
      </c>
      <c r="N4" s="360">
        <v>0</v>
      </c>
      <c r="O4" s="360">
        <v>0</v>
      </c>
      <c r="P4" s="360">
        <v>0</v>
      </c>
      <c r="Q4" s="361">
        <v>0</v>
      </c>
    </row>
    <row r="5" spans="1:17" ht="17.399999999999999" thickBot="1" x14ac:dyDescent="0.35">
      <c r="A5" s="381" t="s">
        <v>223</v>
      </c>
      <c r="B5" s="79">
        <v>0</v>
      </c>
      <c r="C5" s="79">
        <v>0</v>
      </c>
      <c r="D5" s="271">
        <f>10+B5+C5+'Personal File'!$C$16</f>
        <v>13</v>
      </c>
      <c r="E5" s="382" t="s">
        <v>98</v>
      </c>
      <c r="F5" s="173"/>
      <c r="G5" s="362" t="s">
        <v>255</v>
      </c>
      <c r="H5" s="363">
        <f t="shared" ref="H5:I5" si="0">SUM(H3:H4)</f>
        <v>3</v>
      </c>
      <c r="I5" s="364">
        <f t="shared" si="0"/>
        <v>2</v>
      </c>
      <c r="J5" s="365">
        <v>0</v>
      </c>
      <c r="K5" s="365">
        <v>0</v>
      </c>
      <c r="L5" s="365">
        <v>0</v>
      </c>
      <c r="M5" s="365">
        <v>0</v>
      </c>
      <c r="N5" s="365">
        <v>0</v>
      </c>
      <c r="O5" s="365">
        <v>0</v>
      </c>
      <c r="P5" s="365">
        <v>0</v>
      </c>
      <c r="Q5" s="366">
        <v>0</v>
      </c>
    </row>
    <row r="6" spans="1:17" ht="17.399999999999999" thickBot="1" x14ac:dyDescent="0.35">
      <c r="A6" s="379" t="s">
        <v>238</v>
      </c>
      <c r="B6" s="73">
        <v>1</v>
      </c>
      <c r="C6" s="73">
        <v>0</v>
      </c>
      <c r="D6" s="166">
        <f>10+B6+C6+'Personal File'!$C$16</f>
        <v>14</v>
      </c>
      <c r="E6" s="380" t="s">
        <v>98</v>
      </c>
      <c r="F6" s="173"/>
      <c r="G6" s="367" t="s">
        <v>256</v>
      </c>
      <c r="H6" s="368">
        <f>10+LEFT(H2,1)+'Personal File'!$C$16</f>
        <v>13</v>
      </c>
      <c r="I6" s="369">
        <f>10+LEFT(I2,1)+'Personal File'!$C$16</f>
        <v>14</v>
      </c>
      <c r="J6" s="370">
        <f>10+LEFT(J2,1)+'Personal File'!$C$16</f>
        <v>15</v>
      </c>
      <c r="K6" s="370">
        <f>10+LEFT(K2,1)+'Personal File'!$C$16</f>
        <v>16</v>
      </c>
      <c r="L6" s="370">
        <f>10+LEFT(L2,1)+'Personal File'!$C$16</f>
        <v>17</v>
      </c>
      <c r="M6" s="370">
        <f>10+LEFT(M2,1)+'Personal File'!$C$16</f>
        <v>18</v>
      </c>
      <c r="N6" s="370">
        <f>10+LEFT(N2,1)+'Personal File'!$C$16</f>
        <v>19</v>
      </c>
      <c r="O6" s="370">
        <f>10+LEFT(O2,1)+'Personal File'!$C$16</f>
        <v>20</v>
      </c>
      <c r="P6" s="370">
        <f>10+LEFT(P2,1)+'Personal File'!$C$16</f>
        <v>21</v>
      </c>
      <c r="Q6" s="371">
        <f>10+LEFT(Q2,1)+'Personal File'!$C$16</f>
        <v>22</v>
      </c>
    </row>
    <row r="7" spans="1:17" ht="18" thickTop="1" thickBot="1" x14ac:dyDescent="0.35">
      <c r="A7" s="383" t="s">
        <v>239</v>
      </c>
      <c r="B7" s="384">
        <v>1</v>
      </c>
      <c r="C7" s="384">
        <v>0</v>
      </c>
      <c r="D7" s="219">
        <f>10+B7+C7+'Personal File'!$C$16</f>
        <v>14</v>
      </c>
      <c r="E7" s="385" t="s">
        <v>98</v>
      </c>
      <c r="F7" s="173"/>
      <c r="G7" s="122"/>
      <c r="H7" s="122"/>
      <c r="I7" s="122" t="s">
        <v>375</v>
      </c>
      <c r="J7" s="39">
        <f>'Personal File'!$E$4</f>
        <v>1</v>
      </c>
      <c r="K7" s="122"/>
      <c r="L7" s="122"/>
      <c r="M7" s="122"/>
      <c r="N7" s="122"/>
      <c r="O7" s="122"/>
      <c r="P7" s="122"/>
      <c r="Q7" s="122"/>
    </row>
    <row r="8" spans="1:17" ht="17.399999999999999" thickTop="1" x14ac:dyDescent="0.3">
      <c r="G8" s="122"/>
      <c r="H8" s="122"/>
      <c r="I8" s="122" t="s">
        <v>376</v>
      </c>
      <c r="J8" s="39">
        <f>'Personal File'!$E$5</f>
        <v>8</v>
      </c>
    </row>
    <row r="9" spans="1:17" ht="17.399999999999999" thickBot="1" x14ac:dyDescent="0.35"/>
    <row r="10" spans="1:17" ht="24" thickTop="1" thickBot="1" x14ac:dyDescent="0.35">
      <c r="A10" s="438" t="s">
        <v>132</v>
      </c>
      <c r="B10" s="373"/>
      <c r="C10" s="373"/>
      <c r="D10" s="373"/>
      <c r="E10" s="374"/>
      <c r="G10" s="439" t="s">
        <v>279</v>
      </c>
      <c r="H10" s="437"/>
      <c r="I10" s="437"/>
      <c r="J10" s="437"/>
      <c r="K10" s="437"/>
      <c r="L10" s="437"/>
      <c r="O10" s="440" t="s">
        <v>281</v>
      </c>
      <c r="P10" s="134">
        <v>3</v>
      </c>
    </row>
    <row r="11" spans="1:17" ht="18" thickTop="1" thickBot="1" x14ac:dyDescent="0.35">
      <c r="A11" s="375" t="s">
        <v>75</v>
      </c>
      <c r="B11" s="225" t="s">
        <v>77</v>
      </c>
      <c r="C11" s="377" t="s">
        <v>125</v>
      </c>
      <c r="D11" s="377" t="s">
        <v>78</v>
      </c>
      <c r="E11" s="232" t="s">
        <v>79</v>
      </c>
      <c r="G11" s="420" t="s">
        <v>280</v>
      </c>
      <c r="H11" s="421" t="s">
        <v>243</v>
      </c>
      <c r="I11" s="421" t="s">
        <v>244</v>
      </c>
      <c r="J11" s="422" t="s">
        <v>245</v>
      </c>
      <c r="K11" s="422" t="s">
        <v>246</v>
      </c>
      <c r="L11" s="423" t="s">
        <v>247</v>
      </c>
    </row>
    <row r="12" spans="1:17" x14ac:dyDescent="0.3">
      <c r="A12" s="220" t="s">
        <v>81</v>
      </c>
      <c r="B12" s="226">
        <v>0</v>
      </c>
      <c r="C12" s="221" t="s">
        <v>126</v>
      </c>
      <c r="D12" s="221">
        <f>10+B12+C12+'Personal File'!$C$16</f>
        <v>14</v>
      </c>
      <c r="E12" s="229" t="s">
        <v>98</v>
      </c>
      <c r="G12" s="590">
        <v>1</v>
      </c>
      <c r="H12" s="591">
        <v>4</v>
      </c>
      <c r="I12" s="591">
        <v>2</v>
      </c>
      <c r="J12" s="424"/>
      <c r="K12" s="424"/>
      <c r="L12" s="425"/>
    </row>
    <row r="13" spans="1:17" x14ac:dyDescent="0.3">
      <c r="A13" s="222" t="s">
        <v>127</v>
      </c>
      <c r="B13" s="227">
        <v>0</v>
      </c>
      <c r="C13" s="166" t="s">
        <v>126</v>
      </c>
      <c r="D13" s="166">
        <f>10+B13+C13+'Personal File'!$C$16</f>
        <v>14</v>
      </c>
      <c r="E13" s="230" t="s">
        <v>98</v>
      </c>
      <c r="G13" s="426">
        <v>2</v>
      </c>
      <c r="H13" s="427">
        <v>5</v>
      </c>
      <c r="I13" s="427">
        <v>2</v>
      </c>
      <c r="J13" s="428"/>
      <c r="K13" s="428"/>
      <c r="L13" s="429"/>
    </row>
    <row r="14" spans="1:17" x14ac:dyDescent="0.3">
      <c r="A14" s="222" t="s">
        <v>128</v>
      </c>
      <c r="B14" s="227">
        <v>0</v>
      </c>
      <c r="C14" s="166" t="s">
        <v>53</v>
      </c>
      <c r="D14" s="166">
        <f>10+B14+C14+'Personal File'!$C$16</f>
        <v>13</v>
      </c>
      <c r="E14" s="230" t="s">
        <v>98</v>
      </c>
      <c r="G14" s="426">
        <v>3</v>
      </c>
      <c r="H14" s="427">
        <v>5</v>
      </c>
      <c r="I14" s="427">
        <v>3</v>
      </c>
      <c r="J14" s="427">
        <v>1</v>
      </c>
      <c r="K14" s="428"/>
      <c r="L14" s="429"/>
    </row>
    <row r="15" spans="1:17" ht="17.399999999999999" thickBot="1" x14ac:dyDescent="0.35">
      <c r="A15" s="223" t="s">
        <v>129</v>
      </c>
      <c r="B15" s="228">
        <v>1</v>
      </c>
      <c r="C15" s="219" t="s">
        <v>53</v>
      </c>
      <c r="D15" s="219">
        <f>10+B15+C15+'Personal File'!$C$16</f>
        <v>14</v>
      </c>
      <c r="E15" s="231" t="s">
        <v>98</v>
      </c>
      <c r="G15" s="426">
        <v>4</v>
      </c>
      <c r="H15" s="427">
        <v>6</v>
      </c>
      <c r="I15" s="427">
        <v>3</v>
      </c>
      <c r="J15" s="427">
        <v>2</v>
      </c>
      <c r="K15" s="428"/>
      <c r="L15" s="429"/>
    </row>
    <row r="16" spans="1:17" ht="17.399999999999999" thickTop="1" x14ac:dyDescent="0.3">
      <c r="G16" s="426">
        <v>5</v>
      </c>
      <c r="H16" s="427">
        <v>6</v>
      </c>
      <c r="I16" s="427">
        <v>4</v>
      </c>
      <c r="J16" s="427">
        <v>2</v>
      </c>
      <c r="K16" s="427">
        <v>1</v>
      </c>
      <c r="L16" s="429"/>
    </row>
    <row r="17" spans="7:12" x14ac:dyDescent="0.3">
      <c r="G17" s="426">
        <v>6</v>
      </c>
      <c r="H17" s="427">
        <v>7</v>
      </c>
      <c r="I17" s="427">
        <v>4</v>
      </c>
      <c r="J17" s="427">
        <v>3</v>
      </c>
      <c r="K17" s="427">
        <v>2</v>
      </c>
      <c r="L17" s="429"/>
    </row>
    <row r="18" spans="7:12" x14ac:dyDescent="0.3">
      <c r="G18" s="426">
        <v>7</v>
      </c>
      <c r="H18" s="427">
        <v>7</v>
      </c>
      <c r="I18" s="427">
        <v>5</v>
      </c>
      <c r="J18" s="430">
        <v>3</v>
      </c>
      <c r="K18" s="430">
        <v>2</v>
      </c>
      <c r="L18" s="436">
        <v>1</v>
      </c>
    </row>
    <row r="19" spans="7:12" x14ac:dyDescent="0.3">
      <c r="G19" s="685">
        <v>8</v>
      </c>
      <c r="H19" s="686">
        <v>8</v>
      </c>
      <c r="I19" s="686">
        <v>5</v>
      </c>
      <c r="J19" s="687">
        <v>4</v>
      </c>
      <c r="K19" s="687">
        <v>3</v>
      </c>
      <c r="L19" s="688">
        <v>2</v>
      </c>
    </row>
    <row r="20" spans="7:12" x14ac:dyDescent="0.3">
      <c r="G20" s="426">
        <v>9</v>
      </c>
      <c r="H20" s="427">
        <v>8</v>
      </c>
      <c r="I20" s="427">
        <v>5</v>
      </c>
      <c r="J20" s="430">
        <v>4</v>
      </c>
      <c r="K20" s="430">
        <v>3</v>
      </c>
      <c r="L20" s="436">
        <v>2</v>
      </c>
    </row>
    <row r="21" spans="7:12" ht="17.399999999999999" thickBot="1" x14ac:dyDescent="0.35">
      <c r="G21" s="431">
        <v>10</v>
      </c>
      <c r="H21" s="432">
        <v>9</v>
      </c>
      <c r="I21" s="433">
        <v>5</v>
      </c>
      <c r="J21" s="434">
        <v>5</v>
      </c>
      <c r="K21" s="434">
        <v>4</v>
      </c>
      <c r="L21" s="435">
        <v>3</v>
      </c>
    </row>
    <row r="22" spans="7:12" ht="17.399999999999999" thickTop="1" x14ac:dyDescent="0.3"/>
  </sheetData>
  <conditionalFormatting sqref="E3:E7">
    <cfRule type="cellIs" dxfId="7" priority="225" operator="equal">
      <formula>"þ"</formula>
    </cfRule>
  </conditionalFormatting>
  <conditionalFormatting sqref="E12:E15">
    <cfRule type="cellIs" dxfId="6" priority="2"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1"/>
  <sheetViews>
    <sheetView showGridLines="0" workbookViewId="0"/>
  </sheetViews>
  <sheetFormatPr defaultColWidth="10.59765625" defaultRowHeight="16.8" x14ac:dyDescent="0.3"/>
  <cols>
    <col min="1" max="1" width="38.3984375" style="65" bestFit="1" customWidth="1"/>
    <col min="2" max="2" width="3" style="63" customWidth="1"/>
    <col min="3" max="3" width="28.59765625" style="64" bestFit="1" customWidth="1"/>
    <col min="4" max="4" width="3" style="64" customWidth="1"/>
    <col min="5" max="5" width="24" style="64" bestFit="1" customWidth="1"/>
    <col min="6" max="6" width="4.296875" style="64" bestFit="1" customWidth="1"/>
    <col min="7" max="7" width="3.296875" style="64" bestFit="1" customWidth="1"/>
    <col min="8" max="8" width="4.5" style="64" bestFit="1" customWidth="1"/>
    <col min="9" max="16384" width="10.59765625" style="64"/>
  </cols>
  <sheetData>
    <row r="1" spans="1:8" ht="24" thickTop="1" thickBot="1" x14ac:dyDescent="0.45">
      <c r="A1" s="191" t="s">
        <v>72</v>
      </c>
      <c r="C1" s="278" t="s">
        <v>111</v>
      </c>
      <c r="E1" s="677" t="s">
        <v>408</v>
      </c>
      <c r="F1" s="678" t="s">
        <v>404</v>
      </c>
      <c r="G1" s="678" t="s">
        <v>405</v>
      </c>
      <c r="H1" s="678" t="s">
        <v>409</v>
      </c>
    </row>
    <row r="2" spans="1:8" x14ac:dyDescent="0.3">
      <c r="A2" s="190" t="s">
        <v>115</v>
      </c>
      <c r="C2" s="254" t="s">
        <v>269</v>
      </c>
      <c r="E2" s="676" t="s">
        <v>397</v>
      </c>
    </row>
    <row r="3" spans="1:8" x14ac:dyDescent="0.3">
      <c r="A3" s="454" t="s">
        <v>369</v>
      </c>
      <c r="C3" s="398" t="str">
        <f>CONCATENATE("Trap Sense +",1)</f>
        <v>Trap Sense +1</v>
      </c>
      <c r="E3" s="676" t="s">
        <v>398</v>
      </c>
    </row>
    <row r="4" spans="1:8" x14ac:dyDescent="0.3">
      <c r="A4" s="454" t="s">
        <v>177</v>
      </c>
      <c r="C4" s="302" t="s">
        <v>282</v>
      </c>
      <c r="E4" s="676" t="s">
        <v>399</v>
      </c>
      <c r="F4" s="64">
        <v>1</v>
      </c>
    </row>
    <row r="5" spans="1:8" x14ac:dyDescent="0.3">
      <c r="A5" s="454" t="s">
        <v>288</v>
      </c>
      <c r="C5" s="302" t="s">
        <v>173</v>
      </c>
      <c r="E5" s="676" t="s">
        <v>400</v>
      </c>
      <c r="G5" s="64">
        <v>1</v>
      </c>
    </row>
    <row r="6" spans="1:8" ht="17.399999999999999" thickBot="1" x14ac:dyDescent="0.35">
      <c r="A6" s="224" t="s">
        <v>379</v>
      </c>
      <c r="C6" s="255" t="s">
        <v>112</v>
      </c>
      <c r="D6" s="251"/>
      <c r="E6" s="676" t="s">
        <v>401</v>
      </c>
    </row>
    <row r="7" spans="1:8" ht="18" thickTop="1" thickBot="1" x14ac:dyDescent="0.35">
      <c r="E7" s="676" t="s">
        <v>399</v>
      </c>
      <c r="F7" s="64">
        <v>2</v>
      </c>
    </row>
    <row r="8" spans="1:8" ht="24" thickTop="1" thickBot="1" x14ac:dyDescent="0.35">
      <c r="A8" s="192" t="s">
        <v>70</v>
      </c>
      <c r="C8" s="344" t="s">
        <v>178</v>
      </c>
      <c r="E8" s="676" t="s">
        <v>402</v>
      </c>
      <c r="H8" s="64">
        <v>1</v>
      </c>
    </row>
    <row r="9" spans="1:8" x14ac:dyDescent="0.3">
      <c r="A9" s="66" t="s">
        <v>406</v>
      </c>
      <c r="C9" s="190" t="s">
        <v>270</v>
      </c>
      <c r="E9" s="676" t="s">
        <v>403</v>
      </c>
    </row>
    <row r="10" spans="1:8" ht="17.399999999999999" thickBot="1" x14ac:dyDescent="0.35">
      <c r="A10" s="256" t="s">
        <v>407</v>
      </c>
      <c r="C10" s="305" t="s">
        <v>179</v>
      </c>
      <c r="E10" s="676" t="s">
        <v>400</v>
      </c>
      <c r="G10" s="64">
        <v>2</v>
      </c>
    </row>
    <row r="11" spans="1:8" ht="18" thickTop="1" thickBot="1" x14ac:dyDescent="0.35">
      <c r="A11" s="70" t="s">
        <v>96</v>
      </c>
      <c r="E11" s="676" t="s">
        <v>399</v>
      </c>
      <c r="F11" s="64">
        <v>3</v>
      </c>
    </row>
    <row r="12" spans="1:8" ht="18" thickTop="1" thickBot="1" x14ac:dyDescent="0.35">
      <c r="E12" s="676" t="s">
        <v>402</v>
      </c>
      <c r="H12" s="64">
        <v>2</v>
      </c>
    </row>
    <row r="13" spans="1:8" ht="24" thickTop="1" thickBot="1" x14ac:dyDescent="0.35">
      <c r="A13" s="194" t="s">
        <v>59</v>
      </c>
      <c r="C13" s="455" t="s">
        <v>289</v>
      </c>
      <c r="E13" s="676" t="s">
        <v>400</v>
      </c>
      <c r="G13" s="64">
        <v>3</v>
      </c>
    </row>
    <row r="14" spans="1:8" x14ac:dyDescent="0.3">
      <c r="A14" s="67" t="s">
        <v>114</v>
      </c>
      <c r="C14" s="650" t="s">
        <v>423</v>
      </c>
      <c r="E14" s="676" t="s">
        <v>401</v>
      </c>
    </row>
    <row r="15" spans="1:8" ht="17.399999999999999" thickBot="1" x14ac:dyDescent="0.35">
      <c r="A15" s="69" t="s">
        <v>113</v>
      </c>
      <c r="C15" s="456" t="s">
        <v>424</v>
      </c>
      <c r="E15" s="676" t="s">
        <v>399</v>
      </c>
      <c r="F15" s="64">
        <v>4</v>
      </c>
    </row>
    <row r="16" spans="1:8" ht="18" thickTop="1" thickBot="1" x14ac:dyDescent="0.35">
      <c r="C16" s="651" t="s">
        <v>425</v>
      </c>
    </row>
    <row r="17" spans="1:3" ht="24" thickTop="1" thickBot="1" x14ac:dyDescent="0.35">
      <c r="A17" s="193" t="s">
        <v>82</v>
      </c>
      <c r="C17" s="651" t="s">
        <v>357</v>
      </c>
    </row>
    <row r="18" spans="1:3" ht="17.399999999999999" thickBot="1" x14ac:dyDescent="0.35">
      <c r="A18" s="68" t="s">
        <v>88</v>
      </c>
      <c r="C18" s="652" t="s">
        <v>382</v>
      </c>
    </row>
    <row r="19" spans="1:3" ht="17.399999999999999" thickTop="1" x14ac:dyDescent="0.3">
      <c r="A19" s="71" t="s">
        <v>83</v>
      </c>
    </row>
    <row r="20" spans="1:3" ht="17.399999999999999" thickBot="1" x14ac:dyDescent="0.35">
      <c r="A20" s="72" t="s">
        <v>84</v>
      </c>
    </row>
    <row r="21" spans="1:3"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1"/>
  <sheetViews>
    <sheetView showGridLines="0" workbookViewId="0"/>
  </sheetViews>
  <sheetFormatPr defaultColWidth="13" defaultRowHeight="15.6" x14ac:dyDescent="0.3"/>
  <cols>
    <col min="1" max="1" width="24.19921875" style="16" bestFit="1" customWidth="1"/>
    <col min="2" max="2" width="12.3984375" style="16" bestFit="1" customWidth="1"/>
    <col min="3" max="3" width="4.296875" style="16" bestFit="1" customWidth="1"/>
    <col min="4" max="4" width="6.296875" style="16" bestFit="1" customWidth="1"/>
    <col min="5" max="5" width="8.09765625" style="16" bestFit="1" customWidth="1"/>
    <col min="6" max="6" width="12.19921875" style="16" bestFit="1" customWidth="1"/>
    <col min="7" max="7" width="4.69921875" style="16" bestFit="1" customWidth="1"/>
    <col min="8" max="8" width="5.69921875" style="16" bestFit="1" customWidth="1"/>
    <col min="9" max="9" width="5.59765625" style="16" bestFit="1" customWidth="1"/>
    <col min="10" max="10" width="6.296875" style="16" bestFit="1" customWidth="1"/>
    <col min="11" max="11" width="39.5" style="16" customWidth="1"/>
    <col min="12" max="12" width="3.3984375" style="11" customWidth="1"/>
    <col min="13" max="13" width="5.796875" style="180" bestFit="1" customWidth="1"/>
    <col min="14" max="14" width="7.69921875" style="16" bestFit="1" customWidth="1"/>
    <col min="15" max="16384" width="13" style="11"/>
  </cols>
  <sheetData>
    <row r="1" spans="1:13" ht="23.4" thickBot="1" x14ac:dyDescent="0.35">
      <c r="A1" s="9" t="s">
        <v>14</v>
      </c>
      <c r="B1" s="9"/>
      <c r="C1" s="9"/>
      <c r="D1" s="9"/>
      <c r="E1" s="9"/>
      <c r="F1" s="9"/>
      <c r="G1" s="9"/>
      <c r="H1" s="9"/>
      <c r="I1" s="9"/>
      <c r="J1" s="9"/>
      <c r="K1" s="9"/>
    </row>
    <row r="2" spans="1:13" ht="16.8" thickTop="1" thickBot="1" x14ac:dyDescent="0.35">
      <c r="A2" s="34" t="s">
        <v>0</v>
      </c>
      <c r="B2" s="35" t="s">
        <v>1</v>
      </c>
      <c r="C2" s="35" t="s">
        <v>16</v>
      </c>
      <c r="D2" s="35" t="s">
        <v>17</v>
      </c>
      <c r="E2" s="36" t="s">
        <v>55</v>
      </c>
      <c r="F2" s="35" t="s">
        <v>15</v>
      </c>
      <c r="G2" s="35" t="s">
        <v>18</v>
      </c>
      <c r="H2" s="37" t="s">
        <v>71</v>
      </c>
      <c r="I2" s="441" t="s">
        <v>74</v>
      </c>
      <c r="J2" s="37" t="s">
        <v>65</v>
      </c>
      <c r="K2" s="38" t="s">
        <v>63</v>
      </c>
      <c r="M2" s="181" t="s">
        <v>93</v>
      </c>
    </row>
    <row r="3" spans="1:13" x14ac:dyDescent="0.3">
      <c r="A3" s="616" t="s">
        <v>380</v>
      </c>
      <c r="B3" s="170" t="s">
        <v>86</v>
      </c>
      <c r="C3" s="617">
        <f>'Personal File'!$C$13</f>
        <v>-2</v>
      </c>
      <c r="D3" s="617">
        <v>0</v>
      </c>
      <c r="E3" s="621" t="s">
        <v>116</v>
      </c>
      <c r="F3" s="618" t="s">
        <v>117</v>
      </c>
      <c r="G3" s="619">
        <v>0.5</v>
      </c>
      <c r="H3" s="178">
        <f>'Personal File'!$B$11+'Personal File'!$C$13+D3</f>
        <v>7</v>
      </c>
      <c r="I3" s="442">
        <f t="shared" ref="I3:I6" ca="1" si="0">RANDBETWEEN(1,20)</f>
        <v>3</v>
      </c>
      <c r="J3" s="179">
        <f t="shared" ref="J3" ca="1" si="1">I3+H3</f>
        <v>10</v>
      </c>
      <c r="K3" s="620" t="s">
        <v>269</v>
      </c>
      <c r="M3" s="182">
        <v>2</v>
      </c>
    </row>
    <row r="4" spans="1:13" x14ac:dyDescent="0.3">
      <c r="A4" s="622" t="s">
        <v>380</v>
      </c>
      <c r="B4" s="623" t="s">
        <v>86</v>
      </c>
      <c r="C4" s="624">
        <f>'Personal File'!$C$13</f>
        <v>-2</v>
      </c>
      <c r="D4" s="624">
        <v>0</v>
      </c>
      <c r="E4" s="625" t="s">
        <v>116</v>
      </c>
      <c r="F4" s="626" t="s">
        <v>117</v>
      </c>
      <c r="G4" s="627" t="s">
        <v>76</v>
      </c>
      <c r="H4" s="628">
        <f>'Personal File'!$B$11+'Personal File'!$C$13+D4-5</f>
        <v>2</v>
      </c>
      <c r="I4" s="629">
        <f t="shared" ca="1" si="0"/>
        <v>9</v>
      </c>
      <c r="J4" s="630">
        <f t="shared" ref="J4:J6" ca="1" si="2">I4+H4</f>
        <v>11</v>
      </c>
      <c r="K4" s="631" t="s">
        <v>269</v>
      </c>
      <c r="M4" s="647" t="s">
        <v>76</v>
      </c>
    </row>
    <row r="5" spans="1:13" x14ac:dyDescent="0.3">
      <c r="A5" s="616" t="s">
        <v>353</v>
      </c>
      <c r="B5" s="170" t="s">
        <v>86</v>
      </c>
      <c r="C5" s="617">
        <f>'Personal File'!$C$13</f>
        <v>-2</v>
      </c>
      <c r="D5" s="617">
        <v>0</v>
      </c>
      <c r="E5" s="621" t="s">
        <v>116</v>
      </c>
      <c r="F5" s="618" t="s">
        <v>117</v>
      </c>
      <c r="G5" s="619">
        <v>0.5</v>
      </c>
      <c r="H5" s="178">
        <f>'Personal File'!$B$11+'Personal File'!$C$13+D5</f>
        <v>7</v>
      </c>
      <c r="I5" s="442">
        <f t="shared" ca="1" si="0"/>
        <v>8</v>
      </c>
      <c r="J5" s="179">
        <f t="shared" ca="1" si="2"/>
        <v>15</v>
      </c>
      <c r="K5" s="620" t="s">
        <v>269</v>
      </c>
      <c r="M5" s="182">
        <v>22</v>
      </c>
    </row>
    <row r="6" spans="1:13" x14ac:dyDescent="0.3">
      <c r="A6" s="622" t="s">
        <v>380</v>
      </c>
      <c r="B6" s="623" t="s">
        <v>86</v>
      </c>
      <c r="C6" s="624">
        <f>'Personal File'!$C$13</f>
        <v>-2</v>
      </c>
      <c r="D6" s="624">
        <v>0</v>
      </c>
      <c r="E6" s="625" t="s">
        <v>116</v>
      </c>
      <c r="F6" s="626" t="s">
        <v>117</v>
      </c>
      <c r="G6" s="627" t="s">
        <v>76</v>
      </c>
      <c r="H6" s="628">
        <f>'Personal File'!$B$11+'Personal File'!$C$13+D6-5</f>
        <v>2</v>
      </c>
      <c r="I6" s="629">
        <f t="shared" ca="1" si="0"/>
        <v>11</v>
      </c>
      <c r="J6" s="630">
        <f t="shared" ca="1" si="2"/>
        <v>13</v>
      </c>
      <c r="K6" s="631" t="s">
        <v>269</v>
      </c>
      <c r="M6" s="647" t="s">
        <v>76</v>
      </c>
    </row>
    <row r="7" spans="1:13" ht="16.2" thickBot="1" x14ac:dyDescent="0.35">
      <c r="A7" s="632" t="s">
        <v>91</v>
      </c>
      <c r="B7" s="633" t="s">
        <v>86</v>
      </c>
      <c r="C7" s="634">
        <f>'Personal File'!$C$13</f>
        <v>-2</v>
      </c>
      <c r="D7" s="634">
        <v>0</v>
      </c>
      <c r="E7" s="635" t="s">
        <v>92</v>
      </c>
      <c r="F7" s="636" t="s">
        <v>85</v>
      </c>
      <c r="G7" s="637">
        <v>0</v>
      </c>
      <c r="H7" s="638">
        <f>'Personal File'!$B$11+'Personal File'!$C$13+D7</f>
        <v>7</v>
      </c>
      <c r="I7" s="639">
        <f t="shared" ref="I7" ca="1" si="3">RANDBETWEEN(1,20)</f>
        <v>12</v>
      </c>
      <c r="J7" s="640">
        <f t="shared" ref="J7" ca="1" si="4">I7+H7</f>
        <v>19</v>
      </c>
      <c r="K7" s="641" t="s">
        <v>83</v>
      </c>
      <c r="M7" s="648" t="s">
        <v>76</v>
      </c>
    </row>
    <row r="8" spans="1:13" ht="6" customHeight="1" thickTop="1" thickBot="1" x14ac:dyDescent="0.35">
      <c r="I8" s="39"/>
      <c r="J8" s="39"/>
      <c r="M8" s="184"/>
    </row>
    <row r="9" spans="1:13" ht="16.8" thickTop="1" thickBot="1" x14ac:dyDescent="0.35">
      <c r="A9" s="34" t="s">
        <v>3</v>
      </c>
      <c r="B9" s="35" t="s">
        <v>4</v>
      </c>
      <c r="C9" s="35" t="s">
        <v>16</v>
      </c>
      <c r="D9" s="35" t="s">
        <v>17</v>
      </c>
      <c r="E9" s="36" t="s">
        <v>55</v>
      </c>
      <c r="F9" s="35" t="s">
        <v>5</v>
      </c>
      <c r="G9" s="35" t="s">
        <v>18</v>
      </c>
      <c r="H9" s="37" t="s">
        <v>71</v>
      </c>
      <c r="I9" s="441" t="s">
        <v>74</v>
      </c>
      <c r="J9" s="37" t="s">
        <v>65</v>
      </c>
      <c r="K9" s="38" t="s">
        <v>63</v>
      </c>
      <c r="M9" s="181" t="s">
        <v>93</v>
      </c>
    </row>
    <row r="10" spans="1:13" x14ac:dyDescent="0.3">
      <c r="A10" s="388" t="s">
        <v>99</v>
      </c>
      <c r="B10" s="389" t="s">
        <v>76</v>
      </c>
      <c r="C10" s="390" t="s">
        <v>76</v>
      </c>
      <c r="D10" s="390">
        <v>0</v>
      </c>
      <c r="E10" s="391" t="s">
        <v>76</v>
      </c>
      <c r="F10" s="392" t="s">
        <v>76</v>
      </c>
      <c r="G10" s="393" t="s">
        <v>76</v>
      </c>
      <c r="H10" s="394">
        <f>'Personal File'!$B$11+'Personal File'!$C$14+D10</f>
        <v>11</v>
      </c>
      <c r="I10" s="443">
        <f t="shared" ref="I10:I20" ca="1" si="5">RANDBETWEEN(1,20)</f>
        <v>15</v>
      </c>
      <c r="J10" s="395">
        <f t="shared" ref="J10" ca="1" si="6">I10+H10</f>
        <v>26</v>
      </c>
      <c r="K10" s="396" t="s">
        <v>83</v>
      </c>
      <c r="L10" s="39"/>
      <c r="M10" s="397" t="s">
        <v>76</v>
      </c>
    </row>
    <row r="11" spans="1:13" x14ac:dyDescent="0.3">
      <c r="A11" s="708" t="s">
        <v>426</v>
      </c>
      <c r="B11" s="691"/>
      <c r="C11" s="691"/>
      <c r="D11" s="691"/>
      <c r="E11" s="692"/>
      <c r="F11" s="692"/>
      <c r="G11" s="694"/>
      <c r="H11" s="695"/>
      <c r="I11" s="696"/>
      <c r="J11" s="695"/>
      <c r="K11" s="697"/>
      <c r="L11" s="39"/>
      <c r="M11" s="698" t="s">
        <v>76</v>
      </c>
    </row>
    <row r="12" spans="1:13" x14ac:dyDescent="0.3">
      <c r="A12" s="689" t="s">
        <v>427</v>
      </c>
      <c r="B12" s="690" t="str">
        <f>CONCATENATE(ROUNDDOWN(Spells!J8/2,0),"d4 Sonic")</f>
        <v>4d4 Sonic</v>
      </c>
      <c r="C12" s="691" t="s">
        <v>76</v>
      </c>
      <c r="D12" s="691" t="s">
        <v>76</v>
      </c>
      <c r="E12" s="692" t="s">
        <v>76</v>
      </c>
      <c r="F12" s="693" t="s">
        <v>191</v>
      </c>
      <c r="G12" s="694" t="s">
        <v>76</v>
      </c>
      <c r="H12" s="695" t="s">
        <v>76</v>
      </c>
      <c r="I12" s="696" t="s">
        <v>76</v>
      </c>
      <c r="J12" s="695" t="s">
        <v>76</v>
      </c>
      <c r="K12" s="697" t="s">
        <v>428</v>
      </c>
      <c r="L12" s="39"/>
      <c r="M12" s="698" t="s">
        <v>76</v>
      </c>
    </row>
    <row r="13" spans="1:13" x14ac:dyDescent="0.3">
      <c r="A13" s="689" t="s">
        <v>430</v>
      </c>
      <c r="B13" s="690" t="str">
        <f>CONCATENATE(Spells!J8,"d6 Electric")</f>
        <v>8d6 Electric</v>
      </c>
      <c r="C13" s="691" t="s">
        <v>76</v>
      </c>
      <c r="D13" s="691" t="s">
        <v>76</v>
      </c>
      <c r="E13" s="692" t="s">
        <v>76</v>
      </c>
      <c r="F13" s="693" t="s">
        <v>384</v>
      </c>
      <c r="G13" s="694" t="s">
        <v>76</v>
      </c>
      <c r="H13" s="695" t="s">
        <v>76</v>
      </c>
      <c r="I13" s="696" t="s">
        <v>76</v>
      </c>
      <c r="J13" s="695" t="s">
        <v>76</v>
      </c>
      <c r="K13" s="697" t="s">
        <v>429</v>
      </c>
      <c r="L13" s="39"/>
      <c r="M13" s="698" t="s">
        <v>76</v>
      </c>
    </row>
    <row r="14" spans="1:13" x14ac:dyDescent="0.3">
      <c r="A14" s="689" t="s">
        <v>431</v>
      </c>
      <c r="B14" s="690" t="str">
        <f>CONCATENATE(Spells!J8,"d6 Fire")</f>
        <v>8d6 Fire</v>
      </c>
      <c r="C14" s="691" t="s">
        <v>76</v>
      </c>
      <c r="D14" s="691" t="s">
        <v>76</v>
      </c>
      <c r="E14" s="692" t="s">
        <v>76</v>
      </c>
      <c r="F14" s="693" t="s">
        <v>433</v>
      </c>
      <c r="G14" s="694" t="s">
        <v>76</v>
      </c>
      <c r="H14" s="695" t="s">
        <v>76</v>
      </c>
      <c r="I14" s="696" t="s">
        <v>76</v>
      </c>
      <c r="J14" s="695" t="s">
        <v>76</v>
      </c>
      <c r="K14" s="697" t="s">
        <v>434</v>
      </c>
      <c r="L14" s="39"/>
      <c r="M14" s="698" t="s">
        <v>76</v>
      </c>
    </row>
    <row r="15" spans="1:13" x14ac:dyDescent="0.3">
      <c r="A15" s="699" t="s">
        <v>432</v>
      </c>
      <c r="B15" s="700" t="s">
        <v>435</v>
      </c>
      <c r="C15" s="701" t="s">
        <v>76</v>
      </c>
      <c r="D15" s="701" t="s">
        <v>76</v>
      </c>
      <c r="E15" s="702" t="s">
        <v>76</v>
      </c>
      <c r="F15" s="703" t="s">
        <v>433</v>
      </c>
      <c r="G15" s="704" t="s">
        <v>76</v>
      </c>
      <c r="H15" s="705" t="s">
        <v>76</v>
      </c>
      <c r="I15" s="706" t="s">
        <v>76</v>
      </c>
      <c r="J15" s="705" t="s">
        <v>76</v>
      </c>
      <c r="K15" s="707" t="s">
        <v>434</v>
      </c>
      <c r="L15" s="39"/>
      <c r="M15" s="698" t="s">
        <v>76</v>
      </c>
    </row>
    <row r="16" spans="1:13" x14ac:dyDescent="0.3">
      <c r="A16" s="444" t="s">
        <v>393</v>
      </c>
      <c r="B16" s="445" t="s">
        <v>76</v>
      </c>
      <c r="C16" s="446" t="s">
        <v>76</v>
      </c>
      <c r="D16" s="446">
        <v>0</v>
      </c>
      <c r="E16" s="447" t="s">
        <v>76</v>
      </c>
      <c r="F16" s="448" t="s">
        <v>76</v>
      </c>
      <c r="G16" s="449" t="s">
        <v>76</v>
      </c>
      <c r="H16" s="450" t="str">
        <f>CONCATENATE("+",Spells!$J$7+D16)</f>
        <v>+1</v>
      </c>
      <c r="I16" s="646">
        <f t="shared" ca="1" si="5"/>
        <v>18</v>
      </c>
      <c r="J16" s="450">
        <f ca="1">I16+H16</f>
        <v>19</v>
      </c>
      <c r="K16" s="451"/>
      <c r="L16" s="39"/>
      <c r="M16" s="452" t="s">
        <v>76</v>
      </c>
    </row>
    <row r="17" spans="1:14" x14ac:dyDescent="0.3">
      <c r="A17" s="444" t="s">
        <v>394</v>
      </c>
      <c r="B17" s="445" t="s">
        <v>76</v>
      </c>
      <c r="C17" s="446" t="s">
        <v>76</v>
      </c>
      <c r="D17" s="446">
        <v>0</v>
      </c>
      <c r="E17" s="447" t="s">
        <v>76</v>
      </c>
      <c r="F17" s="448" t="s">
        <v>76</v>
      </c>
      <c r="G17" s="449" t="s">
        <v>76</v>
      </c>
      <c r="H17" s="450" t="str">
        <f>CONCATENATE("+",Spells!$J$8+D17)</f>
        <v>+8</v>
      </c>
      <c r="I17" s="646">
        <f t="shared" ca="1" si="5"/>
        <v>9</v>
      </c>
      <c r="J17" s="450">
        <f ca="1">I17+H17</f>
        <v>17</v>
      </c>
      <c r="K17" s="451"/>
      <c r="L17" s="39"/>
      <c r="M17" s="452" t="s">
        <v>76</v>
      </c>
    </row>
    <row r="18" spans="1:14" x14ac:dyDescent="0.3">
      <c r="A18" s="616" t="s">
        <v>436</v>
      </c>
      <c r="B18" s="170" t="s">
        <v>381</v>
      </c>
      <c r="C18" s="617" t="s">
        <v>53</v>
      </c>
      <c r="D18" s="617">
        <v>0</v>
      </c>
      <c r="E18" s="621">
        <v>20</v>
      </c>
      <c r="F18" s="618" t="s">
        <v>232</v>
      </c>
      <c r="G18" s="619">
        <f>K18</f>
        <v>0</v>
      </c>
      <c r="H18" s="179">
        <f>'Personal File'!$B$11+'Personal File'!$C$14+D18</f>
        <v>11</v>
      </c>
      <c r="I18" s="646">
        <f t="shared" ca="1" si="5"/>
        <v>20</v>
      </c>
      <c r="J18" s="179">
        <f t="shared" ref="J18" ca="1" si="7">I18+H18</f>
        <v>31</v>
      </c>
      <c r="K18" s="620"/>
      <c r="L18" s="39"/>
      <c r="M18" s="245">
        <v>30</v>
      </c>
    </row>
    <row r="19" spans="1:14" x14ac:dyDescent="0.3">
      <c r="A19" s="622" t="s">
        <v>437</v>
      </c>
      <c r="B19" s="623" t="s">
        <v>381</v>
      </c>
      <c r="C19" s="624" t="s">
        <v>53</v>
      </c>
      <c r="D19" s="624">
        <v>0</v>
      </c>
      <c r="E19" s="625">
        <v>20</v>
      </c>
      <c r="F19" s="626" t="s">
        <v>232</v>
      </c>
      <c r="G19" s="627" t="s">
        <v>76</v>
      </c>
      <c r="H19" s="630">
        <f>'Personal File'!$B$11+'Personal File'!$C$14+D19-5</f>
        <v>6</v>
      </c>
      <c r="I19" s="645">
        <f t="shared" ca="1" si="5"/>
        <v>8</v>
      </c>
      <c r="J19" s="630">
        <f t="shared" ref="J19" ca="1" si="8">I19+H19</f>
        <v>14</v>
      </c>
      <c r="K19" s="631"/>
      <c r="L19" s="39"/>
      <c r="M19" s="647" t="s">
        <v>76</v>
      </c>
    </row>
    <row r="20" spans="1:14" ht="16.2" thickBot="1" x14ac:dyDescent="0.35">
      <c r="A20" s="632" t="s">
        <v>340</v>
      </c>
      <c r="B20" s="633" t="s">
        <v>341</v>
      </c>
      <c r="C20" s="642">
        <v>0</v>
      </c>
      <c r="D20" s="642">
        <v>0</v>
      </c>
      <c r="E20" s="633" t="s">
        <v>341</v>
      </c>
      <c r="F20" s="642" t="s">
        <v>108</v>
      </c>
      <c r="G20" s="637" t="s">
        <v>76</v>
      </c>
      <c r="H20" s="640">
        <f>'Personal File'!$B$11+'Personal File'!$C$14+D20</f>
        <v>11</v>
      </c>
      <c r="I20" s="643">
        <f t="shared" ca="1" si="5"/>
        <v>11</v>
      </c>
      <c r="J20" s="640">
        <f t="shared" ref="J20" ca="1" si="9">I20+H20</f>
        <v>22</v>
      </c>
      <c r="K20" s="644"/>
      <c r="L20" s="39"/>
      <c r="M20" s="649" t="s">
        <v>76</v>
      </c>
    </row>
    <row r="21" spans="1:14" ht="6" customHeight="1" thickTop="1" thickBot="1" x14ac:dyDescent="0.35">
      <c r="D21" s="40"/>
      <c r="E21" s="40"/>
      <c r="G21" s="33"/>
      <c r="H21" s="33"/>
      <c r="I21" s="39"/>
      <c r="J21" s="33"/>
      <c r="M21" s="184"/>
    </row>
    <row r="22" spans="1:14" ht="16.8" thickTop="1" thickBot="1" x14ac:dyDescent="0.35">
      <c r="A22" s="34" t="s">
        <v>57</v>
      </c>
      <c r="B22" s="35" t="s">
        <v>8</v>
      </c>
      <c r="C22" s="35" t="s">
        <v>25</v>
      </c>
      <c r="D22" s="35" t="s">
        <v>65</v>
      </c>
      <c r="E22" s="35" t="s">
        <v>66</v>
      </c>
      <c r="F22" s="35" t="s">
        <v>67</v>
      </c>
      <c r="G22" s="35" t="s">
        <v>18</v>
      </c>
      <c r="H22" s="41" t="s">
        <v>63</v>
      </c>
      <c r="I22" s="42"/>
      <c r="J22" s="42"/>
      <c r="K22" s="43"/>
      <c r="M22" s="181" t="s">
        <v>93</v>
      </c>
    </row>
    <row r="23" spans="1:14" x14ac:dyDescent="0.3">
      <c r="A23" s="234" t="s">
        <v>298</v>
      </c>
      <c r="B23" s="235">
        <v>4</v>
      </c>
      <c r="C23" s="236">
        <f>4+2</f>
        <v>6</v>
      </c>
      <c r="D23" s="235">
        <f>-2+2</f>
        <v>0</v>
      </c>
      <c r="E23" s="237">
        <f>0.2-0.1</f>
        <v>0.1</v>
      </c>
      <c r="F23" s="238" t="s">
        <v>108</v>
      </c>
      <c r="G23" s="386">
        <v>6.25</v>
      </c>
      <c r="H23" s="239"/>
      <c r="I23" s="240"/>
      <c r="J23" s="240"/>
      <c r="K23" s="241"/>
      <c r="M23" s="242">
        <v>3100</v>
      </c>
      <c r="N23" s="39"/>
    </row>
    <row r="24" spans="1:14" x14ac:dyDescent="0.3">
      <c r="A24" s="578" t="s">
        <v>387</v>
      </c>
      <c r="B24" s="655">
        <v>2</v>
      </c>
      <c r="C24" s="656" t="s">
        <v>76</v>
      </c>
      <c r="D24" s="657" t="s">
        <v>76</v>
      </c>
      <c r="E24" s="658" t="s">
        <v>76</v>
      </c>
      <c r="F24" s="657" t="s">
        <v>76</v>
      </c>
      <c r="G24" s="659">
        <v>0</v>
      </c>
      <c r="H24" s="660"/>
      <c r="I24" s="601"/>
      <c r="J24" s="601"/>
      <c r="K24" s="661"/>
      <c r="L24" s="173"/>
      <c r="M24" s="603">
        <v>8000</v>
      </c>
      <c r="N24" s="39"/>
    </row>
    <row r="25" spans="1:14" x14ac:dyDescent="0.3">
      <c r="A25" s="466" t="s">
        <v>297</v>
      </c>
      <c r="B25" s="243" t="s">
        <v>76</v>
      </c>
      <c r="C25" s="467" t="s">
        <v>76</v>
      </c>
      <c r="D25" s="243" t="s">
        <v>76</v>
      </c>
      <c r="E25" s="468" t="s">
        <v>76</v>
      </c>
      <c r="F25" s="469" t="s">
        <v>76</v>
      </c>
      <c r="G25" s="244">
        <v>0</v>
      </c>
      <c r="H25" s="470"/>
      <c r="I25" s="471"/>
      <c r="J25" s="471"/>
      <c r="K25" s="472"/>
      <c r="M25" s="245">
        <v>500</v>
      </c>
      <c r="N25" s="39"/>
    </row>
    <row r="26" spans="1:14" x14ac:dyDescent="0.3">
      <c r="A26" s="594" t="s">
        <v>367</v>
      </c>
      <c r="B26" s="595" t="s">
        <v>76</v>
      </c>
      <c r="C26" s="596" t="s">
        <v>76</v>
      </c>
      <c r="D26" s="595" t="s">
        <v>76</v>
      </c>
      <c r="E26" s="597" t="s">
        <v>76</v>
      </c>
      <c r="F26" s="598" t="s">
        <v>76</v>
      </c>
      <c r="G26" s="599">
        <v>1</v>
      </c>
      <c r="H26" s="600" t="s">
        <v>368</v>
      </c>
      <c r="I26" s="601"/>
      <c r="J26" s="601"/>
      <c r="K26" s="602"/>
      <c r="M26" s="603">
        <v>10</v>
      </c>
      <c r="N26" s="39"/>
    </row>
    <row r="27" spans="1:14" ht="16.2" thickBot="1" x14ac:dyDescent="0.35">
      <c r="A27" s="457" t="s">
        <v>238</v>
      </c>
      <c r="B27" s="458">
        <v>4</v>
      </c>
      <c r="C27" s="459" t="s">
        <v>76</v>
      </c>
      <c r="D27" s="458" t="s">
        <v>76</v>
      </c>
      <c r="E27" s="460" t="s">
        <v>76</v>
      </c>
      <c r="F27" s="458" t="s">
        <v>76</v>
      </c>
      <c r="G27" s="461" t="s">
        <v>76</v>
      </c>
      <c r="H27" s="462"/>
      <c r="I27" s="463"/>
      <c r="J27" s="463"/>
      <c r="K27" s="464"/>
      <c r="M27" s="465" t="s">
        <v>76</v>
      </c>
    </row>
    <row r="28" spans="1:14" ht="6.75" customHeight="1" thickTop="1" thickBot="1" x14ac:dyDescent="0.35">
      <c r="A28" s="11"/>
      <c r="M28" s="184"/>
    </row>
    <row r="29" spans="1:14" ht="16.8" thickTop="1" thickBot="1" x14ac:dyDescent="0.35">
      <c r="B29" s="33"/>
      <c r="D29" s="46" t="s">
        <v>58</v>
      </c>
      <c r="E29" s="47"/>
      <c r="F29" s="41" t="s">
        <v>2</v>
      </c>
      <c r="G29" s="35" t="s">
        <v>18</v>
      </c>
      <c r="H29" s="37" t="s">
        <v>71</v>
      </c>
      <c r="I29" s="41" t="s">
        <v>63</v>
      </c>
      <c r="J29" s="42"/>
      <c r="K29" s="43"/>
      <c r="M29" s="181" t="s">
        <v>93</v>
      </c>
    </row>
    <row r="30" spans="1:14" x14ac:dyDescent="0.3">
      <c r="A30" s="45"/>
      <c r="B30" s="210"/>
      <c r="D30" s="48" t="s">
        <v>118</v>
      </c>
      <c r="E30" s="49"/>
      <c r="F30" s="50">
        <v>20</v>
      </c>
      <c r="G30" s="6">
        <f>F30*3/(2*20)</f>
        <v>1.5</v>
      </c>
      <c r="H30" s="51" t="s">
        <v>53</v>
      </c>
      <c r="I30" s="52"/>
      <c r="J30" s="53"/>
      <c r="K30" s="54"/>
      <c r="M30" s="265">
        <f>F30/20</f>
        <v>1</v>
      </c>
    </row>
    <row r="31" spans="1:14" ht="16.2" thickBot="1" x14ac:dyDescent="0.35">
      <c r="A31" s="45"/>
      <c r="B31" s="210"/>
      <c r="D31" s="55"/>
      <c r="E31" s="56"/>
      <c r="F31" s="57"/>
      <c r="G31" s="8">
        <f>F31/(2*20)</f>
        <v>0</v>
      </c>
      <c r="H31" s="58" t="s">
        <v>53</v>
      </c>
      <c r="I31" s="59"/>
      <c r="J31" s="60"/>
      <c r="K31" s="44"/>
      <c r="M31" s="183" t="s">
        <v>76</v>
      </c>
    </row>
    <row r="32" spans="1:14" ht="16.8" thickTop="1" thickBot="1" x14ac:dyDescent="0.35">
      <c r="B32" s="11"/>
    </row>
    <row r="33" spans="1:14" ht="16.8" thickTop="1" thickBot="1" x14ac:dyDescent="0.35">
      <c r="B33" s="11"/>
      <c r="D33" s="46" t="s">
        <v>90</v>
      </c>
      <c r="E33" s="42"/>
      <c r="F33" s="42"/>
      <c r="G33" s="61" t="s">
        <v>2</v>
      </c>
      <c r="H33" s="61" t="s">
        <v>77</v>
      </c>
      <c r="I33" s="61" t="s">
        <v>87</v>
      </c>
      <c r="J33" s="62" t="s">
        <v>63</v>
      </c>
      <c r="K33" s="43"/>
      <c r="M33" s="181" t="s">
        <v>93</v>
      </c>
    </row>
    <row r="34" spans="1:14" x14ac:dyDescent="0.3">
      <c r="B34" s="11"/>
      <c r="D34" s="168"/>
      <c r="E34" s="169"/>
      <c r="F34" s="169"/>
      <c r="G34" s="170"/>
      <c r="H34" s="170"/>
      <c r="I34" s="170"/>
      <c r="J34" s="171"/>
      <c r="K34" s="172"/>
      <c r="L34" s="173"/>
      <c r="M34" s="182"/>
      <c r="N34" s="11"/>
    </row>
    <row r="35" spans="1:14" ht="16.2" thickBot="1" x14ac:dyDescent="0.35">
      <c r="A35" s="11"/>
      <c r="B35" s="11"/>
      <c r="D35" s="174"/>
      <c r="E35" s="175"/>
      <c r="F35" s="175"/>
      <c r="G35" s="7"/>
      <c r="H35" s="7"/>
      <c r="I35" s="7"/>
      <c r="J35" s="176"/>
      <c r="K35" s="177"/>
      <c r="M35" s="183"/>
      <c r="N35" s="39"/>
    </row>
    <row r="36" spans="1:14" ht="16.2" thickTop="1" x14ac:dyDescent="0.3">
      <c r="A36" s="11"/>
      <c r="B36" s="11"/>
    </row>
    <row r="37" spans="1:14" x14ac:dyDescent="0.3">
      <c r="A37" s="11"/>
      <c r="B37" s="11"/>
    </row>
    <row r="38" spans="1:14" x14ac:dyDescent="0.3">
      <c r="A38" s="11"/>
      <c r="B38" s="11"/>
    </row>
    <row r="39" spans="1:14" x14ac:dyDescent="0.3">
      <c r="A39" s="11"/>
      <c r="B39" s="11"/>
    </row>
    <row r="40" spans="1:14" x14ac:dyDescent="0.3">
      <c r="A40" s="11"/>
      <c r="B40" s="11"/>
    </row>
    <row r="41" spans="1:14" x14ac:dyDescent="0.3">
      <c r="A41" s="11"/>
      <c r="B41" s="11"/>
    </row>
  </sheetData>
  <sortState xmlns:xlrd2="http://schemas.microsoft.com/office/spreadsheetml/2017/richdata2" ref="D31:K45">
    <sortCondition ref="I31:I45"/>
    <sortCondition ref="D31:D45"/>
  </sortState>
  <phoneticPr fontId="0" type="noConversion"/>
  <conditionalFormatting sqref="I3:I7 I10:I20">
    <cfRule type="cellIs" dxfId="5" priority="11" operator="equal">
      <formula>20</formula>
    </cfRule>
    <cfRule type="cellIs" dxfId="4" priority="1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2"/>
  <sheetViews>
    <sheetView showGridLines="0" zoomScaleNormal="100" workbookViewId="0"/>
  </sheetViews>
  <sheetFormatPr defaultColWidth="8.59765625" defaultRowHeight="15.6" x14ac:dyDescent="0.3"/>
  <cols>
    <col min="1" max="1" width="26.5" style="16" bestFit="1" customWidth="1"/>
    <col min="2" max="2" width="5.69921875" style="16" bestFit="1" customWidth="1"/>
    <col min="3" max="3" width="5.3984375" style="33" bestFit="1" customWidth="1"/>
    <col min="4" max="5" width="22.3984375" style="11" customWidth="1"/>
    <col min="6" max="6" width="2.3984375" style="11" customWidth="1"/>
    <col min="7" max="7" width="9.296875" style="11" bestFit="1" customWidth="1"/>
    <col min="8" max="16384" width="8.59765625" style="11"/>
  </cols>
  <sheetData>
    <row r="1" spans="1:7" ht="23.4" thickBot="1" x14ac:dyDescent="0.35">
      <c r="A1" s="9" t="s">
        <v>60</v>
      </c>
      <c r="B1" s="9"/>
      <c r="C1" s="10"/>
      <c r="D1" s="9"/>
      <c r="E1" s="9"/>
    </row>
    <row r="2" spans="1:7" s="16" customFormat="1" ht="16.8" thickTop="1" thickBot="1" x14ac:dyDescent="0.35">
      <c r="A2" s="12" t="s">
        <v>61</v>
      </c>
      <c r="B2" s="12" t="s">
        <v>2</v>
      </c>
      <c r="C2" s="13" t="s">
        <v>18</v>
      </c>
      <c r="D2" s="14" t="s">
        <v>62</v>
      </c>
      <c r="E2" s="15" t="s">
        <v>63</v>
      </c>
      <c r="G2" s="211" t="s">
        <v>93</v>
      </c>
    </row>
    <row r="3" spans="1:7" x14ac:dyDescent="0.3">
      <c r="A3" s="19" t="s">
        <v>271</v>
      </c>
      <c r="B3" s="20">
        <v>1</v>
      </c>
      <c r="C3" s="399" t="s">
        <v>276</v>
      </c>
      <c r="D3" s="416" t="s">
        <v>275</v>
      </c>
      <c r="E3" s="21"/>
      <c r="G3" s="401">
        <v>500</v>
      </c>
    </row>
    <row r="4" spans="1:7" x14ac:dyDescent="0.3">
      <c r="A4" s="19" t="s">
        <v>385</v>
      </c>
      <c r="B4" s="20">
        <v>1</v>
      </c>
      <c r="C4" s="399">
        <v>0</v>
      </c>
      <c r="D4" s="167" t="s">
        <v>386</v>
      </c>
      <c r="E4" s="21"/>
      <c r="G4" s="401">
        <v>26000</v>
      </c>
    </row>
    <row r="5" spans="1:7" x14ac:dyDescent="0.3">
      <c r="A5" s="19" t="s">
        <v>272</v>
      </c>
      <c r="B5" s="20">
        <v>1</v>
      </c>
      <c r="C5" s="399">
        <v>1</v>
      </c>
      <c r="D5" s="400"/>
      <c r="E5" s="21"/>
      <c r="G5" s="401">
        <v>750</v>
      </c>
    </row>
    <row r="6" spans="1:7" x14ac:dyDescent="0.3">
      <c r="A6" s="578" t="s">
        <v>414</v>
      </c>
      <c r="B6" s="579">
        <v>1</v>
      </c>
      <c r="C6" s="583">
        <v>0</v>
      </c>
      <c r="D6" s="682" t="s">
        <v>415</v>
      </c>
      <c r="E6" s="683"/>
      <c r="G6" s="586">
        <v>6000</v>
      </c>
    </row>
    <row r="7" spans="1:7" ht="16.2" thickBot="1" x14ac:dyDescent="0.35">
      <c r="A7" s="23" t="s">
        <v>296</v>
      </c>
      <c r="B7" s="24">
        <v>1</v>
      </c>
      <c r="C7" s="25">
        <v>1</v>
      </c>
      <c r="D7" s="26"/>
      <c r="E7" s="27"/>
      <c r="G7" s="213">
        <v>2000</v>
      </c>
    </row>
    <row r="8" spans="1:7" ht="24" thickTop="1" thickBot="1" x14ac:dyDescent="0.35">
      <c r="A8" s="9" t="s">
        <v>64</v>
      </c>
      <c r="B8" s="9"/>
      <c r="C8" s="28"/>
      <c r="D8" s="9"/>
      <c r="E8" s="29"/>
      <c r="G8" s="28"/>
    </row>
    <row r="9" spans="1:7" ht="16.8" thickTop="1" thickBot="1" x14ac:dyDescent="0.35">
      <c r="A9" s="12" t="s">
        <v>61</v>
      </c>
      <c r="B9" s="12" t="s">
        <v>2</v>
      </c>
      <c r="C9" s="13" t="s">
        <v>18</v>
      </c>
      <c r="D9" s="14" t="s">
        <v>62</v>
      </c>
      <c r="E9" s="15" t="s">
        <v>63</v>
      </c>
      <c r="G9" s="211" t="s">
        <v>93</v>
      </c>
    </row>
    <row r="10" spans="1:7" x14ac:dyDescent="0.3">
      <c r="A10" s="30" t="s">
        <v>120</v>
      </c>
      <c r="B10" s="17">
        <v>1</v>
      </c>
      <c r="C10" s="31">
        <v>0.5</v>
      </c>
      <c r="D10" s="32"/>
      <c r="E10" s="18"/>
      <c r="G10" s="214">
        <v>1</v>
      </c>
    </row>
    <row r="11" spans="1:7" x14ac:dyDescent="0.3">
      <c r="A11" s="19" t="s">
        <v>260</v>
      </c>
      <c r="B11" s="20">
        <v>1</v>
      </c>
      <c r="C11" s="22">
        <v>0</v>
      </c>
      <c r="D11" s="167"/>
      <c r="E11" s="21"/>
      <c r="G11" s="267">
        <v>0.05</v>
      </c>
    </row>
    <row r="12" spans="1:7" x14ac:dyDescent="0.3">
      <c r="A12" s="19" t="s">
        <v>374</v>
      </c>
      <c r="B12" s="20">
        <v>1</v>
      </c>
      <c r="C12" s="22">
        <v>1</v>
      </c>
      <c r="D12" s="167"/>
      <c r="E12" s="21"/>
      <c r="G12" s="212">
        <v>350</v>
      </c>
    </row>
    <row r="13" spans="1:7" x14ac:dyDescent="0.3">
      <c r="A13" s="19" t="s">
        <v>261</v>
      </c>
      <c r="B13" s="20">
        <v>1</v>
      </c>
      <c r="C13" s="22">
        <v>0</v>
      </c>
      <c r="D13" s="167"/>
      <c r="E13" s="21"/>
      <c r="G13" s="212">
        <v>8</v>
      </c>
    </row>
    <row r="14" spans="1:7" x14ac:dyDescent="0.3">
      <c r="A14" s="19" t="s">
        <v>299</v>
      </c>
      <c r="B14" s="20">
        <v>1</v>
      </c>
      <c r="C14" s="399">
        <v>0</v>
      </c>
      <c r="D14" s="167"/>
      <c r="E14" s="409"/>
      <c r="F14" s="173"/>
      <c r="G14" s="401">
        <v>1</v>
      </c>
    </row>
    <row r="15" spans="1:7" x14ac:dyDescent="0.3">
      <c r="A15" s="19" t="s">
        <v>338</v>
      </c>
      <c r="B15" s="20">
        <v>0</v>
      </c>
      <c r="C15" s="266">
        <f>B15*0.01</f>
        <v>0</v>
      </c>
      <c r="D15" s="167"/>
      <c r="E15" s="21"/>
      <c r="G15" s="212">
        <f>B15</f>
        <v>0</v>
      </c>
    </row>
    <row r="16" spans="1:7" x14ac:dyDescent="0.3">
      <c r="A16" s="19" t="s">
        <v>343</v>
      </c>
      <c r="B16" s="20">
        <v>10</v>
      </c>
      <c r="C16" s="266">
        <f>B16*0.0075</f>
        <v>7.4999999999999997E-2</v>
      </c>
      <c r="D16" s="167"/>
      <c r="E16" s="21"/>
      <c r="G16" s="267">
        <f>B16/10</f>
        <v>1</v>
      </c>
    </row>
    <row r="17" spans="1:7" x14ac:dyDescent="0.3">
      <c r="A17" s="19" t="s">
        <v>344</v>
      </c>
      <c r="B17" s="20">
        <v>10</v>
      </c>
      <c r="C17" s="266">
        <f>B17*0.005</f>
        <v>0.05</v>
      </c>
      <c r="D17" s="167"/>
      <c r="E17" s="21"/>
      <c r="G17" s="267">
        <f>B17/100</f>
        <v>0.1</v>
      </c>
    </row>
    <row r="18" spans="1:7" ht="16.2" thickBot="1" x14ac:dyDescent="0.35">
      <c r="A18" s="23" t="s">
        <v>119</v>
      </c>
      <c r="B18" s="24">
        <v>1</v>
      </c>
      <c r="C18" s="25">
        <v>1</v>
      </c>
      <c r="D18" s="26"/>
      <c r="E18" s="27"/>
      <c r="G18" s="213">
        <v>30</v>
      </c>
    </row>
    <row r="19" spans="1:7" ht="22.8" thickTop="1" thickBot="1" x14ac:dyDescent="0.35">
      <c r="A19" s="402"/>
      <c r="B19" s="402"/>
      <c r="C19" s="402"/>
      <c r="D19" s="403" t="s">
        <v>273</v>
      </c>
      <c r="E19" s="404"/>
      <c r="F19" s="39"/>
      <c r="G19" s="39">
        <v>2000</v>
      </c>
    </row>
    <row r="20" spans="1:7" ht="16.8" thickTop="1" thickBot="1" x14ac:dyDescent="0.35">
      <c r="A20" s="12" t="s">
        <v>61</v>
      </c>
      <c r="B20" s="12" t="s">
        <v>2</v>
      </c>
      <c r="C20" s="13" t="s">
        <v>18</v>
      </c>
      <c r="D20" s="14" t="s">
        <v>62</v>
      </c>
      <c r="E20" s="15" t="s">
        <v>63</v>
      </c>
      <c r="F20" s="39"/>
      <c r="G20" s="211" t="s">
        <v>93</v>
      </c>
    </row>
    <row r="21" spans="1:7" x14ac:dyDescent="0.3">
      <c r="A21" s="272" t="s">
        <v>131</v>
      </c>
      <c r="B21" s="273">
        <v>1</v>
      </c>
      <c r="C21" s="274">
        <v>3</v>
      </c>
      <c r="D21" s="275"/>
      <c r="E21" s="276"/>
      <c r="G21" s="277">
        <v>11</v>
      </c>
    </row>
    <row r="22" spans="1:7" x14ac:dyDescent="0.3">
      <c r="A22" s="272" t="s">
        <v>300</v>
      </c>
      <c r="B22" s="273">
        <v>3</v>
      </c>
      <c r="C22" s="274">
        <f>B22</f>
        <v>3</v>
      </c>
      <c r="D22" s="275"/>
      <c r="E22" s="276"/>
      <c r="G22" s="277">
        <f>15*B22</f>
        <v>45</v>
      </c>
    </row>
    <row r="23" spans="1:7" x14ac:dyDescent="0.3">
      <c r="A23" s="19" t="s">
        <v>122</v>
      </c>
      <c r="B23" s="20">
        <v>5</v>
      </c>
      <c r="C23" s="22">
        <f>B23*(5*0.05)</f>
        <v>1.25</v>
      </c>
      <c r="D23" s="167"/>
      <c r="E23" s="21"/>
      <c r="G23" s="212">
        <f>B23</f>
        <v>5</v>
      </c>
    </row>
    <row r="24" spans="1:7" x14ac:dyDescent="0.3">
      <c r="A24" s="19" t="s">
        <v>348</v>
      </c>
      <c r="B24" s="20">
        <v>1</v>
      </c>
      <c r="C24" s="266">
        <v>2</v>
      </c>
      <c r="D24" s="167" t="s">
        <v>349</v>
      </c>
      <c r="E24" s="409"/>
      <c r="G24" s="401">
        <v>300</v>
      </c>
    </row>
    <row r="25" spans="1:7" x14ac:dyDescent="0.3">
      <c r="A25" s="578" t="s">
        <v>355</v>
      </c>
      <c r="B25" s="579">
        <v>1</v>
      </c>
      <c r="C25" s="592">
        <v>4</v>
      </c>
      <c r="D25" s="580"/>
      <c r="E25" s="585"/>
      <c r="G25" s="401">
        <v>50</v>
      </c>
    </row>
    <row r="26" spans="1:7" x14ac:dyDescent="0.3">
      <c r="A26" s="19" t="s">
        <v>121</v>
      </c>
      <c r="B26" s="20">
        <v>1</v>
      </c>
      <c r="C26" s="22">
        <f>B26</f>
        <v>1</v>
      </c>
      <c r="D26" s="167"/>
      <c r="E26" s="21"/>
      <c r="G26" s="212">
        <f>B26*4</f>
        <v>4</v>
      </c>
    </row>
    <row r="27" spans="1:7" x14ac:dyDescent="0.3">
      <c r="A27" s="19" t="s">
        <v>284</v>
      </c>
      <c r="B27" s="20">
        <v>1</v>
      </c>
      <c r="C27" s="22">
        <v>2</v>
      </c>
      <c r="D27" s="167"/>
      <c r="E27" s="21"/>
      <c r="G27" s="401" t="s">
        <v>76</v>
      </c>
    </row>
    <row r="28" spans="1:7" x14ac:dyDescent="0.3">
      <c r="A28" s="272" t="s">
        <v>290</v>
      </c>
      <c r="B28" s="20">
        <v>40</v>
      </c>
      <c r="C28" s="22">
        <f>B28/2</f>
        <v>20</v>
      </c>
      <c r="D28" s="275"/>
      <c r="E28" s="276"/>
      <c r="G28" s="405" t="s">
        <v>76</v>
      </c>
    </row>
    <row r="29" spans="1:7" x14ac:dyDescent="0.3">
      <c r="A29" s="406" t="s">
        <v>291</v>
      </c>
      <c r="B29" s="407">
        <v>1</v>
      </c>
      <c r="C29" s="399">
        <v>5</v>
      </c>
      <c r="D29" s="408"/>
      <c r="E29" s="409"/>
      <c r="F29"/>
      <c r="G29" s="401">
        <v>20</v>
      </c>
    </row>
    <row r="30" spans="1:7" x14ac:dyDescent="0.3">
      <c r="A30" s="406" t="s">
        <v>345</v>
      </c>
      <c r="B30" s="407" t="s">
        <v>346</v>
      </c>
      <c r="C30" s="399">
        <v>10</v>
      </c>
      <c r="D30" s="408"/>
      <c r="E30" s="409"/>
      <c r="F30"/>
      <c r="G30" s="401">
        <f>C30*20</f>
        <v>200</v>
      </c>
    </row>
    <row r="31" spans="1:7" x14ac:dyDescent="0.3">
      <c r="A31" s="581" t="s">
        <v>351</v>
      </c>
      <c r="B31" s="582" t="s">
        <v>346</v>
      </c>
      <c r="C31" s="583">
        <v>10</v>
      </c>
      <c r="D31" s="584" t="s">
        <v>352</v>
      </c>
      <c r="E31" s="585"/>
      <c r="F31"/>
      <c r="G31" s="586" t="s">
        <v>347</v>
      </c>
    </row>
    <row r="32" spans="1:7" ht="16.2" thickBot="1" x14ac:dyDescent="0.35">
      <c r="A32" s="410" t="s">
        <v>350</v>
      </c>
      <c r="B32" s="411">
        <v>6</v>
      </c>
      <c r="C32" s="412">
        <f>B32</f>
        <v>6</v>
      </c>
      <c r="D32" s="413"/>
      <c r="E32" s="414"/>
      <c r="F32" s="39"/>
      <c r="G32" s="415"/>
    </row>
    <row r="33" spans="1:7" ht="16.8" thickTop="1" thickBot="1" x14ac:dyDescent="0.35">
      <c r="A33" s="418" t="s">
        <v>274</v>
      </c>
      <c r="B33" s="419">
        <f>(C33-5)/120</f>
        <v>0.56041666666666667</v>
      </c>
      <c r="C33" s="13">
        <f>SUM(C21:C32,5)</f>
        <v>72.25</v>
      </c>
    </row>
    <row r="35" spans="1:7" ht="23.4" thickBot="1" x14ac:dyDescent="0.35">
      <c r="A35" s="9" t="s">
        <v>324</v>
      </c>
      <c r="B35" s="9"/>
      <c r="C35" s="28"/>
      <c r="D35" s="9"/>
      <c r="E35" s="29"/>
      <c r="F35" s="39"/>
      <c r="G35" s="536">
        <v>30</v>
      </c>
    </row>
    <row r="36" spans="1:7" ht="16.8" thickTop="1" thickBot="1" x14ac:dyDescent="0.35">
      <c r="A36" s="12" t="s">
        <v>61</v>
      </c>
      <c r="B36" s="12" t="s">
        <v>2</v>
      </c>
      <c r="C36" s="13" t="s">
        <v>18</v>
      </c>
      <c r="D36" s="14" t="s">
        <v>62</v>
      </c>
      <c r="E36" s="15" t="s">
        <v>63</v>
      </c>
      <c r="F36" s="39"/>
      <c r="G36" s="525" t="s">
        <v>93</v>
      </c>
    </row>
    <row r="37" spans="1:7" x14ac:dyDescent="0.3">
      <c r="A37" s="19" t="s">
        <v>411</v>
      </c>
      <c r="B37" s="526">
        <v>1</v>
      </c>
      <c r="C37" s="399">
        <v>100</v>
      </c>
      <c r="D37" s="167" t="s">
        <v>412</v>
      </c>
      <c r="E37" s="409"/>
      <c r="F37" s="39"/>
      <c r="G37" s="405">
        <v>1500</v>
      </c>
    </row>
    <row r="38" spans="1:7" x14ac:dyDescent="0.3">
      <c r="A38" s="527" t="s">
        <v>325</v>
      </c>
      <c r="B38" s="528">
        <v>5</v>
      </c>
      <c r="C38" s="529">
        <f>B38*10</f>
        <v>50</v>
      </c>
      <c r="D38" s="530"/>
      <c r="E38" s="531"/>
      <c r="F38" s="39"/>
      <c r="G38" s="532">
        <f>B38*0.05</f>
        <v>0.25</v>
      </c>
    </row>
    <row r="39" spans="1:7" x14ac:dyDescent="0.3">
      <c r="A39" s="406" t="s">
        <v>371</v>
      </c>
      <c r="B39" s="407">
        <v>1</v>
      </c>
      <c r="C39" s="399">
        <v>300</v>
      </c>
      <c r="D39" s="408"/>
      <c r="E39" s="409"/>
      <c r="F39"/>
      <c r="G39" s="401">
        <v>0</v>
      </c>
    </row>
    <row r="40" spans="1:7" ht="16.2" thickBot="1" x14ac:dyDescent="0.35">
      <c r="A40" s="23" t="s">
        <v>413</v>
      </c>
      <c r="B40" s="533">
        <v>1</v>
      </c>
      <c r="C40" s="412">
        <v>300</v>
      </c>
      <c r="D40" s="534"/>
      <c r="E40" s="414"/>
      <c r="F40" s="39"/>
      <c r="G40" s="415">
        <v>0</v>
      </c>
    </row>
    <row r="41" spans="1:7" ht="16.8" thickTop="1" thickBot="1" x14ac:dyDescent="0.35">
      <c r="A41" s="418" t="s">
        <v>319</v>
      </c>
      <c r="B41" s="535"/>
      <c r="C41" s="13">
        <f>SUM(C37:C40)</f>
        <v>750</v>
      </c>
      <c r="D41" s="173"/>
      <c r="E41" s="173"/>
      <c r="F41" s="39"/>
      <c r="G41" s="173"/>
    </row>
    <row r="43" spans="1:7" ht="23.4" thickBot="1" x14ac:dyDescent="0.35">
      <c r="A43" s="9" t="s">
        <v>358</v>
      </c>
      <c r="B43" s="9"/>
      <c r="C43" s="28"/>
      <c r="D43" s="9"/>
      <c r="E43" s="29"/>
      <c r="F43" s="39"/>
      <c r="G43" s="536"/>
    </row>
    <row r="44" spans="1:7" ht="16.8" thickTop="1" thickBot="1" x14ac:dyDescent="0.35">
      <c r="A44" s="12" t="s">
        <v>61</v>
      </c>
      <c r="B44" s="12" t="s">
        <v>2</v>
      </c>
      <c r="C44" s="13" t="s">
        <v>18</v>
      </c>
      <c r="D44" s="14" t="s">
        <v>62</v>
      </c>
      <c r="E44" s="15" t="s">
        <v>63</v>
      </c>
      <c r="F44" s="39"/>
      <c r="G44" s="525" t="s">
        <v>93</v>
      </c>
    </row>
    <row r="45" spans="1:7" x14ac:dyDescent="0.3">
      <c r="A45" s="604" t="s">
        <v>372</v>
      </c>
      <c r="B45" s="605" t="s">
        <v>346</v>
      </c>
      <c r="C45" s="606">
        <v>115</v>
      </c>
      <c r="D45" s="607"/>
      <c r="E45" s="608"/>
      <c r="F45" s="39"/>
      <c r="G45" s="609">
        <v>15000</v>
      </c>
    </row>
    <row r="46" spans="1:7" x14ac:dyDescent="0.3">
      <c r="A46" s="610" t="s">
        <v>373</v>
      </c>
      <c r="B46" s="611" t="s">
        <v>346</v>
      </c>
      <c r="C46" s="606">
        <v>400</v>
      </c>
      <c r="D46" s="613"/>
      <c r="E46" s="608"/>
      <c r="F46"/>
      <c r="G46" s="609">
        <v>0</v>
      </c>
    </row>
    <row r="47" spans="1:7" x14ac:dyDescent="0.3">
      <c r="A47" s="406" t="s">
        <v>365</v>
      </c>
      <c r="B47" s="407">
        <v>1</v>
      </c>
      <c r="C47" s="399">
        <v>1</v>
      </c>
      <c r="D47" s="408"/>
      <c r="E47" s="409"/>
      <c r="F47"/>
      <c r="G47" s="401">
        <v>15</v>
      </c>
    </row>
    <row r="48" spans="1:7" x14ac:dyDescent="0.3">
      <c r="A48" s="527" t="s">
        <v>360</v>
      </c>
      <c r="B48" s="528" t="s">
        <v>346</v>
      </c>
      <c r="C48" s="529">
        <v>1</v>
      </c>
      <c r="D48" s="530" t="s">
        <v>361</v>
      </c>
      <c r="E48" s="531"/>
      <c r="F48" s="39"/>
      <c r="G48" s="401">
        <v>5</v>
      </c>
    </row>
    <row r="49" spans="1:7" x14ac:dyDescent="0.3">
      <c r="A49" s="406" t="s">
        <v>295</v>
      </c>
      <c r="B49" s="407">
        <v>1</v>
      </c>
      <c r="C49" s="399">
        <v>30</v>
      </c>
      <c r="D49" s="408"/>
      <c r="E49" s="409"/>
      <c r="F49"/>
      <c r="G49" s="401">
        <v>1</v>
      </c>
    </row>
    <row r="50" spans="1:7" x14ac:dyDescent="0.3">
      <c r="A50" s="581" t="s">
        <v>362</v>
      </c>
      <c r="B50" s="582">
        <v>15</v>
      </c>
      <c r="C50" s="583">
        <f>B50*0.05</f>
        <v>0.75</v>
      </c>
      <c r="D50" s="584"/>
      <c r="E50" s="585"/>
      <c r="F50"/>
      <c r="G50" s="586">
        <v>2</v>
      </c>
    </row>
    <row r="51" spans="1:7" x14ac:dyDescent="0.3">
      <c r="A51" s="581" t="s">
        <v>294</v>
      </c>
      <c r="B51" s="582">
        <v>1</v>
      </c>
      <c r="C51" s="583">
        <v>40</v>
      </c>
      <c r="D51" s="584"/>
      <c r="E51" s="585"/>
      <c r="F51"/>
      <c r="G51" s="586">
        <v>50</v>
      </c>
    </row>
    <row r="52" spans="1:7" x14ac:dyDescent="0.3">
      <c r="A52" s="581" t="s">
        <v>338</v>
      </c>
      <c r="B52" s="582">
        <v>0</v>
      </c>
      <c r="C52" s="583">
        <f>B52/100</f>
        <v>0</v>
      </c>
      <c r="D52" s="584"/>
      <c r="E52" s="585"/>
      <c r="F52"/>
      <c r="G52" s="586">
        <f>B52</f>
        <v>0</v>
      </c>
    </row>
    <row r="53" spans="1:7" x14ac:dyDescent="0.3">
      <c r="A53" s="581" t="s">
        <v>293</v>
      </c>
      <c r="B53" s="582">
        <v>1</v>
      </c>
      <c r="C53" s="583">
        <v>30</v>
      </c>
      <c r="D53" s="584"/>
      <c r="E53" s="585"/>
      <c r="F53"/>
      <c r="G53" s="586">
        <v>1000</v>
      </c>
    </row>
    <row r="54" spans="1:7" x14ac:dyDescent="0.3">
      <c r="A54" s="581" t="s">
        <v>292</v>
      </c>
      <c r="B54" s="582">
        <v>1</v>
      </c>
      <c r="C54" s="583">
        <v>30</v>
      </c>
      <c r="D54" s="584"/>
      <c r="E54" s="585"/>
      <c r="F54"/>
      <c r="G54" s="586">
        <v>1000</v>
      </c>
    </row>
    <row r="55" spans="1:7" x14ac:dyDescent="0.3">
      <c r="A55" s="581" t="s">
        <v>263</v>
      </c>
      <c r="B55" s="582">
        <v>3</v>
      </c>
      <c r="C55" s="583">
        <f>B55*25</f>
        <v>75</v>
      </c>
      <c r="D55" s="584"/>
      <c r="E55" s="585"/>
      <c r="F55"/>
      <c r="G55" s="586">
        <f>B55*25</f>
        <v>75</v>
      </c>
    </row>
    <row r="56" spans="1:7" x14ac:dyDescent="0.3">
      <c r="A56" s="581" t="s">
        <v>359</v>
      </c>
      <c r="B56" s="582" t="s">
        <v>346</v>
      </c>
      <c r="C56" s="583">
        <v>2</v>
      </c>
      <c r="D56" s="584"/>
      <c r="E56" s="585"/>
      <c r="F56"/>
      <c r="G56" s="586">
        <v>5</v>
      </c>
    </row>
    <row r="57" spans="1:7" x14ac:dyDescent="0.3">
      <c r="A57" s="581" t="s">
        <v>363</v>
      </c>
      <c r="B57" s="612" t="s">
        <v>346</v>
      </c>
      <c r="C57" s="583">
        <v>2</v>
      </c>
      <c r="D57" s="584"/>
      <c r="E57" s="585"/>
      <c r="F57" s="39"/>
      <c r="G57" s="586">
        <v>10</v>
      </c>
    </row>
    <row r="58" spans="1:7" x14ac:dyDescent="0.3">
      <c r="A58" s="581" t="s">
        <v>366</v>
      </c>
      <c r="B58" s="612">
        <v>1</v>
      </c>
      <c r="C58" s="583">
        <v>0</v>
      </c>
      <c r="D58" s="584"/>
      <c r="E58" s="585"/>
      <c r="F58" s="39"/>
      <c r="G58" s="586">
        <v>1</v>
      </c>
    </row>
    <row r="59" spans="1:7" ht="16.2" thickBot="1" x14ac:dyDescent="0.35">
      <c r="A59" s="23" t="s">
        <v>364</v>
      </c>
      <c r="B59" s="411">
        <v>1</v>
      </c>
      <c r="C59" s="412">
        <v>2</v>
      </c>
      <c r="D59" s="534"/>
      <c r="E59" s="414"/>
      <c r="F59"/>
      <c r="G59" s="415">
        <v>25</v>
      </c>
    </row>
    <row r="60" spans="1:7" ht="16.8" thickTop="1" thickBot="1" x14ac:dyDescent="0.35">
      <c r="A60" s="418" t="s">
        <v>319</v>
      </c>
      <c r="B60" s="535"/>
      <c r="C60" s="13">
        <f>SUM(C45:C59)</f>
        <v>728.75</v>
      </c>
      <c r="G60" s="654"/>
    </row>
    <row r="61" spans="1:7" x14ac:dyDescent="0.3">
      <c r="E61" s="122" t="s">
        <v>278</v>
      </c>
      <c r="F61" s="173"/>
      <c r="G61" s="417">
        <f>SUM(G3:G59,Martial!M3:M35)</f>
        <v>68660.399999999994</v>
      </c>
    </row>
    <row r="62" spans="1:7" x14ac:dyDescent="0.3">
      <c r="E62" s="122" t="s">
        <v>277</v>
      </c>
      <c r="F62" s="39"/>
      <c r="G62" s="417">
        <v>110000</v>
      </c>
    </row>
  </sheetData>
  <sortState xmlns:xlrd2="http://schemas.microsoft.com/office/spreadsheetml/2017/richdata2" ref="A45:G59">
    <sortCondition ref="A45:A59"/>
  </sortState>
  <phoneticPr fontId="0" type="noConversion"/>
  <hyperlinks>
    <hyperlink ref="D3" r:id="rId1" xr:uid="{E6BCA904-4C8A-4EB1-B935-2F1AD3DBC9A9}"/>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6E84-3389-4AEE-9C9A-4FA58986AEAC}">
  <dimension ref="A1:G13"/>
  <sheetViews>
    <sheetView showGridLines="0" workbookViewId="0"/>
  </sheetViews>
  <sheetFormatPr defaultColWidth="13" defaultRowHeight="15.6" x14ac:dyDescent="0.3"/>
  <cols>
    <col min="1" max="1" width="13.296875" style="122" bestFit="1" customWidth="1"/>
    <col min="2" max="2" width="10" style="252" customWidth="1"/>
    <col min="3" max="3" width="4.59765625" style="252" customWidth="1"/>
    <col min="4" max="4" width="13.69921875" style="122" bestFit="1" customWidth="1"/>
    <col min="5" max="5" width="9.59765625" style="252" bestFit="1" customWidth="1"/>
    <col min="6" max="6" width="9.5" style="122" bestFit="1" customWidth="1"/>
    <col min="7" max="7" width="13.3984375" style="252" bestFit="1" customWidth="1"/>
    <col min="8" max="16384" width="13" style="173"/>
  </cols>
  <sheetData>
    <row r="1" spans="1:7" ht="29.4" thickTop="1" thickBot="1" x14ac:dyDescent="0.35">
      <c r="A1" s="567" t="s">
        <v>337</v>
      </c>
      <c r="B1" s="566"/>
      <c r="C1" s="566"/>
      <c r="D1" s="565"/>
      <c r="E1" s="564"/>
      <c r="F1" s="563"/>
      <c r="G1" s="562" t="s">
        <v>334</v>
      </c>
    </row>
    <row r="2" spans="1:7" ht="17.399999999999999" thickTop="1" x14ac:dyDescent="0.3">
      <c r="A2" s="131" t="s">
        <v>133</v>
      </c>
      <c r="B2" s="561" t="s">
        <v>336</v>
      </c>
      <c r="C2" s="561"/>
      <c r="D2" s="133" t="s">
        <v>140</v>
      </c>
      <c r="E2" s="134" t="s">
        <v>102</v>
      </c>
      <c r="F2" s="133" t="s">
        <v>143</v>
      </c>
      <c r="G2" s="560" t="s">
        <v>73</v>
      </c>
    </row>
    <row r="3" spans="1:7" ht="17.399999999999999" thickBot="1" x14ac:dyDescent="0.35">
      <c r="A3" s="559" t="s">
        <v>141</v>
      </c>
      <c r="B3" s="558" t="s">
        <v>333</v>
      </c>
      <c r="C3" s="557"/>
      <c r="D3" s="555" t="s">
        <v>332</v>
      </c>
      <c r="E3" s="556" t="s">
        <v>335</v>
      </c>
      <c r="F3" s="555" t="s">
        <v>67</v>
      </c>
      <c r="G3" s="554" t="s">
        <v>339</v>
      </c>
    </row>
    <row r="4" spans="1:7" ht="17.399999999999999" thickTop="1" x14ac:dyDescent="0.3">
      <c r="A4" s="142" t="s">
        <v>145</v>
      </c>
      <c r="B4" s="553">
        <v>4</v>
      </c>
      <c r="C4" s="507">
        <f t="shared" ref="C4:C9" si="0">IF(B4&gt;9.9,CONCATENATE("+",ROUNDDOWN((B4-10)/2,0)),ROUNDUP((B4-10)/2,0))</f>
        <v>-3</v>
      </c>
      <c r="D4" s="552" t="s">
        <v>150</v>
      </c>
      <c r="E4" s="551">
        <v>3</v>
      </c>
      <c r="F4" s="569">
        <f>E4</f>
        <v>3</v>
      </c>
      <c r="G4" s="550"/>
    </row>
    <row r="5" spans="1:7" ht="17.399999999999999" thickBot="1" x14ac:dyDescent="0.35">
      <c r="A5" s="144" t="s">
        <v>147</v>
      </c>
      <c r="B5" s="544">
        <v>15</v>
      </c>
      <c r="C5" s="498" t="str">
        <f t="shared" si="0"/>
        <v>+2</v>
      </c>
      <c r="D5" s="549" t="s">
        <v>331</v>
      </c>
      <c r="E5" s="568">
        <v>12</v>
      </c>
      <c r="F5" s="548">
        <f>E5+2+C5</f>
        <v>16</v>
      </c>
      <c r="G5" s="537"/>
    </row>
    <row r="6" spans="1:7" ht="17.399999999999999" thickTop="1" x14ac:dyDescent="0.3">
      <c r="A6" s="148" t="s">
        <v>149</v>
      </c>
      <c r="B6" s="544">
        <v>10</v>
      </c>
      <c r="C6" s="498" t="str">
        <f t="shared" si="0"/>
        <v>+0</v>
      </c>
      <c r="D6" s="545" t="s">
        <v>330</v>
      </c>
      <c r="E6" s="547">
        <v>0</v>
      </c>
      <c r="F6" s="500"/>
      <c r="G6" s="537"/>
    </row>
    <row r="7" spans="1:7" ht="16.8" x14ac:dyDescent="0.3">
      <c r="A7" s="546" t="s">
        <v>151</v>
      </c>
      <c r="B7" s="544">
        <v>3</v>
      </c>
      <c r="C7" s="498">
        <f t="shared" si="0"/>
        <v>-4</v>
      </c>
      <c r="D7" s="545" t="s">
        <v>329</v>
      </c>
      <c r="E7" s="542">
        <v>2</v>
      </c>
      <c r="F7" s="485"/>
      <c r="G7" s="537"/>
    </row>
    <row r="8" spans="1:7" ht="16.8" x14ac:dyDescent="0.3">
      <c r="A8" s="153" t="s">
        <v>153</v>
      </c>
      <c r="B8" s="544">
        <v>12</v>
      </c>
      <c r="C8" s="493" t="str">
        <f t="shared" si="0"/>
        <v>+1</v>
      </c>
      <c r="D8" s="543" t="s">
        <v>328</v>
      </c>
      <c r="E8" s="542">
        <v>4</v>
      </c>
      <c r="F8" s="485"/>
      <c r="G8" s="537"/>
    </row>
    <row r="9" spans="1:7" ht="17.399999999999999" thickBot="1" x14ac:dyDescent="0.35">
      <c r="A9" s="154" t="s">
        <v>155</v>
      </c>
      <c r="B9" s="541">
        <v>5</v>
      </c>
      <c r="C9" s="488">
        <f t="shared" si="0"/>
        <v>-3</v>
      </c>
      <c r="D9" s="540" t="s">
        <v>56</v>
      </c>
      <c r="E9" s="539">
        <v>1</v>
      </c>
      <c r="F9" s="485"/>
      <c r="G9" s="537"/>
    </row>
    <row r="10" spans="1:7" ht="17.399999999999999" thickTop="1" x14ac:dyDescent="0.3">
      <c r="A10" s="131"/>
      <c r="B10" s="140"/>
      <c r="C10" s="140"/>
      <c r="D10" s="140"/>
      <c r="E10" s="136"/>
      <c r="F10" s="538"/>
      <c r="G10" s="537"/>
    </row>
    <row r="11" spans="1:7" ht="16.8" x14ac:dyDescent="0.3">
      <c r="A11" s="161"/>
      <c r="B11" s="140"/>
      <c r="C11" s="140"/>
      <c r="D11" s="140"/>
      <c r="E11" s="136"/>
      <c r="F11" s="140"/>
      <c r="G11" s="136"/>
    </row>
    <row r="12" spans="1:7" ht="17.399999999999999" thickBot="1" x14ac:dyDescent="0.35">
      <c r="A12" s="163"/>
      <c r="B12" s="164"/>
      <c r="C12" s="164"/>
      <c r="D12" s="164"/>
      <c r="E12" s="165"/>
      <c r="F12" s="164"/>
      <c r="G12" s="165"/>
    </row>
    <row r="13" spans="1:7" ht="16.2" thickTop="1" x14ac:dyDescent="0.3"/>
  </sheetData>
  <conditionalFormatting sqref="F4">
    <cfRule type="cellIs" dxfId="3" priority="1" stopIfTrue="1" operator="greaterThan">
      <formula>$E$4/2</formula>
    </cfRule>
    <cfRule type="cellIs" dxfId="2"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0795F-9B2A-4BA9-B074-F0780AFB9334}">
  <dimension ref="A1:G14"/>
  <sheetViews>
    <sheetView showGridLines="0" workbookViewId="0"/>
  </sheetViews>
  <sheetFormatPr defaultColWidth="13" defaultRowHeight="15.6" x14ac:dyDescent="0.3"/>
  <cols>
    <col min="1" max="1" width="13.296875" style="475" bestFit="1" customWidth="1"/>
    <col min="2" max="2" width="10.69921875" style="474" customWidth="1"/>
    <col min="3" max="3" width="5.5" style="474" customWidth="1"/>
    <col min="4" max="4" width="13.69921875" style="475" bestFit="1" customWidth="1"/>
    <col min="5" max="5" width="9.59765625" style="474" bestFit="1" customWidth="1"/>
    <col min="6" max="6" width="10.19921875" style="475" bestFit="1" customWidth="1"/>
    <col min="7" max="7" width="12.09765625" style="474" bestFit="1" customWidth="1"/>
    <col min="8" max="16384" width="13" style="473"/>
  </cols>
  <sheetData>
    <row r="1" spans="1:7" ht="29.4" thickTop="1" thickBot="1" x14ac:dyDescent="0.35">
      <c r="A1" s="524" t="s">
        <v>327</v>
      </c>
      <c r="B1" s="523"/>
      <c r="C1" s="523"/>
      <c r="D1" s="522"/>
      <c r="E1" s="522"/>
      <c r="F1" s="521"/>
      <c r="G1" s="520" t="s">
        <v>320</v>
      </c>
    </row>
    <row r="2" spans="1:7" ht="17.399999999999999" thickTop="1" x14ac:dyDescent="0.3">
      <c r="A2" s="484" t="s">
        <v>318</v>
      </c>
      <c r="B2" s="519" t="s">
        <v>321</v>
      </c>
      <c r="C2" s="519"/>
      <c r="D2" s="517" t="s">
        <v>317</v>
      </c>
      <c r="E2" s="518" t="s">
        <v>102</v>
      </c>
      <c r="F2" s="517" t="s">
        <v>316</v>
      </c>
      <c r="G2" s="516" t="s">
        <v>126</v>
      </c>
    </row>
    <row r="3" spans="1:7" ht="17.399999999999999" thickBot="1" x14ac:dyDescent="0.35">
      <c r="A3" s="515"/>
      <c r="B3" s="514"/>
      <c r="C3" s="513"/>
      <c r="D3" s="511" t="s">
        <v>315</v>
      </c>
      <c r="E3" s="512" t="s">
        <v>322</v>
      </c>
      <c r="F3" s="511" t="s">
        <v>314</v>
      </c>
      <c r="G3" s="510" t="s">
        <v>326</v>
      </c>
    </row>
    <row r="4" spans="1:7" ht="17.399999999999999" thickTop="1" x14ac:dyDescent="0.3">
      <c r="A4" s="509" t="s">
        <v>313</v>
      </c>
      <c r="B4" s="508">
        <v>13</v>
      </c>
      <c r="C4" s="507" t="str">
        <f t="shared" ref="C4:C9" si="0">IF(B4&gt;9.9,CONCATENATE("+",ROUNDDOWN((B4-10)/2,0)),ROUNDUP((B4-10)/2,0))</f>
        <v>+1</v>
      </c>
      <c r="D4" s="497" t="s">
        <v>312</v>
      </c>
      <c r="E4" s="506">
        <v>11</v>
      </c>
      <c r="F4" s="505">
        <v>11</v>
      </c>
      <c r="G4" s="504"/>
    </row>
    <row r="5" spans="1:7" ht="16.8" x14ac:dyDescent="0.3">
      <c r="A5" s="503" t="s">
        <v>311</v>
      </c>
      <c r="B5" s="494">
        <v>13</v>
      </c>
      <c r="C5" s="498" t="str">
        <f t="shared" si="0"/>
        <v>+1</v>
      </c>
      <c r="D5" s="502" t="s">
        <v>310</v>
      </c>
      <c r="E5" s="491" t="s">
        <v>323</v>
      </c>
      <c r="F5" s="491" t="s">
        <v>309</v>
      </c>
      <c r="G5" s="482"/>
    </row>
    <row r="6" spans="1:7" ht="16.8" x14ac:dyDescent="0.3">
      <c r="A6" s="501" t="s">
        <v>308</v>
      </c>
      <c r="B6" s="494">
        <v>12</v>
      </c>
      <c r="C6" s="498" t="str">
        <f t="shared" si="0"/>
        <v>+1</v>
      </c>
      <c r="D6" s="497" t="s">
        <v>307</v>
      </c>
      <c r="E6" s="496">
        <v>1</v>
      </c>
      <c r="F6" s="500"/>
      <c r="G6" s="482"/>
    </row>
    <row r="7" spans="1:7" ht="16.8" x14ac:dyDescent="0.3">
      <c r="A7" s="499" t="s">
        <v>306</v>
      </c>
      <c r="B7" s="494">
        <v>2</v>
      </c>
      <c r="C7" s="498">
        <f t="shared" si="0"/>
        <v>-4</v>
      </c>
      <c r="D7" s="497" t="s">
        <v>305</v>
      </c>
      <c r="E7" s="496">
        <v>4</v>
      </c>
      <c r="F7" s="485"/>
      <c r="G7" s="482"/>
    </row>
    <row r="8" spans="1:7" ht="16.8" x14ac:dyDescent="0.3">
      <c r="A8" s="495" t="s">
        <v>304</v>
      </c>
      <c r="B8" s="494">
        <v>11</v>
      </c>
      <c r="C8" s="493" t="str">
        <f t="shared" si="0"/>
        <v>+0</v>
      </c>
      <c r="D8" s="492" t="s">
        <v>303</v>
      </c>
      <c r="E8" s="491" t="s">
        <v>89</v>
      </c>
      <c r="F8" s="485"/>
      <c r="G8" s="482"/>
    </row>
    <row r="9" spans="1:7" ht="17.399999999999999" thickBot="1" x14ac:dyDescent="0.35">
      <c r="A9" s="490" t="s">
        <v>302</v>
      </c>
      <c r="B9" s="489">
        <v>4</v>
      </c>
      <c r="C9" s="488">
        <f t="shared" si="0"/>
        <v>-3</v>
      </c>
      <c r="D9" s="487" t="s">
        <v>301</v>
      </c>
      <c r="E9" s="486">
        <v>0</v>
      </c>
      <c r="F9" s="485"/>
      <c r="G9" s="482"/>
    </row>
    <row r="10" spans="1:7" ht="17.399999999999999" thickTop="1" x14ac:dyDescent="0.3">
      <c r="A10" s="484"/>
      <c r="B10" s="480"/>
      <c r="C10" s="480"/>
      <c r="D10" s="480"/>
      <c r="E10" s="479"/>
      <c r="F10" s="485"/>
      <c r="G10" s="482"/>
    </row>
    <row r="11" spans="1:7" ht="16.8" x14ac:dyDescent="0.3">
      <c r="A11" s="484"/>
      <c r="B11" s="480"/>
      <c r="C11" s="480"/>
      <c r="D11" s="480"/>
      <c r="E11" s="479"/>
      <c r="F11" s="483"/>
      <c r="G11" s="482"/>
    </row>
    <row r="12" spans="1:7" ht="16.8" x14ac:dyDescent="0.3">
      <c r="A12" s="481"/>
      <c r="B12" s="480"/>
      <c r="C12" s="480"/>
      <c r="D12" s="480"/>
      <c r="E12" s="479"/>
      <c r="F12" s="480"/>
      <c r="G12" s="479"/>
    </row>
    <row r="13" spans="1:7" ht="17.399999999999999" thickBot="1" x14ac:dyDescent="0.35">
      <c r="A13" s="478"/>
      <c r="B13" s="477"/>
      <c r="C13" s="477"/>
      <c r="D13" s="477"/>
      <c r="E13" s="476"/>
      <c r="F13" s="477"/>
      <c r="G13" s="476"/>
    </row>
    <row r="14"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Personal File</vt:lpstr>
      <vt:lpstr>Skills</vt:lpstr>
      <vt:lpstr>Spellbook</vt:lpstr>
      <vt:lpstr>Spells</vt:lpstr>
      <vt:lpstr>Feats</vt:lpstr>
      <vt:lpstr>Martial</vt:lpstr>
      <vt:lpstr>Equipment</vt:lpstr>
      <vt:lpstr>Familiar</vt:lpstr>
      <vt:lpstr>Animal</vt:lpstr>
      <vt:lpstr>XP Awards</vt:lpstr>
      <vt:lpstr>Animal!Print_Area</vt:lpstr>
      <vt:lpstr>Familiar!Print_Area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2025-02-21T18:52:02Z</dcterms:modified>
</cp:coreProperties>
</file>