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Used\Battle Tallies\"/>
    </mc:Choice>
  </mc:AlternateContent>
  <xr:revisionPtr revIDLastSave="0" documentId="13_ncr:1_{DE6B3DFF-3D01-4302-B89B-10E4D4A11155}" xr6:coauthVersionLast="47" xr6:coauthVersionMax="47" xr10:uidLastSave="{00000000-0000-0000-0000-000000000000}"/>
  <bookViews>
    <workbookView xWindow="-108" yWindow="-108" windowWidth="23256" windowHeight="13176" tabRatio="498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7" l="1"/>
  <c r="K16" i="7" s="1"/>
  <c r="J15" i="7"/>
  <c r="K15" i="7" s="1"/>
  <c r="J14" i="7"/>
  <c r="K14" i="7" s="1"/>
  <c r="E3" i="5"/>
  <c r="C3" i="5"/>
  <c r="K30" i="9"/>
  <c r="N30" i="9" s="1"/>
  <c r="J30" i="9"/>
  <c r="K29" i="9"/>
  <c r="N29" i="9" s="1"/>
  <c r="J29" i="9"/>
  <c r="K28" i="9"/>
  <c r="N28" i="9" s="1"/>
  <c r="J28" i="9"/>
  <c r="K27" i="9"/>
  <c r="N27" i="9" s="1"/>
  <c r="J27" i="9"/>
  <c r="W6" i="5"/>
  <c r="AB6" i="5" s="1"/>
  <c r="AC6" i="5" s="1"/>
  <c r="L28" i="9" l="1"/>
  <c r="L27" i="9"/>
  <c r="L29" i="9"/>
  <c r="L30" i="9"/>
  <c r="E12" i="9"/>
  <c r="D13" i="7"/>
  <c r="E13" i="7" s="1"/>
  <c r="D12" i="7"/>
  <c r="E12" i="7" s="1"/>
  <c r="D11" i="7"/>
  <c r="E11" i="7" s="1"/>
  <c r="F21" i="9"/>
  <c r="F19" i="9"/>
  <c r="F18" i="9"/>
  <c r="K5" i="9"/>
  <c r="N5" i="9" s="1"/>
  <c r="J5" i="9"/>
  <c r="L5" i="9" l="1"/>
  <c r="K26" i="9"/>
  <c r="N26" i="9" s="1"/>
  <c r="J26" i="9"/>
  <c r="K25" i="9"/>
  <c r="N25" i="9" s="1"/>
  <c r="J25" i="9"/>
  <c r="L26" i="9" l="1"/>
  <c r="L25" i="9"/>
  <c r="W15" i="5"/>
  <c r="AB15" i="5" s="1"/>
  <c r="AC15" i="5" s="1"/>
  <c r="W14" i="5"/>
  <c r="AB14" i="5" s="1"/>
  <c r="AC14" i="5" s="1"/>
  <c r="W13" i="5"/>
  <c r="AB13" i="5" s="1"/>
  <c r="AC13" i="5" s="1"/>
  <c r="E20" i="9" l="1"/>
  <c r="K20" i="9" l="1"/>
  <c r="N20" i="9" s="1"/>
  <c r="J20" i="9"/>
  <c r="J5" i="10"/>
  <c r="K5" i="10" s="1"/>
  <c r="M5" i="10" s="1"/>
  <c r="J6" i="10"/>
  <c r="K6" i="10" s="1"/>
  <c r="M6" i="10"/>
  <c r="E2" i="5"/>
  <c r="D2" i="5"/>
  <c r="L20" i="9" l="1"/>
  <c r="E3" i="1"/>
  <c r="W12" i="5"/>
  <c r="AB12" i="5" s="1"/>
  <c r="AC12" i="5" s="1"/>
  <c r="K23" i="9" l="1"/>
  <c r="N23" i="9" s="1"/>
  <c r="E23" i="9"/>
  <c r="J23" i="9" s="1"/>
  <c r="E2" i="1"/>
  <c r="E24" i="9"/>
  <c r="E22" i="9"/>
  <c r="E21" i="9"/>
  <c r="E19" i="9"/>
  <c r="E18" i="9"/>
  <c r="I10" i="7"/>
  <c r="I9" i="7"/>
  <c r="I8" i="7"/>
  <c r="I7" i="7"/>
  <c r="I6" i="7"/>
  <c r="I5" i="7"/>
  <c r="L23" i="9" l="1"/>
  <c r="W10" i="5"/>
  <c r="AB10" i="5" s="1"/>
  <c r="AC10" i="5" s="1"/>
  <c r="W9" i="5"/>
  <c r="AB9" i="5" s="1"/>
  <c r="AC9" i="5" s="1"/>
  <c r="D10" i="7"/>
  <c r="E10" i="7" s="1"/>
  <c r="D9" i="7"/>
  <c r="E9" i="7" s="1"/>
  <c r="D8" i="7"/>
  <c r="E8" i="7" s="1"/>
  <c r="K13" i="9"/>
  <c r="N13" i="9" s="1"/>
  <c r="J13" i="9"/>
  <c r="K12" i="9"/>
  <c r="N12" i="9" s="1"/>
  <c r="J12" i="9"/>
  <c r="K11" i="9"/>
  <c r="N11" i="9" s="1"/>
  <c r="J11" i="9"/>
  <c r="W8" i="5"/>
  <c r="AB8" i="5" s="1"/>
  <c r="AC8" i="5" s="1"/>
  <c r="W7" i="5"/>
  <c r="W5" i="5"/>
  <c r="W4" i="5"/>
  <c r="W3" i="5"/>
  <c r="L12" i="9" l="1"/>
  <c r="L11" i="9"/>
  <c r="L13" i="9"/>
  <c r="J13" i="7"/>
  <c r="K13" i="7" s="1"/>
  <c r="J12" i="7"/>
  <c r="K12" i="7" s="1"/>
  <c r="J11" i="7"/>
  <c r="K11" i="7" s="1"/>
  <c r="K17" i="9"/>
  <c r="N17" i="9" s="1"/>
  <c r="J17" i="9"/>
  <c r="K16" i="9"/>
  <c r="N16" i="9" s="1"/>
  <c r="J16" i="9"/>
  <c r="I3" i="9"/>
  <c r="M20" i="10"/>
  <c r="J20" i="10"/>
  <c r="K20" i="10" s="1"/>
  <c r="M19" i="10"/>
  <c r="J19" i="10"/>
  <c r="K19" i="10" s="1"/>
  <c r="M18" i="10"/>
  <c r="J18" i="10"/>
  <c r="K18" i="10" s="1"/>
  <c r="M17" i="10"/>
  <c r="J17" i="10"/>
  <c r="K17" i="10" s="1"/>
  <c r="L16" i="9" l="1"/>
  <c r="L17" i="9"/>
  <c r="W11" i="5" l="1"/>
  <c r="K19" i="9"/>
  <c r="N19" i="9" s="1"/>
  <c r="J19" i="9"/>
  <c r="L19" i="9" l="1"/>
  <c r="K9" i="9"/>
  <c r="N9" i="9" s="1"/>
  <c r="J9" i="9"/>
  <c r="K8" i="9"/>
  <c r="N8" i="9" s="1"/>
  <c r="J8" i="9"/>
  <c r="K10" i="9"/>
  <c r="J10" i="9"/>
  <c r="K7" i="9"/>
  <c r="N7" i="9" s="1"/>
  <c r="J7" i="9"/>
  <c r="J14" i="9"/>
  <c r="K14" i="9"/>
  <c r="N14" i="9" s="1"/>
  <c r="AB7" i="5"/>
  <c r="AC7" i="5" s="1"/>
  <c r="D7" i="7"/>
  <c r="E7" i="7" s="1"/>
  <c r="D6" i="7"/>
  <c r="E6" i="7" s="1"/>
  <c r="D5" i="7"/>
  <c r="E5" i="7" s="1"/>
  <c r="L9" i="9" l="1"/>
  <c r="L8" i="9"/>
  <c r="L10" i="9"/>
  <c r="N10" i="9"/>
  <c r="L7" i="9"/>
  <c r="L14" i="9"/>
  <c r="K4" i="9"/>
  <c r="N4" i="9" s="1"/>
  <c r="J4" i="9"/>
  <c r="K3" i="9"/>
  <c r="N3" i="9" s="1"/>
  <c r="J3" i="9"/>
  <c r="K2" i="9"/>
  <c r="N2" i="9" s="1"/>
  <c r="J2" i="9"/>
  <c r="K6" i="9"/>
  <c r="N6" i="9" s="1"/>
  <c r="J6" i="9"/>
  <c r="D4" i="7"/>
  <c r="E4" i="7" s="1"/>
  <c r="D3" i="7"/>
  <c r="E3" i="7" s="1"/>
  <c r="D2" i="7"/>
  <c r="E2" i="7" s="1"/>
  <c r="E4" i="1"/>
  <c r="K24" i="9"/>
  <c r="N24" i="9" s="1"/>
  <c r="J24" i="9"/>
  <c r="E4" i="5"/>
  <c r="C4" i="5"/>
  <c r="W2" i="5"/>
  <c r="AB4" i="5"/>
  <c r="AC4" i="5" s="1"/>
  <c r="AB5" i="5"/>
  <c r="AC5" i="5" s="1"/>
  <c r="J10" i="7"/>
  <c r="K10" i="7" s="1"/>
  <c r="J9" i="7"/>
  <c r="K9" i="7" s="1"/>
  <c r="J8" i="7"/>
  <c r="K8" i="7" s="1"/>
  <c r="J7" i="7"/>
  <c r="K7" i="7" s="1"/>
  <c r="J6" i="7"/>
  <c r="K6" i="7" s="1"/>
  <c r="J5" i="7"/>
  <c r="K5" i="7" s="1"/>
  <c r="J4" i="10"/>
  <c r="K4" i="10" s="1"/>
  <c r="J7" i="10"/>
  <c r="K7" i="10" s="1"/>
  <c r="L2" i="9" l="1"/>
  <c r="L4" i="9"/>
  <c r="L3" i="9"/>
  <c r="L6" i="9"/>
  <c r="L24" i="9"/>
  <c r="K21" i="9"/>
  <c r="N21" i="9" s="1"/>
  <c r="J21" i="9"/>
  <c r="K22" i="9"/>
  <c r="N22" i="9" s="1"/>
  <c r="J22" i="9"/>
  <c r="K18" i="9"/>
  <c r="N18" i="9" s="1"/>
  <c r="J18" i="9"/>
  <c r="AB11" i="5"/>
  <c r="AC11" i="5" s="1"/>
  <c r="E8" i="1"/>
  <c r="L21" i="9" l="1"/>
  <c r="L22" i="9"/>
  <c r="L18" i="9"/>
  <c r="K15" i="9"/>
  <c r="N15" i="9" s="1"/>
  <c r="J15" i="9"/>
  <c r="D10" i="1"/>
  <c r="L15" i="9" l="1"/>
  <c r="J16" i="10" l="1"/>
  <c r="K16" i="10" s="1"/>
  <c r="M16" i="10" s="1"/>
  <c r="J11" i="10" l="1"/>
  <c r="K11" i="10" s="1"/>
  <c r="M11" i="10"/>
  <c r="J10" i="10"/>
  <c r="K10" i="10" s="1"/>
  <c r="M10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13" i="10" l="1"/>
  <c r="K13" i="10" s="1"/>
  <c r="M13" i="10" s="1"/>
  <c r="J12" i="10"/>
  <c r="K12" i="10" s="1"/>
  <c r="M12" i="10" s="1"/>
  <c r="E5" i="1" l="1"/>
  <c r="J7" i="1" l="1"/>
  <c r="N6" i="1"/>
  <c r="I8" i="1" l="1"/>
  <c r="I7" i="1"/>
  <c r="I9" i="1" s="1"/>
  <c r="M11" i="1" s="1"/>
  <c r="I10" i="1" l="1"/>
  <c r="M12" i="1" s="1"/>
  <c r="M13" i="1"/>
  <c r="J14" i="10" l="1"/>
  <c r="K14" i="10" s="1"/>
  <c r="M14" i="10" s="1"/>
  <c r="J15" i="10"/>
  <c r="K15" i="10" s="1"/>
  <c r="M15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8" i="1" l="1"/>
  <c r="M6" i="1"/>
  <c r="M7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AB3" i="5" l="1"/>
  <c r="AC3" i="5" s="1"/>
  <c r="E7" i="1" l="1"/>
  <c r="E6" i="1" l="1"/>
  <c r="AB2" i="5" l="1"/>
  <c r="AC2" i="5" s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2" authorId="0" shapeId="0" xr:uid="{C7549971-BDD1-41C1-BAC9-F52422806386}">
      <text>
        <r>
          <rPr>
            <sz val="12"/>
            <color indexed="81"/>
            <rFont val="Times New Roman"/>
            <family val="1"/>
          </rPr>
          <t>Weapon Focus +1</t>
        </r>
      </text>
    </comment>
    <comment ref="I3" authorId="0" shapeId="0" xr:uid="{BC36D4A2-28A2-4715-8A8C-31632E9BF4C9}">
      <text>
        <r>
          <rPr>
            <sz val="12"/>
            <color indexed="81"/>
            <rFont val="Times New Roman"/>
            <family val="1"/>
          </rPr>
          <t>Weapon Focus +1</t>
        </r>
      </text>
    </comment>
    <comment ref="I9" authorId="0" shapeId="0" xr:uid="{E18F19B7-ABAD-4C0A-9BD8-68D7F4234BC3}">
      <text>
        <r>
          <rPr>
            <sz val="12"/>
            <color indexed="81"/>
            <rFont val="Times New Roman"/>
            <family val="1"/>
          </rPr>
          <t>Weapon Focus +1</t>
        </r>
      </text>
    </comment>
    <comment ref="E18" authorId="0" shapeId="0" xr:uid="{AE99BDF2-7D57-4D4A-A0A9-0C677F1C6CE2}">
      <text>
        <r>
          <rPr>
            <sz val="9"/>
            <color indexed="81"/>
            <rFont val="Tahoma"/>
            <family val="2"/>
          </rPr>
          <t>-2 Despair</t>
        </r>
      </text>
    </comment>
    <comment ref="F18" authorId="0" shapeId="0" xr:uid="{E23D846D-1319-4910-BE5C-72C8F3AD0CDB}">
      <text>
        <r>
          <rPr>
            <sz val="9"/>
            <color indexed="81"/>
            <rFont val="Tahoma"/>
            <family val="2"/>
          </rPr>
          <t xml:space="preserve">-2 </t>
        </r>
        <r>
          <rPr>
            <i/>
            <sz val="9"/>
            <color indexed="81"/>
            <rFont val="Tahoma"/>
            <family val="2"/>
          </rPr>
          <t>storm of shards</t>
        </r>
      </text>
    </comment>
    <comment ref="E19" authorId="0" shapeId="0" xr:uid="{3D0F20BC-6B5F-47B6-962A-982FCEBFA95C}">
      <text>
        <r>
          <rPr>
            <sz val="9"/>
            <color indexed="81"/>
            <rFont val="Tahoma"/>
            <family val="2"/>
          </rPr>
          <t>-2 Despair</t>
        </r>
      </text>
    </comment>
    <comment ref="F19" authorId="0" shapeId="0" xr:uid="{6DE7A921-5079-4861-8B2C-B801C30A17F2}">
      <text>
        <r>
          <rPr>
            <sz val="9"/>
            <color indexed="81"/>
            <rFont val="Tahoma"/>
            <family val="2"/>
          </rPr>
          <t xml:space="preserve">-2 </t>
        </r>
        <r>
          <rPr>
            <i/>
            <sz val="9"/>
            <color indexed="81"/>
            <rFont val="Tahoma"/>
            <family val="2"/>
          </rPr>
          <t>storm of shards</t>
        </r>
      </text>
    </comment>
    <comment ref="E20" authorId="0" shapeId="0" xr:uid="{8DD51F70-DE3E-44F7-A1A7-3488106E54AB}">
      <text>
        <r>
          <rPr>
            <sz val="9"/>
            <color indexed="81"/>
            <rFont val="Tahoma"/>
            <family val="2"/>
          </rPr>
          <t>-2 Despair</t>
        </r>
      </text>
    </comment>
    <comment ref="E21" authorId="0" shapeId="0" xr:uid="{3B481EA8-B233-4A6B-889D-7E8EC683EDCD}">
      <text>
        <r>
          <rPr>
            <sz val="9"/>
            <color indexed="81"/>
            <rFont val="Tahoma"/>
            <family val="2"/>
          </rPr>
          <t>-2 Despair</t>
        </r>
      </text>
    </comment>
    <comment ref="F21" authorId="0" shapeId="0" xr:uid="{9E5DEF38-AF2C-4963-98C1-8F4F252487AC}">
      <text>
        <r>
          <rPr>
            <sz val="9"/>
            <color indexed="81"/>
            <rFont val="Tahoma"/>
            <family val="2"/>
          </rPr>
          <t xml:space="preserve">-2 </t>
        </r>
        <r>
          <rPr>
            <i/>
            <sz val="9"/>
            <color indexed="81"/>
            <rFont val="Tahoma"/>
            <family val="2"/>
          </rPr>
          <t>storm of shards</t>
        </r>
      </text>
    </comment>
    <comment ref="E22" authorId="0" shapeId="0" xr:uid="{EB25FCE3-D349-4169-998E-B6E268DAD28F}">
      <text>
        <r>
          <rPr>
            <sz val="9"/>
            <color indexed="81"/>
            <rFont val="Tahoma"/>
            <family val="2"/>
          </rPr>
          <t>-2 Despair</t>
        </r>
      </text>
    </comment>
    <comment ref="E24" authorId="0" shapeId="0" xr:uid="{4314AE6F-7158-4CAE-B879-58363120CCEA}">
      <text>
        <r>
          <rPr>
            <sz val="9"/>
            <color indexed="81"/>
            <rFont val="Tahoma"/>
            <family val="2"/>
          </rPr>
          <t>-2 Despair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5" authorId="0" shapeId="0" xr:uid="{9AD130F6-7E43-4801-9A5D-EA8EC02C32F7}">
      <text>
        <r>
          <rPr>
            <sz val="9"/>
            <color indexed="81"/>
            <rFont val="Tahoma"/>
            <family val="2"/>
          </rPr>
          <t>-2 Despair</t>
        </r>
      </text>
    </comment>
    <comment ref="I6" authorId="0" shapeId="0" xr:uid="{BEB64809-382A-4C52-97AB-C582BD73CFB4}">
      <text>
        <r>
          <rPr>
            <sz val="9"/>
            <color indexed="81"/>
            <rFont val="Tahoma"/>
            <family val="2"/>
          </rPr>
          <t>-2 Despair</t>
        </r>
      </text>
    </comment>
    <comment ref="I7" authorId="0" shapeId="0" xr:uid="{2139E799-7A5F-487F-AD02-D34C88104D06}">
      <text>
        <r>
          <rPr>
            <sz val="9"/>
            <color indexed="81"/>
            <rFont val="Tahoma"/>
            <family val="2"/>
          </rPr>
          <t>-2 Despair</t>
        </r>
      </text>
    </comment>
    <comment ref="I8" authorId="0" shapeId="0" xr:uid="{9FBE7A18-1B6A-46A1-B218-939CA256B283}">
      <text>
        <r>
          <rPr>
            <sz val="9"/>
            <color indexed="81"/>
            <rFont val="Tahoma"/>
            <family val="2"/>
          </rPr>
          <t>-2 Despair</t>
        </r>
      </text>
    </comment>
    <comment ref="I9" authorId="0" shapeId="0" xr:uid="{0F56B782-CD3B-4E57-94B9-7E9A2B52E713}">
      <text>
        <r>
          <rPr>
            <sz val="9"/>
            <color indexed="81"/>
            <rFont val="Tahoma"/>
            <family val="2"/>
          </rPr>
          <t>-2 Despair</t>
        </r>
      </text>
    </comment>
    <comment ref="I10" authorId="0" shapeId="0" xr:uid="{7B66E646-360F-43BB-A650-888C6D1AB955}">
      <text>
        <r>
          <rPr>
            <sz val="9"/>
            <color indexed="81"/>
            <rFont val="Tahoma"/>
            <family val="2"/>
          </rPr>
          <t>-2 Despair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2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2" authorId="0" shapeId="0" xr:uid="{C52CB988-F82B-4BBD-9E6A-01A51ABE72FA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C3" authorId="0" shapeId="0" xr:uid="{D738A04A-8A3C-47B7-A1B7-B0CBC999949E}">
      <text>
        <r>
          <rPr>
            <i/>
            <sz val="12"/>
            <color indexed="81"/>
            <rFont val="Times New Roman"/>
            <family val="1"/>
          </rPr>
          <t>luminous armor +5
shield of faith +3</t>
        </r>
      </text>
    </comment>
    <comment ref="D3" authorId="0" shapeId="0" xr:uid="{8C11513B-65A7-4053-9FA4-265120EC53BE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E3" authorId="0" shapeId="0" xr:uid="{712B79CC-DCB6-4A19-8D8C-0BD8E1A67314}">
      <text>
        <r>
          <rPr>
            <i/>
            <sz val="12"/>
            <color indexed="81"/>
            <rFont val="Times New Roman"/>
            <family val="1"/>
          </rPr>
          <t>hawkarmor +5
shield of faith +3</t>
        </r>
      </text>
    </comment>
    <comment ref="C4" authorId="0" shapeId="0" xr:uid="{0AE2FD2E-EE88-4AA9-A4FB-C9E1438670C3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D4" authorId="0" shapeId="0" xr:uid="{B0A2B3E9-7330-43E7-9DC4-6BD240626586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E4" authorId="0" shapeId="0" xr:uid="{3B1D990F-C478-47A4-AB97-DDA1C51331FA}">
      <text>
        <r>
          <rPr>
            <i/>
            <sz val="12"/>
            <color indexed="81"/>
            <rFont val="Times New Roman"/>
            <family val="1"/>
          </rPr>
          <t>hawkarmor +5</t>
        </r>
      </text>
    </comment>
  </commentList>
</comments>
</file>

<file path=xl/sharedStrings.xml><?xml version="1.0" encoding="utf-8"?>
<sst xmlns="http://schemas.openxmlformats.org/spreadsheetml/2006/main" count="482" uniqueCount="180">
  <si>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</si>
  <si>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</si>
  <si>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</si>
  <si>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</si>
  <si>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</si>
  <si>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</si>
  <si>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</si>
  <si>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</si>
  <si>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</si>
  <si>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</si>
  <si>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</si>
  <si>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</si>
  <si>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</si>
  <si>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</si>
  <si>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</si>
  <si>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</si>
  <si>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</si>
  <si>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</si>
  <si>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</si>
  <si>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</si>
  <si>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</si>
  <si>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</si>
  <si>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</si>
  <si>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</si>
  <si>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</si>
  <si>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</si>
  <si>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</si>
  <si>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</si>
  <si>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</si>
  <si>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</si>
  <si>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</si>
  <si>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</si>
  <si>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</si>
  <si>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</si>
  <si>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</si>
  <si>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</si>
  <si>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</si>
  <si>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</si>
  <si>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</si>
  <si>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</si>
  <si>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</si>
  <si>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</si>
  <si>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</si>
  <si>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</si>
  <si>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</si>
  <si>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</si>
  <si>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</si>
  <si>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</si>
  <si>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</si>
  <si>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</si>
  <si>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</si>
  <si>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</si>
  <si>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</si>
  <si>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</si>
  <si>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</si>
  <si>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</si>
  <si>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</si>
  <si>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</si>
  <si>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</si>
  <si>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</si>
  <si>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</si>
  <si>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</si>
  <si>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</si>
  <si>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</si>
  <si>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</si>
  <si>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</si>
  <si>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</si>
  <si>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</si>
  <si>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</si>
  <si>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</si>
  <si>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</si>
  <si>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</si>
  <si>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</si>
  <si>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</si>
  <si>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</si>
  <si>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</si>
  <si>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</si>
  <si>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</si>
  <si>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</si>
  <si>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</si>
  <si>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</si>
  <si>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</si>
  <si>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</si>
  <si>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</si>
  <si>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</si>
  <si>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</si>
  <si>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</si>
  <si>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</si>
  <si>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</si>
  <si>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</si>
  <si>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</si>
  <si>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</si>
  <si>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</si>
  <si>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</si>
  <si>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</si>
  <si>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</si>
  <si>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</si>
  <si>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Saradette</t>
  </si>
  <si>
    <t>Check</t>
  </si>
  <si>
    <t>Party</t>
  </si>
  <si>
    <t>Time @ Round 1</t>
  </si>
  <si>
    <t>Current Time</t>
  </si>
  <si>
    <t>Result</t>
  </si>
  <si>
    <t>Rogue / Illusionist / Artificer</t>
  </si>
  <si>
    <t>Tore</t>
  </si>
  <si>
    <t>Levels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</si>
  <si>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</si>
  <si>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Speed</t>
  </si>
  <si>
    <t>7d</t>
  </si>
  <si>
    <t>8d</t>
  </si>
  <si>
    <t>9d</t>
  </si>
  <si>
    <t>10d</t>
  </si>
  <si>
    <t>R20</t>
  </si>
  <si>
    <t>R30+20</t>
  </si>
  <si>
    <t>þ</t>
  </si>
  <si>
    <t>Grapple</t>
  </si>
  <si>
    <t>Fighter / Cleric of Lurue</t>
  </si>
  <si>
    <t>Bite</t>
  </si>
  <si>
    <t>Detect Magic</t>
  </si>
  <si>
    <t>Summon Monster II</t>
  </si>
  <si>
    <t>Celestial riding dog</t>
  </si>
  <si>
    <t>1d6+3</t>
  </si>
  <si>
    <t>Akilesh</t>
  </si>
  <si>
    <t>Sanctuary</t>
  </si>
  <si>
    <t>Zvetlana</t>
  </si>
  <si>
    <t>Favored Soul of Lurue</t>
  </si>
  <si>
    <t>Wereserpent Aristocrat</t>
  </si>
  <si>
    <t>1d10+1</t>
  </si>
  <si>
    <t>Light Crossbow +2</t>
  </si>
  <si>
    <t>1d8+2</t>
  </si>
  <si>
    <t>Spiked Club +1</t>
  </si>
  <si>
    <t>1d8+1+3</t>
  </si>
  <si>
    <t>Chaav’s Laugh</t>
  </si>
  <si>
    <t>Heavy Crossbow +1</t>
  </si>
  <si>
    <t>Slitsevere</t>
  </si>
  <si>
    <t>Hand Crossbow</t>
  </si>
  <si>
    <t>Sap</t>
  </si>
  <si>
    <t>Dagger</t>
  </si>
  <si>
    <t>Rogue</t>
  </si>
  <si>
    <t>1d4+</t>
  </si>
  <si>
    <t>1d3+ nonlethal</t>
  </si>
  <si>
    <t>Sneak Attack +5d6</t>
  </si>
  <si>
    <t>Hand Crossbow +1</t>
  </si>
  <si>
    <t>1d4+1</t>
  </si>
  <si>
    <t>Kukri +2</t>
  </si>
  <si>
    <t>silver/magic</t>
  </si>
  <si>
    <t>1d6+2+2</t>
  </si>
  <si>
    <t>Celestial giant bee</t>
  </si>
  <si>
    <t>Sting</t>
  </si>
  <si>
    <t>1d4+Poison</t>
  </si>
  <si>
    <t>Vampire Ranger</t>
  </si>
  <si>
    <t>Lamia</t>
  </si>
  <si>
    <t>*</t>
  </si>
  <si>
    <t>Python Staff</t>
  </si>
  <si>
    <t>Mage Armor</t>
  </si>
  <si>
    <t>Nimbus of Light</t>
  </si>
  <si>
    <t>Fort DC 11, initial and Secondary damage 1d4 Con</t>
  </si>
  <si>
    <t>Spiritual Shortspear</t>
  </si>
  <si>
    <t>Spiritual Weapon</t>
  </si>
  <si>
    <t>Celestial beetle</t>
  </si>
  <si>
    <t>Claw/Touch Attack</t>
  </si>
  <si>
    <t>1d6+2</t>
  </si>
  <si>
    <t>Willow</t>
  </si>
  <si>
    <t>24/29 rngd</t>
  </si>
  <si>
    <t>R5</t>
  </si>
  <si>
    <t>cold iron</t>
  </si>
  <si>
    <t>Ja’ama</t>
  </si>
  <si>
    <t>Unholy Longsword</t>
  </si>
  <si>
    <t>Juvenile Balor</t>
  </si>
  <si>
    <t>Longsword, 2nd Attack</t>
  </si>
  <si>
    <t>1d8+5+1d6 Unholy</t>
  </si>
  <si>
    <t>Dextir</t>
  </si>
  <si>
    <t>1d4-1</t>
  </si>
  <si>
    <t>Turret</t>
  </si>
  <si>
    <t>Dagger +3</t>
  </si>
  <si>
    <t>1d4+3</t>
  </si>
  <si>
    <t>cold iron/good</t>
  </si>
  <si>
    <t>Shield of Faith</t>
  </si>
  <si>
    <t>Argent</t>
  </si>
  <si>
    <t>10d10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</si>
</sst>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indexed="81"/>
      <name val="Times New Roman"/>
      <family val="1"/>
    </font>
    <font>
      <sz val="9"/>
      <color indexed="81"/>
      <name val="Tahoma"/>
      <family val="2"/>
    </font>
    <font>
      <sz val="12"/>
      <color rgb="FFFF0000"/>
      <name val="Times New Roman"/>
      <family val="2"/>
    </font>
    <font>
      <b/>
      <sz val="12"/>
      <color rgb="FF9900FF"/>
      <name val="Times New Roman"/>
      <family val="1"/>
    </font>
    <font>
      <i/>
      <sz val="9"/>
      <color indexed="81"/>
      <name val="Tahoma"/>
      <family val="2"/>
    </font>
    <font>
      <i/>
      <sz val="12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7" fillId="0" borderId="0"/>
  </cellStyleXfs>
  <cellXfs count="21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5" fillId="24" borderId="49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6" borderId="31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2" fillId="26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164" fontId="7" fillId="5" borderId="39" xfId="0" applyNumberFormat="1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49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2" xfId="0" applyFont="1" applyFill="1" applyBorder="1" applyAlignment="1">
      <alignment horizontal="center" vertical="center" wrapText="1"/>
    </xf>
    <xf numFmtId="0" fontId="6" fillId="28" borderId="52" xfId="0" applyFont="1" applyFill="1" applyBorder="1" applyAlignment="1">
      <alignment horizontal="center" vertical="center" wrapText="1"/>
    </xf>
    <xf numFmtId="20" fontId="19" fillId="0" borderId="51" xfId="0" applyNumberFormat="1" applyFont="1" applyBorder="1" applyAlignment="1">
      <alignment horizontal="center" vertical="center"/>
    </xf>
    <xf numFmtId="0" fontId="2" fillId="29" borderId="52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3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30" borderId="25" xfId="0" applyFont="1" applyFill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7" xfId="1" applyBorder="1" applyAlignment="1">
      <alignment horizontal="center" vertical="center"/>
    </xf>
    <xf numFmtId="0" fontId="3" fillId="2" borderId="58" xfId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" fillId="7" borderId="49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0" fontId="5" fillId="0" borderId="31" xfId="0" quotePrefix="1" applyFont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5" fillId="22" borderId="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30" fillId="6" borderId="30" xfId="0" applyFont="1" applyFill="1" applyBorder="1" applyAlignment="1">
      <alignment horizontal="center" vertical="center"/>
    </xf>
    <xf numFmtId="0" fontId="30" fillId="6" borderId="31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31" fillId="6" borderId="30" xfId="0" applyFont="1" applyFill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11" fillId="8" borderId="46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8" borderId="46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</cellXfs>
  <cellStyles count="15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Percent" xfId="11" builtinId="5"/>
    <cellStyle name="Percent 2" xfId="6" xr:uid="{00000000-0005-0000-0000-00000B000000}"/>
    <cellStyle name="Percent 2 2" xfId="8" xr:uid="{00000000-0005-0000-0000-00000C000000}"/>
  </cellStyles>
  <dxfs count="2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00FF"/>
      <color rgb="FF00FFFF"/>
      <color rgb="FFFF6600"/>
      <color rgb="FFFF0066"/>
      <color rgb="FF99FF99"/>
      <color rgb="FFCCFFCC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17</c:v>
                </c:pt>
                <c:pt idx="7">
                  <c:v>17</c:v>
                </c:pt>
                <c:pt idx="8">
                  <c:v>16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13</c:v>
                </c:pt>
                <c:pt idx="5">
                  <c:v>14</c:v>
                </c:pt>
                <c:pt idx="6">
                  <c:v>16</c:v>
                </c:pt>
                <c:pt idx="7">
                  <c:v>16</c:v>
                </c:pt>
                <c:pt idx="8">
                  <c:v>24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11</c:v>
                </c:pt>
                <c:pt idx="2">
                  <c:v>7</c:v>
                </c:pt>
                <c:pt idx="3">
                  <c:v>13</c:v>
                </c:pt>
                <c:pt idx="4">
                  <c:v>21</c:v>
                </c:pt>
                <c:pt idx="5">
                  <c:v>23</c:v>
                </c:pt>
                <c:pt idx="6">
                  <c:v>28</c:v>
                </c:pt>
                <c:pt idx="7">
                  <c:v>27</c:v>
                </c:pt>
                <c:pt idx="8">
                  <c:v>33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12</c:v>
                </c:pt>
                <c:pt idx="2">
                  <c:v>19</c:v>
                </c:pt>
                <c:pt idx="3">
                  <c:v>12</c:v>
                </c:pt>
                <c:pt idx="4">
                  <c:v>16</c:v>
                </c:pt>
                <c:pt idx="5">
                  <c:v>31</c:v>
                </c:pt>
                <c:pt idx="6">
                  <c:v>25</c:v>
                </c:pt>
                <c:pt idx="7">
                  <c:v>33</c:v>
                </c:pt>
                <c:pt idx="8">
                  <c:v>37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25</c:v>
                </c:pt>
                <c:pt idx="3">
                  <c:v>22</c:v>
                </c:pt>
                <c:pt idx="4">
                  <c:v>28</c:v>
                </c:pt>
                <c:pt idx="5">
                  <c:v>32</c:v>
                </c:pt>
                <c:pt idx="6">
                  <c:v>51</c:v>
                </c:pt>
                <c:pt idx="7">
                  <c:v>41</c:v>
                </c:pt>
                <c:pt idx="8">
                  <c:v>46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12</c:v>
                </c:pt>
                <c:pt idx="1">
                  <c:v>6</c:v>
                </c:pt>
                <c:pt idx="2">
                  <c:v>26</c:v>
                </c:pt>
                <c:pt idx="3">
                  <c:v>17</c:v>
                </c:pt>
                <c:pt idx="4">
                  <c:v>47</c:v>
                </c:pt>
                <c:pt idx="5">
                  <c:v>53</c:v>
                </c:pt>
                <c:pt idx="6">
                  <c:v>34</c:v>
                </c:pt>
                <c:pt idx="7">
                  <c:v>40</c:v>
                </c:pt>
                <c:pt idx="8">
                  <c:v>55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3">
                  <c:v>15</c:v>
                </c:pt>
                <c:pt idx="4">
                  <c:v>74</c:v>
                </c:pt>
                <c:pt idx="5">
                  <c:v>48</c:v>
                </c:pt>
                <c:pt idx="6">
                  <c:v>64</c:v>
                </c:pt>
                <c:pt idx="7">
                  <c:v>90</c:v>
                </c:pt>
                <c:pt idx="8">
                  <c:v>78</c:v>
                </c:pt>
                <c:pt idx="9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12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11</c:v>
                </c:pt>
                <c:pt idx="3">
                  <c:v>12</c:v>
                </c:pt>
                <c:pt idx="4">
                  <c:v>8</c:v>
                </c:pt>
                <c:pt idx="5">
                  <c:v>6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19</c:v>
                </c:pt>
                <c:pt idx="4">
                  <c:v>25</c:v>
                </c:pt>
                <c:pt idx="5">
                  <c:v>26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13</c:v>
                </c:pt>
                <c:pt idx="3">
                  <c:v>12</c:v>
                </c:pt>
                <c:pt idx="4">
                  <c:v>22</c:v>
                </c:pt>
                <c:pt idx="5">
                  <c:v>17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14</c:v>
                </c:pt>
                <c:pt idx="1">
                  <c:v>13</c:v>
                </c:pt>
                <c:pt idx="2">
                  <c:v>21</c:v>
                </c:pt>
                <c:pt idx="3">
                  <c:v>16</c:v>
                </c:pt>
                <c:pt idx="4">
                  <c:v>28</c:v>
                </c:pt>
                <c:pt idx="5">
                  <c:v>47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23</c:v>
                </c:pt>
                <c:pt idx="3">
                  <c:v>31</c:v>
                </c:pt>
                <c:pt idx="4">
                  <c:v>32</c:v>
                </c:pt>
                <c:pt idx="5">
                  <c:v>53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17</c:v>
                </c:pt>
                <c:pt idx="1">
                  <c:v>16</c:v>
                </c:pt>
                <c:pt idx="2">
                  <c:v>28</c:v>
                </c:pt>
                <c:pt idx="3">
                  <c:v>25</c:v>
                </c:pt>
                <c:pt idx="4">
                  <c:v>51</c:v>
                </c:pt>
                <c:pt idx="5">
                  <c:v>34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17</c:v>
                </c:pt>
                <c:pt idx="1">
                  <c:v>16</c:v>
                </c:pt>
                <c:pt idx="2">
                  <c:v>27</c:v>
                </c:pt>
                <c:pt idx="3">
                  <c:v>33</c:v>
                </c:pt>
                <c:pt idx="4">
                  <c:v>41</c:v>
                </c:pt>
                <c:pt idx="5">
                  <c:v>40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16</c:v>
                </c:pt>
                <c:pt idx="1">
                  <c:v>24</c:v>
                </c:pt>
                <c:pt idx="2">
                  <c:v>33</c:v>
                </c:pt>
                <c:pt idx="3">
                  <c:v>37</c:v>
                </c:pt>
                <c:pt idx="4">
                  <c:v>46</c:v>
                </c:pt>
                <c:pt idx="5">
                  <c:v>55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21</c:v>
                </c:pt>
                <c:pt idx="1">
                  <c:v>24</c:v>
                </c:pt>
                <c:pt idx="2">
                  <c:v>28</c:v>
                </c:pt>
                <c:pt idx="3">
                  <c:v>52</c:v>
                </c:pt>
                <c:pt idx="4">
                  <c:v>62</c:v>
                </c:pt>
                <c:pt idx="5">
                  <c:v>62</c:v>
                </c:pt>
                <c:pt idx="6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17</c:v>
                </c:pt>
                <c:pt idx="7">
                  <c:v>17</c:v>
                </c:pt>
                <c:pt idx="8">
                  <c:v>16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13</c:v>
                </c:pt>
                <c:pt idx="5">
                  <c:v>14</c:v>
                </c:pt>
                <c:pt idx="6">
                  <c:v>16</c:v>
                </c:pt>
                <c:pt idx="7">
                  <c:v>16</c:v>
                </c:pt>
                <c:pt idx="8">
                  <c:v>24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11</c:v>
                </c:pt>
                <c:pt idx="2">
                  <c:v>7</c:v>
                </c:pt>
                <c:pt idx="3">
                  <c:v>13</c:v>
                </c:pt>
                <c:pt idx="4">
                  <c:v>21</c:v>
                </c:pt>
                <c:pt idx="5">
                  <c:v>23</c:v>
                </c:pt>
                <c:pt idx="6">
                  <c:v>28</c:v>
                </c:pt>
                <c:pt idx="7">
                  <c:v>27</c:v>
                </c:pt>
                <c:pt idx="8">
                  <c:v>33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12</c:v>
                </c:pt>
                <c:pt idx="2">
                  <c:v>19</c:v>
                </c:pt>
                <c:pt idx="3">
                  <c:v>12</c:v>
                </c:pt>
                <c:pt idx="4">
                  <c:v>16</c:v>
                </c:pt>
                <c:pt idx="5">
                  <c:v>31</c:v>
                </c:pt>
                <c:pt idx="6">
                  <c:v>25</c:v>
                </c:pt>
                <c:pt idx="7">
                  <c:v>33</c:v>
                </c:pt>
                <c:pt idx="8">
                  <c:v>37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25</c:v>
                </c:pt>
                <c:pt idx="3">
                  <c:v>22</c:v>
                </c:pt>
                <c:pt idx="4">
                  <c:v>28</c:v>
                </c:pt>
                <c:pt idx="5">
                  <c:v>32</c:v>
                </c:pt>
                <c:pt idx="6">
                  <c:v>51</c:v>
                </c:pt>
                <c:pt idx="7">
                  <c:v>41</c:v>
                </c:pt>
                <c:pt idx="8">
                  <c:v>46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12</c:v>
                </c:pt>
                <c:pt idx="1">
                  <c:v>6</c:v>
                </c:pt>
                <c:pt idx="2">
                  <c:v>26</c:v>
                </c:pt>
                <c:pt idx="3">
                  <c:v>17</c:v>
                </c:pt>
                <c:pt idx="4">
                  <c:v>47</c:v>
                </c:pt>
                <c:pt idx="5">
                  <c:v>53</c:v>
                </c:pt>
                <c:pt idx="6">
                  <c:v>34</c:v>
                </c:pt>
                <c:pt idx="7">
                  <c:v>40</c:v>
                </c:pt>
                <c:pt idx="8">
                  <c:v>55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3">
                  <c:v>15</c:v>
                </c:pt>
                <c:pt idx="4">
                  <c:v>74</c:v>
                </c:pt>
                <c:pt idx="5">
                  <c:v>48</c:v>
                </c:pt>
                <c:pt idx="6">
                  <c:v>64</c:v>
                </c:pt>
                <c:pt idx="7">
                  <c:v>90</c:v>
                </c:pt>
                <c:pt idx="8">
                  <c:v>78</c:v>
                </c:pt>
                <c:pt idx="9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zoomScaleNormal="100" workbookViewId="0"/>
  </sheetViews>
  <sheetFormatPr defaultRowHeight="15.6" x14ac:dyDescent="0.3"/>
  <cols>
    <col min="1" max="1" width="10.296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6" style="48" bestFit="1" customWidth="1"/>
    <col min="7" max="7" width="3" style="43" customWidth="1"/>
    <col min="8" max="8" width="14.09765625" style="43" bestFit="1" customWidth="1"/>
    <col min="9" max="9" width="4.8984375" style="43" bestFit="1" customWidth="1"/>
    <col min="10" max="10" width="24.19921875" style="43" bestFit="1" customWidth="1"/>
    <col min="11" max="11" width="3" style="43" customWidth="1"/>
    <col min="12" max="12" width="15" style="43" customWidth="1"/>
    <col min="13" max="13" width="4.3984375" style="43" bestFit="1" customWidth="1"/>
    <col min="14" max="14" width="16.69921875" style="43" bestFit="1" customWidth="1"/>
    <col min="15" max="16384" width="8.796875" style="43"/>
  </cols>
  <sheetData>
    <row r="1" spans="1:14" s="38" customFormat="1" ht="31.8" thickBot="1" x14ac:dyDescent="0.35">
      <c r="A1" s="157" t="s">
        <v>0</v>
      </c>
      <c r="B1" s="157" t="s">
        <v>1</v>
      </c>
      <c r="C1" s="157" t="s">
        <v>2</v>
      </c>
      <c r="D1" s="158" t="s">
        <v>3</v>
      </c>
      <c r="E1" s="37" t="s">
        <v>4</v>
      </c>
      <c r="F1" s="157" t="s">
        <v>107</v>
      </c>
      <c r="H1" s="39" t="s">
        <v>106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142" t="s">
        <v>162</v>
      </c>
      <c r="B2" s="142">
        <v>1</v>
      </c>
      <c r="C2" s="44">
        <v>6</v>
      </c>
      <c r="D2" s="45">
        <v>17</v>
      </c>
      <c r="E2" s="44">
        <f t="shared" ref="E2:E8" si="0">SUM(C2:D2)</f>
        <v>23</v>
      </c>
      <c r="F2" s="44" t="s">
        <v>95</v>
      </c>
      <c r="H2" s="66" t="s">
        <v>0</v>
      </c>
      <c r="I2" s="67" t="s">
        <v>20</v>
      </c>
      <c r="J2" s="68" t="s">
        <v>105</v>
      </c>
      <c r="L2" s="122" t="s">
        <v>0</v>
      </c>
      <c r="M2" s="123" t="s">
        <v>81</v>
      </c>
      <c r="N2" s="124" t="s">
        <v>63</v>
      </c>
    </row>
    <row r="3" spans="1:14" x14ac:dyDescent="0.3">
      <c r="A3" s="142" t="s">
        <v>166</v>
      </c>
      <c r="B3" s="142">
        <v>1</v>
      </c>
      <c r="C3" s="44">
        <v>5</v>
      </c>
      <c r="D3" s="45">
        <v>17</v>
      </c>
      <c r="E3" s="44">
        <f t="shared" si="0"/>
        <v>22</v>
      </c>
      <c r="F3" s="44" t="s">
        <v>5</v>
      </c>
      <c r="H3" s="171" t="s">
        <v>122</v>
      </c>
      <c r="I3" s="58">
        <v>11</v>
      </c>
      <c r="J3" s="179" t="s">
        <v>125</v>
      </c>
      <c r="L3" s="125" t="s">
        <v>162</v>
      </c>
      <c r="M3" s="112">
        <v>11</v>
      </c>
      <c r="N3" s="126" t="s">
        <v>151</v>
      </c>
    </row>
    <row r="4" spans="1:14" x14ac:dyDescent="0.3">
      <c r="A4" s="58" t="s">
        <v>124</v>
      </c>
      <c r="B4" s="58">
        <v>1</v>
      </c>
      <c r="C4" s="44">
        <v>4</v>
      </c>
      <c r="D4" s="45">
        <v>11</v>
      </c>
      <c r="E4" s="44">
        <f t="shared" si="0"/>
        <v>15</v>
      </c>
      <c r="F4" s="44" t="s">
        <v>5</v>
      </c>
      <c r="H4" s="69" t="s">
        <v>97</v>
      </c>
      <c r="I4" s="65">
        <v>11</v>
      </c>
      <c r="J4" s="70" t="s">
        <v>103</v>
      </c>
      <c r="L4" s="125" t="s">
        <v>134</v>
      </c>
      <c r="M4" s="112">
        <v>10</v>
      </c>
      <c r="N4" s="126" t="s">
        <v>150</v>
      </c>
    </row>
    <row r="5" spans="1:14" ht="16.2" thickBot="1" x14ac:dyDescent="0.35">
      <c r="A5" s="142" t="s">
        <v>134</v>
      </c>
      <c r="B5" s="142">
        <v>1</v>
      </c>
      <c r="C5" s="44">
        <v>6</v>
      </c>
      <c r="D5" s="45">
        <v>6</v>
      </c>
      <c r="E5" s="44">
        <f t="shared" si="0"/>
        <v>12</v>
      </c>
      <c r="F5" s="44" t="s">
        <v>152</v>
      </c>
      <c r="H5" s="69" t="s">
        <v>104</v>
      </c>
      <c r="I5" s="65">
        <v>11</v>
      </c>
      <c r="J5" s="70" t="s">
        <v>116</v>
      </c>
      <c r="L5" s="165" t="s">
        <v>166</v>
      </c>
      <c r="M5" s="166">
        <v>10</v>
      </c>
      <c r="N5" s="167" t="s">
        <v>138</v>
      </c>
    </row>
    <row r="6" spans="1:14" ht="16.2" thickBot="1" x14ac:dyDescent="0.35">
      <c r="A6" s="65" t="s">
        <v>97</v>
      </c>
      <c r="B6" s="65">
        <v>1</v>
      </c>
      <c r="C6" s="44">
        <v>3</v>
      </c>
      <c r="D6" s="45">
        <v>8</v>
      </c>
      <c r="E6" s="44">
        <f t="shared" si="0"/>
        <v>11</v>
      </c>
      <c r="F6" s="44" t="s">
        <v>95</v>
      </c>
      <c r="H6" s="194" t="s">
        <v>124</v>
      </c>
      <c r="I6" s="195">
        <v>11</v>
      </c>
      <c r="J6" s="196" t="s">
        <v>126</v>
      </c>
      <c r="L6" s="127" t="s">
        <v>21</v>
      </c>
      <c r="M6" s="156">
        <f>SUM(M3:M5)</f>
        <v>31</v>
      </c>
      <c r="N6" s="170" t="str">
        <f>CONCATENATE("Average Level: ",ROUND(AVERAGE(M3:M5),0))</f>
        <v>Average Level: 10</v>
      </c>
    </row>
    <row r="7" spans="1:14" x14ac:dyDescent="0.3">
      <c r="A7" s="65" t="s">
        <v>104</v>
      </c>
      <c r="B7" s="65">
        <v>1</v>
      </c>
      <c r="C7" s="44">
        <v>2</v>
      </c>
      <c r="D7" s="45">
        <v>7</v>
      </c>
      <c r="E7" s="44">
        <f t="shared" si="0"/>
        <v>9</v>
      </c>
      <c r="F7" s="44" t="s">
        <v>5</v>
      </c>
      <c r="H7" s="71" t="s">
        <v>21</v>
      </c>
      <c r="I7" s="72">
        <f>SUM(I3:I6)</f>
        <v>44</v>
      </c>
      <c r="J7" s="169" t="str">
        <f>CONCATENATE("Average Level: ",ROUND(AVERAGE(I3:I6),0))</f>
        <v>Average Level: 11</v>
      </c>
      <c r="L7" s="127" t="s">
        <v>94</v>
      </c>
      <c r="M7" s="128">
        <f>AVERAGE(M3:M5)</f>
        <v>10.333333333333334</v>
      </c>
      <c r="N7" s="126"/>
    </row>
    <row r="8" spans="1:14" ht="16.2" thickBot="1" x14ac:dyDescent="0.35">
      <c r="A8" s="58" t="s">
        <v>122</v>
      </c>
      <c r="B8" s="58">
        <v>1</v>
      </c>
      <c r="C8" s="44">
        <v>2</v>
      </c>
      <c r="D8" s="45">
        <v>2</v>
      </c>
      <c r="E8" s="44">
        <f t="shared" si="0"/>
        <v>4</v>
      </c>
      <c r="F8" s="44" t="s">
        <v>5</v>
      </c>
      <c r="H8" s="71" t="s">
        <v>22</v>
      </c>
      <c r="I8" s="72">
        <f>COUNT(I3:I6)</f>
        <v>4</v>
      </c>
      <c r="J8" s="73"/>
      <c r="L8" s="129" t="s">
        <v>22</v>
      </c>
      <c r="M8" s="130">
        <f>COUNT(M3:M5)</f>
        <v>3</v>
      </c>
      <c r="N8" s="131"/>
    </row>
    <row r="9" spans="1:14" ht="16.2" thickTop="1" x14ac:dyDescent="0.3">
      <c r="B9" s="43"/>
      <c r="C9" s="43"/>
      <c r="E9" s="43"/>
      <c r="F9" s="43"/>
      <c r="H9" s="71" t="s">
        <v>24</v>
      </c>
      <c r="I9" s="74">
        <f>I7/4</f>
        <v>11</v>
      </c>
      <c r="J9" s="70" t="s">
        <v>25</v>
      </c>
    </row>
    <row r="10" spans="1:14" ht="16.2" thickBot="1" x14ac:dyDescent="0.35">
      <c r="D10" s="45">
        <f t="shared" ref="D10" ca="1" si="1">RANDBETWEEN(1,20)</f>
        <v>9</v>
      </c>
      <c r="H10" s="75" t="s">
        <v>26</v>
      </c>
      <c r="I10" s="76">
        <f>I9*2</f>
        <v>22</v>
      </c>
      <c r="J10" s="77" t="s">
        <v>27</v>
      </c>
      <c r="N10" s="78"/>
    </row>
    <row r="11" spans="1:14" ht="16.2" thickTop="1" x14ac:dyDescent="0.3">
      <c r="L11" s="79" t="s">
        <v>28</v>
      </c>
      <c r="M11" s="80">
        <f>I9</f>
        <v>11</v>
      </c>
      <c r="N11" s="78"/>
    </row>
    <row r="12" spans="1:14" x14ac:dyDescent="0.3">
      <c r="L12" s="79" t="s">
        <v>29</v>
      </c>
      <c r="M12" s="80">
        <f>I10</f>
        <v>22</v>
      </c>
      <c r="N12" s="78"/>
    </row>
    <row r="13" spans="1:14" x14ac:dyDescent="0.3">
      <c r="L13" s="79" t="s">
        <v>30</v>
      </c>
      <c r="M13" s="80">
        <f>I7</f>
        <v>44</v>
      </c>
      <c r="N13" s="78"/>
    </row>
    <row r="15" spans="1:14" x14ac:dyDescent="0.3">
      <c r="L15" s="81" t="s">
        <v>31</v>
      </c>
      <c r="M15" s="80">
        <f>M6</f>
        <v>31</v>
      </c>
    </row>
  </sheetData>
  <sortState xmlns:xlrd2="http://schemas.microsoft.com/office/spreadsheetml/2017/richdata2" ref="A2:F8">
    <sortCondition descending="1" ref="E2:E8"/>
    <sortCondition descending="1" ref="C2:C8"/>
  </sortState>
  <conditionalFormatting sqref="M15">
    <cfRule type="cellIs" dxfId="23" priority="1434" operator="greaterThan">
      <formula>$M$13</formula>
    </cfRule>
    <cfRule type="cellIs" dxfId="22" priority="1435" operator="between">
      <formula>$M$12</formula>
      <formula>$M$13</formula>
    </cfRule>
    <cfRule type="cellIs" dxfId="21" priority="1436" operator="between">
      <formula>$M$11</formula>
      <formula>$M$12</formula>
    </cfRule>
    <cfRule type="cellIs" dxfId="20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6.3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6" bestFit="1" customWidth="1"/>
    <col min="13" max="13" width="7.5" style="56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2" customFormat="1" ht="31.8" thickBot="1" x14ac:dyDescent="0.35">
      <c r="A1" s="162" t="s">
        <v>70</v>
      </c>
      <c r="B1" s="162" t="s">
        <v>71</v>
      </c>
      <c r="C1" s="162" t="s">
        <v>72</v>
      </c>
      <c r="D1" s="162" t="s">
        <v>73</v>
      </c>
      <c r="E1" s="162" t="s">
        <v>92</v>
      </c>
      <c r="F1" s="162" t="s">
        <v>91</v>
      </c>
      <c r="G1" s="162" t="s">
        <v>90</v>
      </c>
      <c r="H1" s="162" t="s">
        <v>89</v>
      </c>
      <c r="I1" s="162" t="s">
        <v>93</v>
      </c>
      <c r="J1" s="162" t="s">
        <v>74</v>
      </c>
      <c r="K1" s="162" t="s">
        <v>75</v>
      </c>
      <c r="L1" s="162" t="s">
        <v>76</v>
      </c>
      <c r="M1" s="162" t="s">
        <v>77</v>
      </c>
      <c r="O1" s="146" t="s">
        <v>78</v>
      </c>
      <c r="P1" s="62">
        <v>1</v>
      </c>
      <c r="Q1" s="147" t="s">
        <v>100</v>
      </c>
      <c r="R1" s="148">
        <v>0.5</v>
      </c>
      <c r="S1" s="149" t="s">
        <v>101</v>
      </c>
      <c r="T1" s="148">
        <f>R1+((P1)/(24*60*10))</f>
        <v>0.50006944444444446</v>
      </c>
    </row>
    <row r="2" spans="1:20" ht="16.8" x14ac:dyDescent="0.3">
      <c r="A2" s="161" t="s">
        <v>104</v>
      </c>
      <c r="B2" s="87" t="s">
        <v>118</v>
      </c>
      <c r="C2" s="87"/>
      <c r="D2" s="53">
        <v>8</v>
      </c>
      <c r="E2" s="159" t="s">
        <v>79</v>
      </c>
      <c r="F2" s="159" t="s">
        <v>114</v>
      </c>
      <c r="G2" s="159" t="s">
        <v>79</v>
      </c>
      <c r="H2" s="159" t="s">
        <v>79</v>
      </c>
      <c r="I2" s="87"/>
      <c r="J2" s="87">
        <f t="shared" ref="J2:J20" si="0">IF($E2="þ",$D2,IF($F2="þ",($D2*10),IF($G2="þ",($D2*100),IF($H2="þ",($D2*600),$I2))))</f>
        <v>80</v>
      </c>
      <c r="K2" s="87">
        <f t="shared" ref="K2" si="1">J2+C2</f>
        <v>80</v>
      </c>
      <c r="L2" s="54" t="s">
        <v>79</v>
      </c>
      <c r="M2" s="160" t="str">
        <f t="shared" ref="M2:M8" si="2">IF(C2="","",IF(K2&lt;=$P$1,"þ","q"))</f>
        <v/>
      </c>
    </row>
    <row r="3" spans="1:20" ht="16.8" x14ac:dyDescent="0.3">
      <c r="A3" s="137" t="s">
        <v>104</v>
      </c>
      <c r="B3" s="53" t="s">
        <v>119</v>
      </c>
      <c r="C3" s="53">
        <v>126</v>
      </c>
      <c r="D3" s="53">
        <v>8</v>
      </c>
      <c r="E3" s="54" t="s">
        <v>114</v>
      </c>
      <c r="F3" s="159" t="s">
        <v>79</v>
      </c>
      <c r="G3" s="54" t="s">
        <v>79</v>
      </c>
      <c r="H3" s="54" t="s">
        <v>79</v>
      </c>
      <c r="I3" s="53"/>
      <c r="J3" s="53">
        <f>IF($E3="þ",$D3,IF($F3="þ",($D3*10),IF($G3="þ",($D3*100),IF($H3="þ",($D3*600),$I3))))</f>
        <v>8</v>
      </c>
      <c r="K3" s="53">
        <f t="shared" ref="K3:K4" si="3">J3+C3</f>
        <v>134</v>
      </c>
      <c r="L3" s="54" t="s">
        <v>114</v>
      </c>
      <c r="M3" s="55" t="str">
        <f t="shared" si="2"/>
        <v>q</v>
      </c>
    </row>
    <row r="4" spans="1:20" ht="16.8" x14ac:dyDescent="0.3">
      <c r="A4" s="137" t="s">
        <v>104</v>
      </c>
      <c r="B4" s="164" t="s">
        <v>155</v>
      </c>
      <c r="C4" s="53">
        <v>94</v>
      </c>
      <c r="D4" s="53">
        <v>8</v>
      </c>
      <c r="E4" s="54" t="s">
        <v>79</v>
      </c>
      <c r="F4" s="54" t="s">
        <v>114</v>
      </c>
      <c r="G4" s="54" t="s">
        <v>79</v>
      </c>
      <c r="H4" s="54" t="s">
        <v>79</v>
      </c>
      <c r="I4" s="53"/>
      <c r="J4" s="53">
        <f t="shared" si="0"/>
        <v>80</v>
      </c>
      <c r="K4" s="53">
        <f t="shared" si="3"/>
        <v>174</v>
      </c>
      <c r="L4" s="54" t="s">
        <v>114</v>
      </c>
      <c r="M4" s="55" t="str">
        <f t="shared" si="2"/>
        <v>q</v>
      </c>
    </row>
    <row r="5" spans="1:20" ht="16.8" x14ac:dyDescent="0.3">
      <c r="A5" s="137" t="s">
        <v>104</v>
      </c>
      <c r="B5" s="164" t="s">
        <v>177</v>
      </c>
      <c r="C5" s="53">
        <v>189</v>
      </c>
      <c r="D5" s="53">
        <v>8</v>
      </c>
      <c r="E5" s="54" t="s">
        <v>79</v>
      </c>
      <c r="F5" s="54" t="s">
        <v>114</v>
      </c>
      <c r="G5" s="54" t="s">
        <v>79</v>
      </c>
      <c r="H5" s="54" t="s">
        <v>79</v>
      </c>
      <c r="I5" s="53"/>
      <c r="J5" s="53">
        <f t="shared" si="0"/>
        <v>80</v>
      </c>
      <c r="K5" s="53">
        <f t="shared" ref="K5:K6" si="4">J5+C5</f>
        <v>269</v>
      </c>
      <c r="L5" s="54" t="s">
        <v>114</v>
      </c>
      <c r="M5" s="55" t="str">
        <f t="shared" ref="M5" si="5">IF(C5="","",IF(K5&lt;=$P$1,"þ","q"))</f>
        <v>q</v>
      </c>
      <c r="O5" s="64"/>
      <c r="Q5" s="64"/>
    </row>
    <row r="6" spans="1:20" ht="16.8" x14ac:dyDescent="0.3">
      <c r="A6" s="57" t="s">
        <v>97</v>
      </c>
      <c r="B6" s="53" t="s">
        <v>154</v>
      </c>
      <c r="C6" s="53"/>
      <c r="D6" s="53">
        <v>5</v>
      </c>
      <c r="E6" s="54" t="s">
        <v>79</v>
      </c>
      <c r="F6" s="54" t="s">
        <v>79</v>
      </c>
      <c r="G6" s="54" t="s">
        <v>79</v>
      </c>
      <c r="H6" s="54" t="s">
        <v>79</v>
      </c>
      <c r="I6" s="53"/>
      <c r="J6" s="53">
        <f t="shared" si="0"/>
        <v>0</v>
      </c>
      <c r="K6" s="53">
        <f t="shared" si="4"/>
        <v>0</v>
      </c>
      <c r="L6" s="54" t="s">
        <v>114</v>
      </c>
      <c r="M6" s="55" t="str">
        <f t="shared" si="2"/>
        <v/>
      </c>
      <c r="O6" s="64"/>
      <c r="Q6" s="64"/>
    </row>
    <row r="7" spans="1:20" ht="16.8" x14ac:dyDescent="0.3">
      <c r="A7" s="57" t="s">
        <v>97</v>
      </c>
      <c r="B7" s="53"/>
      <c r="C7" s="53"/>
      <c r="D7" s="53"/>
      <c r="E7" s="54" t="s">
        <v>79</v>
      </c>
      <c r="F7" s="54" t="s">
        <v>114</v>
      </c>
      <c r="G7" s="54" t="s">
        <v>79</v>
      </c>
      <c r="H7" s="54" t="s">
        <v>79</v>
      </c>
      <c r="I7" s="53"/>
      <c r="J7" s="53">
        <f t="shared" si="0"/>
        <v>0</v>
      </c>
      <c r="K7" s="53">
        <f t="shared" ref="K7" si="6">J7+C7</f>
        <v>0</v>
      </c>
      <c r="L7" s="54" t="s">
        <v>114</v>
      </c>
      <c r="M7" s="55" t="str">
        <f t="shared" si="2"/>
        <v/>
      </c>
      <c r="O7" s="64"/>
      <c r="Q7" s="64"/>
    </row>
    <row r="8" spans="1:20" ht="16.8" x14ac:dyDescent="0.3">
      <c r="A8" s="172" t="s">
        <v>122</v>
      </c>
      <c r="B8" s="155" t="s">
        <v>123</v>
      </c>
      <c r="C8" s="53"/>
      <c r="D8" s="53">
        <v>11</v>
      </c>
      <c r="E8" s="54" t="s">
        <v>114</v>
      </c>
      <c r="F8" s="54" t="s">
        <v>79</v>
      </c>
      <c r="G8" s="54" t="s">
        <v>79</v>
      </c>
      <c r="H8" s="54" t="s">
        <v>79</v>
      </c>
      <c r="I8" s="53"/>
      <c r="J8" s="53">
        <f t="shared" si="0"/>
        <v>11</v>
      </c>
      <c r="K8" s="53">
        <f t="shared" ref="K8" si="7">J8+C8</f>
        <v>11</v>
      </c>
      <c r="L8" s="54" t="s">
        <v>114</v>
      </c>
      <c r="M8" s="55" t="str">
        <f t="shared" si="2"/>
        <v/>
      </c>
      <c r="O8" s="64"/>
      <c r="Q8" s="64"/>
    </row>
    <row r="9" spans="1:20" ht="16.8" x14ac:dyDescent="0.3">
      <c r="A9" s="172" t="s">
        <v>122</v>
      </c>
      <c r="B9" s="155" t="s">
        <v>132</v>
      </c>
      <c r="C9" s="53"/>
      <c r="D9" s="53">
        <v>11</v>
      </c>
      <c r="E9" s="54" t="s">
        <v>79</v>
      </c>
      <c r="F9" s="54" t="s">
        <v>114</v>
      </c>
      <c r="G9" s="54" t="s">
        <v>79</v>
      </c>
      <c r="H9" s="54" t="s">
        <v>79</v>
      </c>
      <c r="I9" s="53"/>
      <c r="J9" s="53">
        <f t="shared" si="0"/>
        <v>110</v>
      </c>
      <c r="K9" s="53">
        <f t="shared" ref="K9" si="8">J9+C9</f>
        <v>110</v>
      </c>
      <c r="L9" s="54" t="s">
        <v>114</v>
      </c>
      <c r="M9" s="55" t="str">
        <f t="shared" ref="M9" si="9">IF(C9="","",IF(K9&lt;=$P$1,"þ","q"))</f>
        <v/>
      </c>
    </row>
    <row r="10" spans="1:20" ht="16.8" x14ac:dyDescent="0.3">
      <c r="A10" s="172" t="s">
        <v>122</v>
      </c>
      <c r="B10" s="155" t="s">
        <v>158</v>
      </c>
      <c r="C10" s="53">
        <v>124</v>
      </c>
      <c r="D10" s="53">
        <v>11</v>
      </c>
      <c r="E10" s="54" t="s">
        <v>114</v>
      </c>
      <c r="F10" s="54" t="s">
        <v>79</v>
      </c>
      <c r="G10" s="54" t="s">
        <v>79</v>
      </c>
      <c r="H10" s="54" t="s">
        <v>79</v>
      </c>
      <c r="I10" s="53"/>
      <c r="J10" s="53">
        <f t="shared" si="0"/>
        <v>11</v>
      </c>
      <c r="K10" s="53">
        <f t="shared" ref="K10" si="10">J10+C10</f>
        <v>135</v>
      </c>
      <c r="L10" s="54" t="s">
        <v>114</v>
      </c>
      <c r="M10" s="55" t="str">
        <f t="shared" ref="M10" si="11">IF(C10="","",IF(K10&lt;=$P$1,"þ","q"))</f>
        <v>q</v>
      </c>
    </row>
    <row r="11" spans="1:20" ht="16.8" x14ac:dyDescent="0.3">
      <c r="A11" s="173" t="s">
        <v>124</v>
      </c>
      <c r="B11" s="164"/>
      <c r="C11" s="53"/>
      <c r="D11" s="53"/>
      <c r="E11" s="54" t="s">
        <v>79</v>
      </c>
      <c r="F11" s="54" t="s">
        <v>79</v>
      </c>
      <c r="G11" s="54" t="s">
        <v>79</v>
      </c>
      <c r="H11" s="54" t="s">
        <v>79</v>
      </c>
      <c r="I11" s="53"/>
      <c r="J11" s="53">
        <f t="shared" si="0"/>
        <v>0</v>
      </c>
      <c r="K11" s="53">
        <f t="shared" ref="K11" si="12">J11+C11</f>
        <v>0</v>
      </c>
      <c r="L11" s="54" t="s">
        <v>79</v>
      </c>
      <c r="M11" s="55" t="str">
        <f t="shared" ref="M11" si="13">IF(C11="","",IF(K11&lt;=$P$1,"þ","q"))</f>
        <v/>
      </c>
    </row>
    <row r="12" spans="1:20" ht="16.8" x14ac:dyDescent="0.3">
      <c r="A12" s="173" t="s">
        <v>124</v>
      </c>
      <c r="B12" s="164"/>
      <c r="C12" s="53"/>
      <c r="D12" s="53"/>
      <c r="E12" s="54" t="s">
        <v>79</v>
      </c>
      <c r="F12" s="54" t="s">
        <v>79</v>
      </c>
      <c r="G12" s="54" t="s">
        <v>79</v>
      </c>
      <c r="H12" s="54" t="s">
        <v>79</v>
      </c>
      <c r="I12" s="53"/>
      <c r="J12" s="53">
        <f t="shared" si="0"/>
        <v>0</v>
      </c>
      <c r="K12" s="53">
        <f t="shared" ref="K12:K13" si="14">J12+C12</f>
        <v>0</v>
      </c>
      <c r="L12" s="54" t="s">
        <v>79</v>
      </c>
      <c r="M12" s="55" t="str">
        <f t="shared" ref="M12:M13" si="15">IF(C12="","",IF(K12&lt;=$P$1,"þ","q"))</f>
        <v/>
      </c>
    </row>
    <row r="13" spans="1:20" ht="16.8" x14ac:dyDescent="0.3">
      <c r="A13" s="173" t="s">
        <v>124</v>
      </c>
      <c r="B13" s="164"/>
      <c r="C13" s="53"/>
      <c r="D13" s="53"/>
      <c r="E13" s="54" t="s">
        <v>79</v>
      </c>
      <c r="F13" s="54" t="s">
        <v>79</v>
      </c>
      <c r="G13" s="54" t="s">
        <v>79</v>
      </c>
      <c r="H13" s="54" t="s">
        <v>79</v>
      </c>
      <c r="I13" s="53"/>
      <c r="J13" s="53">
        <f t="shared" si="0"/>
        <v>0</v>
      </c>
      <c r="K13" s="53">
        <f t="shared" si="14"/>
        <v>0</v>
      </c>
      <c r="L13" s="54" t="s">
        <v>79</v>
      </c>
      <c r="M13" s="55" t="str">
        <f t="shared" si="15"/>
        <v/>
      </c>
    </row>
    <row r="14" spans="1:20" ht="16.8" x14ac:dyDescent="0.3">
      <c r="A14" s="168"/>
      <c r="B14" s="155"/>
      <c r="C14" s="53"/>
      <c r="D14" s="53">
        <v>10</v>
      </c>
      <c r="E14" s="54" t="s">
        <v>79</v>
      </c>
      <c r="F14" s="54" t="s">
        <v>79</v>
      </c>
      <c r="G14" s="54" t="s">
        <v>79</v>
      </c>
      <c r="H14" s="54" t="s">
        <v>79</v>
      </c>
      <c r="I14" s="53"/>
      <c r="J14" s="53">
        <f t="shared" si="0"/>
        <v>0</v>
      </c>
      <c r="K14" s="53">
        <f t="shared" ref="K14:K15" si="16">J14+C14</f>
        <v>0</v>
      </c>
      <c r="L14" s="54" t="s">
        <v>79</v>
      </c>
      <c r="M14" s="55" t="str">
        <f t="shared" ref="M14:M15" si="17">IF(C14="","",IF(K14&lt;=$P$1,"þ","q"))</f>
        <v/>
      </c>
    </row>
    <row r="15" spans="1:20" ht="16.8" x14ac:dyDescent="0.3">
      <c r="A15" s="168"/>
      <c r="B15" s="155"/>
      <c r="C15" s="53"/>
      <c r="D15" s="53">
        <v>10</v>
      </c>
      <c r="E15" s="54" t="s">
        <v>79</v>
      </c>
      <c r="F15" s="54" t="s">
        <v>79</v>
      </c>
      <c r="G15" s="54" t="s">
        <v>79</v>
      </c>
      <c r="H15" s="54" t="s">
        <v>79</v>
      </c>
      <c r="I15" s="53"/>
      <c r="J15" s="53">
        <f t="shared" si="0"/>
        <v>0</v>
      </c>
      <c r="K15" s="53">
        <f t="shared" si="16"/>
        <v>0</v>
      </c>
      <c r="L15" s="54" t="s">
        <v>79</v>
      </c>
      <c r="M15" s="55" t="str">
        <f t="shared" si="17"/>
        <v/>
      </c>
    </row>
    <row r="16" spans="1:20" ht="16.8" x14ac:dyDescent="0.3">
      <c r="A16" s="168"/>
      <c r="B16" s="155"/>
      <c r="C16" s="53"/>
      <c r="D16" s="53">
        <v>10</v>
      </c>
      <c r="E16" s="54" t="s">
        <v>79</v>
      </c>
      <c r="F16" s="54" t="s">
        <v>79</v>
      </c>
      <c r="G16" s="54" t="s">
        <v>79</v>
      </c>
      <c r="H16" s="54" t="s">
        <v>79</v>
      </c>
      <c r="I16" s="53"/>
      <c r="J16" s="53">
        <f t="shared" si="0"/>
        <v>0</v>
      </c>
      <c r="K16" s="53">
        <f t="shared" ref="K16" si="18">J16+C16</f>
        <v>0</v>
      </c>
      <c r="L16" s="54" t="s">
        <v>79</v>
      </c>
      <c r="M16" s="55" t="str">
        <f t="shared" ref="M16" si="19">IF(C16="","",IF(K16&lt;=$P$1,"þ","q"))</f>
        <v/>
      </c>
    </row>
    <row r="17" spans="1:13" ht="16.8" x14ac:dyDescent="0.3">
      <c r="A17" s="197"/>
      <c r="B17" s="155"/>
      <c r="C17" s="53"/>
      <c r="D17" s="53">
        <v>10</v>
      </c>
      <c r="E17" s="54" t="s">
        <v>79</v>
      </c>
      <c r="F17" s="54" t="s">
        <v>79</v>
      </c>
      <c r="G17" s="54" t="s">
        <v>79</v>
      </c>
      <c r="H17" s="54" t="s">
        <v>79</v>
      </c>
      <c r="I17" s="53"/>
      <c r="J17" s="53">
        <f t="shared" si="0"/>
        <v>0</v>
      </c>
      <c r="K17" s="53">
        <f t="shared" ref="K17:K20" si="20">J17+C17</f>
        <v>0</v>
      </c>
      <c r="L17" s="54" t="s">
        <v>79</v>
      </c>
      <c r="M17" s="55" t="str">
        <f t="shared" ref="M17:M20" si="21">IF(C17="","",IF(K17&lt;=$P$1,"þ","q"))</f>
        <v/>
      </c>
    </row>
    <row r="18" spans="1:13" ht="16.8" x14ac:dyDescent="0.3">
      <c r="A18" s="197"/>
      <c r="B18" s="155"/>
      <c r="C18" s="53"/>
      <c r="D18" s="53">
        <v>10</v>
      </c>
      <c r="E18" s="54" t="s">
        <v>79</v>
      </c>
      <c r="F18" s="54" t="s">
        <v>79</v>
      </c>
      <c r="G18" s="54" t="s">
        <v>79</v>
      </c>
      <c r="H18" s="54" t="s">
        <v>79</v>
      </c>
      <c r="I18" s="53"/>
      <c r="J18" s="53">
        <f t="shared" si="0"/>
        <v>0</v>
      </c>
      <c r="K18" s="53">
        <f t="shared" si="20"/>
        <v>0</v>
      </c>
      <c r="L18" s="54" t="s">
        <v>79</v>
      </c>
      <c r="M18" s="55" t="str">
        <f t="shared" si="21"/>
        <v/>
      </c>
    </row>
    <row r="19" spans="1:13" ht="16.8" x14ac:dyDescent="0.3">
      <c r="A19" s="197"/>
      <c r="B19" s="155"/>
      <c r="C19" s="53"/>
      <c r="D19" s="53">
        <v>10</v>
      </c>
      <c r="E19" s="54" t="s">
        <v>79</v>
      </c>
      <c r="F19" s="54" t="s">
        <v>79</v>
      </c>
      <c r="G19" s="54" t="s">
        <v>79</v>
      </c>
      <c r="H19" s="54" t="s">
        <v>79</v>
      </c>
      <c r="I19" s="53"/>
      <c r="J19" s="53">
        <f t="shared" si="0"/>
        <v>0</v>
      </c>
      <c r="K19" s="53">
        <f t="shared" si="20"/>
        <v>0</v>
      </c>
      <c r="L19" s="54" t="s">
        <v>79</v>
      </c>
      <c r="M19" s="55" t="str">
        <f t="shared" si="21"/>
        <v/>
      </c>
    </row>
    <row r="20" spans="1:13" ht="16.8" x14ac:dyDescent="0.3">
      <c r="A20" s="197"/>
      <c r="B20" s="155"/>
      <c r="C20" s="53"/>
      <c r="D20" s="53">
        <v>10</v>
      </c>
      <c r="E20" s="54" t="s">
        <v>79</v>
      </c>
      <c r="F20" s="54" t="s">
        <v>79</v>
      </c>
      <c r="G20" s="54" t="s">
        <v>79</v>
      </c>
      <c r="H20" s="54" t="s">
        <v>79</v>
      </c>
      <c r="I20" s="53"/>
      <c r="J20" s="53">
        <f t="shared" si="0"/>
        <v>0</v>
      </c>
      <c r="K20" s="53">
        <f t="shared" si="20"/>
        <v>0</v>
      </c>
      <c r="L20" s="54" t="s">
        <v>79</v>
      </c>
      <c r="M20" s="55" t="str">
        <f t="shared" si="21"/>
        <v/>
      </c>
    </row>
  </sheetData>
  <sortState xmlns:xlrd2="http://schemas.microsoft.com/office/spreadsheetml/2017/richdata2" ref="A2:M8">
    <sortCondition ref="A2:A8"/>
    <sortCondition ref="C2:C8"/>
  </sortState>
  <conditionalFormatting sqref="E7:E20">
    <cfRule type="cellIs" dxfId="19" priority="1" stopIfTrue="1" operator="equal">
      <formula>"þ"</formula>
    </cfRule>
  </conditionalFormatting>
  <conditionalFormatting sqref="E15:G15">
    <cfRule type="cellIs" dxfId="18" priority="54" stopIfTrue="1" operator="equal">
      <formula>"þ"</formula>
    </cfRule>
  </conditionalFormatting>
  <conditionalFormatting sqref="E2:H6">
    <cfRule type="cellIs" dxfId="17" priority="25" stopIfTrue="1" operator="equal">
      <formula>"þ"</formula>
    </cfRule>
  </conditionalFormatting>
  <conditionalFormatting sqref="F8">
    <cfRule type="cellIs" dxfId="16" priority="18" stopIfTrue="1" operator="equal">
      <formula>"þ"</formula>
    </cfRule>
  </conditionalFormatting>
  <conditionalFormatting sqref="F16:G20">
    <cfRule type="cellIs" dxfId="15" priority="36" stopIfTrue="1" operator="equal">
      <formula>"þ"</formula>
    </cfRule>
  </conditionalFormatting>
  <conditionalFormatting sqref="F7:H14">
    <cfRule type="cellIs" dxfId="14" priority="68" stopIfTrue="1" operator="equal">
      <formula>"þ"</formula>
    </cfRule>
  </conditionalFormatting>
  <conditionalFormatting sqref="H15:H20">
    <cfRule type="cellIs" dxfId="13" priority="116" stopIfTrue="1" operator="equal">
      <formula>"þ"</formula>
    </cfRule>
  </conditionalFormatting>
  <conditionalFormatting sqref="K2:K20">
    <cfRule type="cellIs" dxfId="12" priority="33" operator="lessThan">
      <formula>$P$1</formula>
    </cfRule>
  </conditionalFormatting>
  <conditionalFormatting sqref="L3:L5">
    <cfRule type="cellIs" dxfId="11" priority="22" stopIfTrue="1" operator="equal">
      <formula>"þ"</formula>
    </cfRule>
  </conditionalFormatting>
  <conditionalFormatting sqref="L7:L20">
    <cfRule type="cellIs" dxfId="10" priority="34" stopIfTrue="1" operator="equal">
      <formula>"þ"</formula>
    </cfRule>
  </conditionalFormatting>
  <conditionalFormatting sqref="L2:M20">
    <cfRule type="cellIs" dxfId="9" priority="171" stopIfTrue="1" operator="equal">
      <formula>"þ"</formula>
    </cfRule>
  </conditionalFormatting>
  <conditionalFormatting sqref="M16:M20">
    <cfRule type="cellIs" dxfId="8" priority="15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showGridLines="0" zoomScaleNormal="100" workbookViewId="0">
      <pane ySplit="1" topLeftCell="A2" activePane="bottomLeft" state="frozen"/>
      <selection pane="bottomLeft" activeCell="A11" sqref="A11"/>
    </sheetView>
  </sheetViews>
  <sheetFormatPr defaultRowHeight="15.6" x14ac:dyDescent="0.3"/>
  <cols>
    <col min="1" max="1" width="16.69921875" style="48" bestFit="1" customWidth="1"/>
    <col min="2" max="2" width="21.59765625" style="48" bestFit="1" customWidth="1"/>
    <col min="3" max="3" width="16.296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4" style="184" customWidth="1"/>
    <col min="16" max="16384" width="8.796875" style="43"/>
  </cols>
  <sheetData>
    <row r="1" spans="1:15" ht="31.8" thickBot="1" x14ac:dyDescent="0.35">
      <c r="A1" s="121" t="s">
        <v>0</v>
      </c>
      <c r="B1" s="117" t="s">
        <v>32</v>
      </c>
      <c r="C1" s="117" t="s">
        <v>33</v>
      </c>
      <c r="D1" s="118" t="s">
        <v>88</v>
      </c>
      <c r="E1" s="120" t="s">
        <v>34</v>
      </c>
      <c r="F1" s="119" t="s">
        <v>87</v>
      </c>
      <c r="G1" s="118" t="s">
        <v>86</v>
      </c>
      <c r="H1" s="117" t="s">
        <v>35</v>
      </c>
      <c r="I1" s="117" t="s">
        <v>36</v>
      </c>
      <c r="J1" s="114" t="s">
        <v>85</v>
      </c>
      <c r="K1" s="116" t="s">
        <v>3</v>
      </c>
      <c r="L1" s="114" t="s">
        <v>23</v>
      </c>
      <c r="M1" s="115" t="s">
        <v>83</v>
      </c>
      <c r="N1" s="114" t="s">
        <v>82</v>
      </c>
      <c r="O1" s="114" t="s">
        <v>84</v>
      </c>
    </row>
    <row r="2" spans="1:15" x14ac:dyDescent="0.3">
      <c r="A2" s="112" t="s">
        <v>134</v>
      </c>
      <c r="B2" s="44" t="s">
        <v>144</v>
      </c>
      <c r="C2" s="44" t="s">
        <v>146</v>
      </c>
      <c r="D2" s="113" t="s">
        <v>79</v>
      </c>
      <c r="E2" s="112">
        <v>10</v>
      </c>
      <c r="F2" s="111">
        <v>2</v>
      </c>
      <c r="G2" s="110">
        <v>2</v>
      </c>
      <c r="H2" s="44">
        <v>2</v>
      </c>
      <c r="I2" s="44">
        <v>1</v>
      </c>
      <c r="J2" s="44">
        <f t="shared" ref="J2:J4" si="0">IF(D2="þ",SUM(E2,G2:I2),SUM(E2,F2,H2,I2))</f>
        <v>15</v>
      </c>
      <c r="K2" s="45">
        <f t="shared" ref="K2:K5" ca="1" si="1">RANDBETWEEN(1,20)</f>
        <v>4</v>
      </c>
      <c r="L2" s="44">
        <f t="shared" ref="L2:L4" ca="1" si="2">SUM(J2:K2)</f>
        <v>19</v>
      </c>
      <c r="M2" s="58">
        <v>20</v>
      </c>
      <c r="N2" s="61" t="str">
        <f t="shared" ref="N2:N4" ca="1" si="3">IF(K2&gt;(M2-1),"þ","ý")</f>
        <v>ý</v>
      </c>
      <c r="O2" s="187"/>
    </row>
    <row r="3" spans="1:15" x14ac:dyDescent="0.3">
      <c r="A3" s="112" t="s">
        <v>134</v>
      </c>
      <c r="B3" s="44" t="s">
        <v>144</v>
      </c>
      <c r="C3" s="44" t="s">
        <v>146</v>
      </c>
      <c r="D3" s="113" t="s">
        <v>79</v>
      </c>
      <c r="E3" s="112">
        <v>10</v>
      </c>
      <c r="F3" s="111">
        <v>2</v>
      </c>
      <c r="G3" s="110">
        <v>2</v>
      </c>
      <c r="H3" s="44">
        <v>2</v>
      </c>
      <c r="I3" s="44">
        <f>1-2</f>
        <v>-1</v>
      </c>
      <c r="J3" s="44">
        <f t="shared" si="0"/>
        <v>13</v>
      </c>
      <c r="K3" s="45">
        <f t="shared" ca="1" si="1"/>
        <v>17</v>
      </c>
      <c r="L3" s="44">
        <f t="shared" ca="1" si="2"/>
        <v>30</v>
      </c>
      <c r="M3" s="58">
        <v>20</v>
      </c>
      <c r="N3" s="61" t="str">
        <f t="shared" ca="1" si="3"/>
        <v>ý</v>
      </c>
      <c r="O3" s="187"/>
    </row>
    <row r="4" spans="1:15" x14ac:dyDescent="0.3">
      <c r="A4" s="112" t="s">
        <v>134</v>
      </c>
      <c r="B4" s="44" t="s">
        <v>142</v>
      </c>
      <c r="C4" s="44" t="s">
        <v>143</v>
      </c>
      <c r="D4" s="113" t="s">
        <v>114</v>
      </c>
      <c r="E4" s="112">
        <v>10</v>
      </c>
      <c r="F4" s="111">
        <v>2</v>
      </c>
      <c r="G4" s="110">
        <v>2</v>
      </c>
      <c r="H4" s="44">
        <v>1</v>
      </c>
      <c r="I4" s="44">
        <v>0</v>
      </c>
      <c r="J4" s="44">
        <f t="shared" si="0"/>
        <v>13</v>
      </c>
      <c r="K4" s="45">
        <f t="shared" ca="1" si="1"/>
        <v>18</v>
      </c>
      <c r="L4" s="44">
        <f t="shared" ca="1" si="2"/>
        <v>31</v>
      </c>
      <c r="M4" s="58">
        <v>20</v>
      </c>
      <c r="N4" s="61" t="str">
        <f t="shared" ca="1" si="3"/>
        <v>ý</v>
      </c>
      <c r="O4" s="187"/>
    </row>
    <row r="5" spans="1:15" x14ac:dyDescent="0.3">
      <c r="A5" s="112" t="s">
        <v>134</v>
      </c>
      <c r="B5" s="44" t="s">
        <v>160</v>
      </c>
      <c r="C5" s="44" t="s">
        <v>161</v>
      </c>
      <c r="D5" s="113" t="s">
        <v>114</v>
      </c>
      <c r="E5" s="112">
        <v>10</v>
      </c>
      <c r="F5" s="111">
        <v>2</v>
      </c>
      <c r="G5" s="110">
        <v>2</v>
      </c>
      <c r="H5" s="44">
        <v>0</v>
      </c>
      <c r="I5" s="44">
        <v>0</v>
      </c>
      <c r="J5" s="44">
        <f t="shared" ref="J5" si="4">IF(D5="þ",SUM(E5,G5:I5),SUM(E5,F5,H5,I5))</f>
        <v>12</v>
      </c>
      <c r="K5" s="45">
        <f t="shared" ca="1" si="1"/>
        <v>4</v>
      </c>
      <c r="L5" s="44">
        <f t="shared" ref="L5" ca="1" si="5">SUM(J5:K5)</f>
        <v>16</v>
      </c>
      <c r="M5" s="58">
        <v>20</v>
      </c>
      <c r="N5" s="61" t="str">
        <f t="shared" ref="N5" ca="1" si="6">IF(K5&gt;(M5-1),"þ","ý")</f>
        <v>ý</v>
      </c>
      <c r="O5" s="187"/>
    </row>
    <row r="6" spans="1:15" x14ac:dyDescent="0.3">
      <c r="A6" s="108" t="s">
        <v>134</v>
      </c>
      <c r="B6" s="46" t="s">
        <v>115</v>
      </c>
      <c r="C6" s="46" t="s">
        <v>115</v>
      </c>
      <c r="D6" s="109" t="s">
        <v>79</v>
      </c>
      <c r="E6" s="108">
        <v>10</v>
      </c>
      <c r="F6" s="107">
        <v>2</v>
      </c>
      <c r="G6" s="106">
        <v>2</v>
      </c>
      <c r="H6" s="46">
        <v>0</v>
      </c>
      <c r="I6" s="46">
        <v>0</v>
      </c>
      <c r="J6" s="46">
        <f t="shared" ref="J6:J10" si="7">IF(D6="þ",SUM(E6,G6:I6),SUM(E6,F6,H6,I6))</f>
        <v>12</v>
      </c>
      <c r="K6" s="47">
        <f t="shared" ref="K6" ca="1" si="8">RANDBETWEEN(1,20)</f>
        <v>12</v>
      </c>
      <c r="L6" s="46">
        <f t="shared" ref="L6:L10" ca="1" si="9">SUM(J6:K6)</f>
        <v>24</v>
      </c>
      <c r="M6" s="59">
        <v>20</v>
      </c>
      <c r="N6" s="60" t="str">
        <f t="shared" ref="N6:N10" ca="1" si="10">IF(K6&gt;(M6-1),"þ","ý")</f>
        <v>ý</v>
      </c>
      <c r="O6" s="188"/>
    </row>
    <row r="7" spans="1:15" x14ac:dyDescent="0.3">
      <c r="A7" s="112" t="s">
        <v>166</v>
      </c>
      <c r="B7" s="63" t="s">
        <v>137</v>
      </c>
      <c r="C7" s="44" t="s">
        <v>172</v>
      </c>
      <c r="D7" s="113" t="s">
        <v>79</v>
      </c>
      <c r="E7" s="112">
        <v>7</v>
      </c>
      <c r="F7" s="111">
        <v>-1</v>
      </c>
      <c r="G7" s="110">
        <v>2</v>
      </c>
      <c r="H7" s="44">
        <v>1</v>
      </c>
      <c r="I7" s="44">
        <v>0</v>
      </c>
      <c r="J7" s="44">
        <f t="shared" si="7"/>
        <v>7</v>
      </c>
      <c r="K7" s="45">
        <f t="shared" ref="K7:K30" ca="1" si="11">RANDBETWEEN(1,20)</f>
        <v>16</v>
      </c>
      <c r="L7" s="44">
        <f t="shared" ca="1" si="9"/>
        <v>23</v>
      </c>
      <c r="M7" s="58">
        <v>20</v>
      </c>
      <c r="N7" s="61" t="str">
        <f t="shared" ca="1" si="10"/>
        <v>ý</v>
      </c>
      <c r="O7" s="163" t="s">
        <v>141</v>
      </c>
    </row>
    <row r="8" spans="1:15" x14ac:dyDescent="0.3">
      <c r="A8" s="112" t="s">
        <v>166</v>
      </c>
      <c r="B8" s="63" t="s">
        <v>136</v>
      </c>
      <c r="C8" s="44" t="s">
        <v>140</v>
      </c>
      <c r="D8" s="113" t="s">
        <v>79</v>
      </c>
      <c r="E8" s="112">
        <v>7</v>
      </c>
      <c r="F8" s="111">
        <v>-1</v>
      </c>
      <c r="G8" s="110">
        <v>2</v>
      </c>
      <c r="H8" s="44">
        <v>1</v>
      </c>
      <c r="I8" s="44">
        <v>0</v>
      </c>
      <c r="J8" s="44">
        <f t="shared" ref="J8:J9" si="12">IF(D8="þ",SUM(E8,G8:I8),SUM(E8,F8,H8,I8))</f>
        <v>7</v>
      </c>
      <c r="K8" s="45">
        <f t="shared" ca="1" si="11"/>
        <v>18</v>
      </c>
      <c r="L8" s="44">
        <f t="shared" ref="L8:L9" ca="1" si="13">SUM(J8:K8)</f>
        <v>25</v>
      </c>
      <c r="M8" s="58">
        <v>20</v>
      </c>
      <c r="N8" s="61" t="str">
        <f t="shared" ref="N8:N9" ca="1" si="14">IF(K8&gt;(M8-1),"þ","ý")</f>
        <v>ý</v>
      </c>
      <c r="O8" s="163" t="s">
        <v>141</v>
      </c>
    </row>
    <row r="9" spans="1:15" x14ac:dyDescent="0.3">
      <c r="A9" s="112" t="s">
        <v>166</v>
      </c>
      <c r="B9" s="44" t="s">
        <v>135</v>
      </c>
      <c r="C9" s="44" t="s">
        <v>139</v>
      </c>
      <c r="D9" s="113" t="s">
        <v>114</v>
      </c>
      <c r="E9" s="112">
        <v>7</v>
      </c>
      <c r="F9" s="111">
        <v>-1</v>
      </c>
      <c r="G9" s="110">
        <v>2</v>
      </c>
      <c r="H9" s="44">
        <v>1</v>
      </c>
      <c r="I9" s="44">
        <v>1</v>
      </c>
      <c r="J9" s="44">
        <f t="shared" si="12"/>
        <v>11</v>
      </c>
      <c r="K9" s="45">
        <f t="shared" ca="1" si="11"/>
        <v>20</v>
      </c>
      <c r="L9" s="44">
        <f t="shared" ca="1" si="13"/>
        <v>31</v>
      </c>
      <c r="M9" s="58">
        <v>20</v>
      </c>
      <c r="N9" s="61" t="str">
        <f t="shared" ca="1" si="14"/>
        <v>þ</v>
      </c>
      <c r="O9" s="163" t="s">
        <v>141</v>
      </c>
    </row>
    <row r="10" spans="1:15" x14ac:dyDescent="0.3">
      <c r="A10" s="108" t="s">
        <v>166</v>
      </c>
      <c r="B10" s="46" t="s">
        <v>115</v>
      </c>
      <c r="C10" s="46" t="s">
        <v>115</v>
      </c>
      <c r="D10" s="109" t="s">
        <v>79</v>
      </c>
      <c r="E10" s="108">
        <v>7</v>
      </c>
      <c r="F10" s="107">
        <v>-1</v>
      </c>
      <c r="G10" s="106">
        <v>2</v>
      </c>
      <c r="H10" s="46">
        <v>0</v>
      </c>
      <c r="I10" s="46">
        <v>0</v>
      </c>
      <c r="J10" s="46">
        <f t="shared" si="7"/>
        <v>6</v>
      </c>
      <c r="K10" s="47">
        <f t="shared" ca="1" si="11"/>
        <v>1</v>
      </c>
      <c r="L10" s="46">
        <f t="shared" ca="1" si="9"/>
        <v>7</v>
      </c>
      <c r="M10" s="59">
        <v>20</v>
      </c>
      <c r="N10" s="60" t="str">
        <f t="shared" ca="1" si="10"/>
        <v>ý</v>
      </c>
      <c r="O10" s="183"/>
    </row>
    <row r="11" spans="1:15" x14ac:dyDescent="0.3">
      <c r="A11" s="112" t="s">
        <v>168</v>
      </c>
      <c r="B11" s="63" t="s">
        <v>167</v>
      </c>
      <c r="C11" s="44" t="s">
        <v>170</v>
      </c>
      <c r="D11" s="113" t="s">
        <v>79</v>
      </c>
      <c r="E11" s="112">
        <v>15</v>
      </c>
      <c r="F11" s="111">
        <v>5</v>
      </c>
      <c r="G11" s="110">
        <v>2</v>
      </c>
      <c r="H11" s="44">
        <v>1</v>
      </c>
      <c r="I11" s="44">
        <v>0</v>
      </c>
      <c r="J11" s="44">
        <f t="shared" ref="J11:J13" si="15">IF(D11="þ",SUM(E11,G11:I11),SUM(E11,F11,H11,I11))</f>
        <v>21</v>
      </c>
      <c r="K11" s="45">
        <f t="shared" ca="1" si="11"/>
        <v>17</v>
      </c>
      <c r="L11" s="44">
        <f t="shared" ref="L11:L13" ca="1" si="16">SUM(J11:K11)</f>
        <v>38</v>
      </c>
      <c r="M11" s="58">
        <v>20</v>
      </c>
      <c r="N11" s="61" t="str">
        <f t="shared" ref="N11:N13" ca="1" si="17">IF(K11&gt;(M11-1),"þ","ý")</f>
        <v>ý</v>
      </c>
      <c r="O11" s="163"/>
    </row>
    <row r="12" spans="1:15" x14ac:dyDescent="0.3">
      <c r="A12" s="112" t="s">
        <v>168</v>
      </c>
      <c r="B12" s="63" t="s">
        <v>169</v>
      </c>
      <c r="C12" s="44" t="s">
        <v>170</v>
      </c>
      <c r="D12" s="113" t="s">
        <v>114</v>
      </c>
      <c r="E12" s="112">
        <f>E11-5</f>
        <v>10</v>
      </c>
      <c r="F12" s="111">
        <v>5</v>
      </c>
      <c r="G12" s="110">
        <v>2</v>
      </c>
      <c r="H12" s="44">
        <v>1</v>
      </c>
      <c r="I12" s="44">
        <v>0</v>
      </c>
      <c r="J12" s="44">
        <f t="shared" si="15"/>
        <v>13</v>
      </c>
      <c r="K12" s="45">
        <f t="shared" ca="1" si="11"/>
        <v>5</v>
      </c>
      <c r="L12" s="44">
        <f t="shared" ca="1" si="16"/>
        <v>18</v>
      </c>
      <c r="M12" s="58">
        <v>20</v>
      </c>
      <c r="N12" s="61" t="str">
        <f t="shared" ca="1" si="17"/>
        <v>ý</v>
      </c>
      <c r="O12" s="163"/>
    </row>
    <row r="13" spans="1:15" x14ac:dyDescent="0.3">
      <c r="A13" s="108" t="s">
        <v>168</v>
      </c>
      <c r="B13" s="46" t="s">
        <v>115</v>
      </c>
      <c r="C13" s="46" t="s">
        <v>115</v>
      </c>
      <c r="D13" s="109" t="s">
        <v>79</v>
      </c>
      <c r="E13" s="108">
        <v>15</v>
      </c>
      <c r="F13" s="107">
        <v>5</v>
      </c>
      <c r="G13" s="106">
        <v>2</v>
      </c>
      <c r="H13" s="46">
        <v>0</v>
      </c>
      <c r="I13" s="46">
        <v>0</v>
      </c>
      <c r="J13" s="46">
        <f t="shared" si="15"/>
        <v>20</v>
      </c>
      <c r="K13" s="47">
        <f t="shared" ca="1" si="11"/>
        <v>20</v>
      </c>
      <c r="L13" s="46">
        <f t="shared" ca="1" si="16"/>
        <v>40</v>
      </c>
      <c r="M13" s="59">
        <v>20</v>
      </c>
      <c r="N13" s="60" t="str">
        <f t="shared" ca="1" si="17"/>
        <v>þ</v>
      </c>
      <c r="O13" s="183"/>
    </row>
    <row r="14" spans="1:15" x14ac:dyDescent="0.3">
      <c r="A14" s="185" t="s">
        <v>120</v>
      </c>
      <c r="B14" s="63" t="s">
        <v>117</v>
      </c>
      <c r="C14" s="44" t="s">
        <v>121</v>
      </c>
      <c r="D14" s="113" t="s">
        <v>79</v>
      </c>
      <c r="E14" s="112">
        <v>1</v>
      </c>
      <c r="F14" s="111">
        <v>2</v>
      </c>
      <c r="G14" s="110">
        <v>2</v>
      </c>
      <c r="H14" s="44">
        <v>0</v>
      </c>
      <c r="I14" s="44">
        <v>0</v>
      </c>
      <c r="J14" s="44">
        <f t="shared" ref="J14:J15" si="18">IF(D14="þ",SUM(E14,G14:I14),SUM(E14,F14,H14,I14))</f>
        <v>3</v>
      </c>
      <c r="K14" s="45">
        <f t="shared" ca="1" si="11"/>
        <v>17</v>
      </c>
      <c r="L14" s="44">
        <f t="shared" ref="L14:L15" ca="1" si="19">SUM(J14:K14)</f>
        <v>20</v>
      </c>
      <c r="M14" s="58">
        <v>20</v>
      </c>
      <c r="N14" s="61" t="str">
        <f t="shared" ref="N14:N15" ca="1" si="20">IF(K14&gt;(M14-1),"þ","ý")</f>
        <v>ý</v>
      </c>
      <c r="O14" s="163"/>
    </row>
    <row r="15" spans="1:15" x14ac:dyDescent="0.3">
      <c r="A15" s="186" t="s">
        <v>120</v>
      </c>
      <c r="B15" s="46" t="s">
        <v>115</v>
      </c>
      <c r="C15" s="46" t="s">
        <v>115</v>
      </c>
      <c r="D15" s="109" t="s">
        <v>79</v>
      </c>
      <c r="E15" s="108">
        <v>1</v>
      </c>
      <c r="F15" s="107">
        <v>2</v>
      </c>
      <c r="G15" s="106">
        <v>2</v>
      </c>
      <c r="H15" s="46">
        <v>0</v>
      </c>
      <c r="I15" s="46">
        <v>0</v>
      </c>
      <c r="J15" s="46">
        <f t="shared" si="18"/>
        <v>3</v>
      </c>
      <c r="K15" s="47">
        <f t="shared" ca="1" si="11"/>
        <v>5</v>
      </c>
      <c r="L15" s="46">
        <f t="shared" ca="1" si="19"/>
        <v>8</v>
      </c>
      <c r="M15" s="59">
        <v>20</v>
      </c>
      <c r="N15" s="60" t="str">
        <f t="shared" ca="1" si="20"/>
        <v>ý</v>
      </c>
      <c r="O15" s="183"/>
    </row>
    <row r="16" spans="1:15" ht="31.2" x14ac:dyDescent="0.3">
      <c r="A16" s="185" t="s">
        <v>147</v>
      </c>
      <c r="B16" s="63" t="s">
        <v>148</v>
      </c>
      <c r="C16" s="44" t="s">
        <v>149</v>
      </c>
      <c r="D16" s="113" t="s">
        <v>79</v>
      </c>
      <c r="E16" s="112">
        <v>2</v>
      </c>
      <c r="F16" s="111">
        <v>2</v>
      </c>
      <c r="G16" s="110">
        <v>2</v>
      </c>
      <c r="H16" s="44">
        <v>0</v>
      </c>
      <c r="I16" s="44">
        <v>0</v>
      </c>
      <c r="J16" s="44">
        <f t="shared" ref="J16:J17" si="21">IF(D16="þ",SUM(E16,G16:I16),SUM(E16,F16,H16,I16))</f>
        <v>4</v>
      </c>
      <c r="K16" s="45">
        <f t="shared" ca="1" si="11"/>
        <v>9</v>
      </c>
      <c r="L16" s="44">
        <f t="shared" ref="L16:L17" ca="1" si="22">SUM(J16:K16)</f>
        <v>13</v>
      </c>
      <c r="M16" s="58">
        <v>20</v>
      </c>
      <c r="N16" s="61" t="str">
        <f t="shared" ref="N16:N17" ca="1" si="23">IF(K16&gt;(M16-1),"þ","ý")</f>
        <v>ý</v>
      </c>
      <c r="O16" s="163" t="s">
        <v>156</v>
      </c>
    </row>
    <row r="17" spans="1:15" x14ac:dyDescent="0.3">
      <c r="A17" s="186" t="s">
        <v>147</v>
      </c>
      <c r="B17" s="46" t="s">
        <v>115</v>
      </c>
      <c r="C17" s="46" t="s">
        <v>115</v>
      </c>
      <c r="D17" s="109" t="s">
        <v>79</v>
      </c>
      <c r="E17" s="108">
        <v>2</v>
      </c>
      <c r="F17" s="107">
        <v>2</v>
      </c>
      <c r="G17" s="106">
        <v>2</v>
      </c>
      <c r="H17" s="46">
        <v>0</v>
      </c>
      <c r="I17" s="46">
        <v>0</v>
      </c>
      <c r="J17" s="46">
        <f t="shared" si="21"/>
        <v>4</v>
      </c>
      <c r="K17" s="47">
        <f t="shared" ca="1" si="11"/>
        <v>11</v>
      </c>
      <c r="L17" s="46">
        <f t="shared" ca="1" si="22"/>
        <v>15</v>
      </c>
      <c r="M17" s="59">
        <v>20</v>
      </c>
      <c r="N17" s="60" t="str">
        <f t="shared" ca="1" si="23"/>
        <v>ý</v>
      </c>
      <c r="O17" s="183"/>
    </row>
    <row r="18" spans="1:15" x14ac:dyDescent="0.3">
      <c r="A18" s="185" t="s">
        <v>122</v>
      </c>
      <c r="B18" s="63" t="s">
        <v>130</v>
      </c>
      <c r="C18" s="44" t="s">
        <v>131</v>
      </c>
      <c r="D18" s="113" t="s">
        <v>79</v>
      </c>
      <c r="E18" s="201">
        <f>5-2</f>
        <v>3</v>
      </c>
      <c r="F18" s="201">
        <f>3-1</f>
        <v>2</v>
      </c>
      <c r="G18" s="110">
        <v>2</v>
      </c>
      <c r="H18" s="44">
        <v>1</v>
      </c>
      <c r="I18" s="44">
        <v>0</v>
      </c>
      <c r="J18" s="44">
        <f t="shared" ref="J18:J21" si="24">IF(D18="þ",SUM(E18,G18:I18),SUM(E18,F18,H18,I18))</f>
        <v>6</v>
      </c>
      <c r="K18" s="45">
        <f t="shared" ca="1" si="11"/>
        <v>2</v>
      </c>
      <c r="L18" s="44">
        <f t="shared" ref="L18:L21" ca="1" si="25">SUM(J18:K18)</f>
        <v>8</v>
      </c>
      <c r="M18" s="58">
        <v>20</v>
      </c>
      <c r="N18" s="61" t="str">
        <f t="shared" ref="N18:N21" ca="1" si="26">IF(K18&gt;(M18-1),"þ","ý")</f>
        <v>ý</v>
      </c>
      <c r="O18" s="163"/>
    </row>
    <row r="19" spans="1:15" x14ac:dyDescent="0.3">
      <c r="A19" s="185" t="s">
        <v>122</v>
      </c>
      <c r="B19" s="63" t="s">
        <v>133</v>
      </c>
      <c r="C19" s="44" t="s">
        <v>127</v>
      </c>
      <c r="D19" s="113" t="s">
        <v>114</v>
      </c>
      <c r="E19" s="201">
        <f t="shared" ref="E19:E21" si="27">5-2</f>
        <v>3</v>
      </c>
      <c r="F19" s="201">
        <f>3-1</f>
        <v>2</v>
      </c>
      <c r="G19" s="110">
        <v>2</v>
      </c>
      <c r="H19" s="44">
        <v>1</v>
      </c>
      <c r="I19" s="44">
        <v>0</v>
      </c>
      <c r="J19" s="44">
        <f t="shared" ref="J19" si="28">IF(D19="þ",SUM(E19,G19:I19),SUM(E19,F19,H19,I19))</f>
        <v>6</v>
      </c>
      <c r="K19" s="45">
        <f t="shared" ca="1" si="11"/>
        <v>12</v>
      </c>
      <c r="L19" s="44">
        <f t="shared" ref="L19" ca="1" si="29">SUM(J19:K19)</f>
        <v>18</v>
      </c>
      <c r="M19" s="58">
        <v>20</v>
      </c>
      <c r="N19" s="61" t="str">
        <f t="shared" ref="N19" ca="1" si="30">IF(K19&gt;(M19-1),"þ","ý")</f>
        <v>ý</v>
      </c>
      <c r="O19" s="163"/>
    </row>
    <row r="20" spans="1:15" x14ac:dyDescent="0.3">
      <c r="A20" s="185" t="s">
        <v>122</v>
      </c>
      <c r="B20" s="205" t="s">
        <v>157</v>
      </c>
      <c r="C20" s="44" t="s">
        <v>121</v>
      </c>
      <c r="D20" s="113" t="s">
        <v>79</v>
      </c>
      <c r="E20" s="204">
        <f>5</f>
        <v>5</v>
      </c>
      <c r="F20" s="111">
        <v>4</v>
      </c>
      <c r="G20" s="110">
        <v>2</v>
      </c>
      <c r="H20" s="44">
        <v>0</v>
      </c>
      <c r="I20" s="44">
        <v>0</v>
      </c>
      <c r="J20" s="44">
        <f t="shared" ref="J20" si="31">IF(D20="þ",SUM(E20,G20:I20),SUM(E20,F20,H20,I20))</f>
        <v>9</v>
      </c>
      <c r="K20" s="45">
        <f t="shared" ca="1" si="11"/>
        <v>13</v>
      </c>
      <c r="L20" s="44">
        <f t="shared" ref="L20" ca="1" si="32">SUM(J20:K20)</f>
        <v>22</v>
      </c>
      <c r="M20" s="58">
        <v>20</v>
      </c>
      <c r="N20" s="61" t="str">
        <f t="shared" ref="N20" ca="1" si="33">IF(K20&gt;(M20-1),"þ","ý")</f>
        <v>ý</v>
      </c>
      <c r="O20" s="163"/>
    </row>
    <row r="21" spans="1:15" x14ac:dyDescent="0.3">
      <c r="A21" s="186" t="s">
        <v>122</v>
      </c>
      <c r="B21" s="46" t="s">
        <v>115</v>
      </c>
      <c r="C21" s="46" t="s">
        <v>115</v>
      </c>
      <c r="D21" s="109" t="s">
        <v>79</v>
      </c>
      <c r="E21" s="202">
        <f t="shared" si="27"/>
        <v>3</v>
      </c>
      <c r="F21" s="202">
        <f>3-1</f>
        <v>2</v>
      </c>
      <c r="G21" s="106">
        <v>2</v>
      </c>
      <c r="H21" s="46">
        <v>0</v>
      </c>
      <c r="I21" s="46">
        <v>0</v>
      </c>
      <c r="J21" s="46">
        <f t="shared" si="24"/>
        <v>5</v>
      </c>
      <c r="K21" s="47">
        <f t="shared" ca="1" si="11"/>
        <v>14</v>
      </c>
      <c r="L21" s="46">
        <f t="shared" ca="1" si="25"/>
        <v>19</v>
      </c>
      <c r="M21" s="59">
        <v>20</v>
      </c>
      <c r="N21" s="60" t="str">
        <f t="shared" ca="1" si="26"/>
        <v>ý</v>
      </c>
      <c r="O21" s="183"/>
    </row>
    <row r="22" spans="1:15" x14ac:dyDescent="0.3">
      <c r="A22" s="185" t="s">
        <v>124</v>
      </c>
      <c r="B22" s="63" t="s">
        <v>128</v>
      </c>
      <c r="C22" s="44" t="s">
        <v>129</v>
      </c>
      <c r="D22" s="113" t="s">
        <v>114</v>
      </c>
      <c r="E22" s="201">
        <f t="shared" ref="E22:E24" si="34">6-2</f>
        <v>4</v>
      </c>
      <c r="F22" s="111">
        <v>1</v>
      </c>
      <c r="G22" s="110">
        <v>4</v>
      </c>
      <c r="H22" s="44">
        <v>2</v>
      </c>
      <c r="I22" s="44">
        <v>0</v>
      </c>
      <c r="J22" s="44">
        <f t="shared" ref="J22:J30" si="35">IF(D22="þ",SUM(E22,G22:I22),SUM(E22,F22,H22,I22))</f>
        <v>10</v>
      </c>
      <c r="K22" s="45">
        <f t="shared" ca="1" si="11"/>
        <v>7</v>
      </c>
      <c r="L22" s="44">
        <f t="shared" ref="L22:L30" ca="1" si="36">SUM(J22:K22)</f>
        <v>17</v>
      </c>
      <c r="M22" s="58">
        <v>20</v>
      </c>
      <c r="N22" s="61" t="str">
        <f t="shared" ref="N22:N30" ca="1" si="37">IF(K22&gt;(M22-1),"þ","ý")</f>
        <v>ý</v>
      </c>
      <c r="O22" s="163"/>
    </row>
    <row r="23" spans="1:15" x14ac:dyDescent="0.3">
      <c r="A23" s="185" t="s">
        <v>124</v>
      </c>
      <c r="B23" s="63" t="s">
        <v>153</v>
      </c>
      <c r="C23" s="44" t="s">
        <v>146</v>
      </c>
      <c r="D23" s="113" t="s">
        <v>79</v>
      </c>
      <c r="E23" s="201">
        <f t="shared" si="34"/>
        <v>4</v>
      </c>
      <c r="F23" s="111">
        <v>1</v>
      </c>
      <c r="G23" s="110">
        <v>4</v>
      </c>
      <c r="H23" s="44">
        <v>0</v>
      </c>
      <c r="I23" s="44">
        <v>0</v>
      </c>
      <c r="J23" s="44">
        <f t="shared" ref="J23" si="38">IF(D23="þ",SUM(E23,G23:I23),SUM(E23,F23,H23,I23))</f>
        <v>5</v>
      </c>
      <c r="K23" s="45">
        <f t="shared" ca="1" si="11"/>
        <v>8</v>
      </c>
      <c r="L23" s="44">
        <f t="shared" ref="L23" ca="1" si="39">SUM(J23:K23)</f>
        <v>13</v>
      </c>
      <c r="M23" s="58">
        <v>20</v>
      </c>
      <c r="N23" s="61" t="str">
        <f t="shared" ref="N23" ca="1" si="40">IF(K23&gt;(M23-1),"þ","ý")</f>
        <v>ý</v>
      </c>
      <c r="O23" s="163"/>
    </row>
    <row r="24" spans="1:15" x14ac:dyDescent="0.3">
      <c r="A24" s="186" t="s">
        <v>124</v>
      </c>
      <c r="B24" s="46" t="s">
        <v>115</v>
      </c>
      <c r="C24" s="46" t="s">
        <v>115</v>
      </c>
      <c r="D24" s="109" t="s">
        <v>79</v>
      </c>
      <c r="E24" s="202">
        <f t="shared" si="34"/>
        <v>4</v>
      </c>
      <c r="F24" s="107">
        <v>1</v>
      </c>
      <c r="G24" s="106">
        <v>4</v>
      </c>
      <c r="H24" s="46">
        <v>0</v>
      </c>
      <c r="I24" s="46">
        <v>0</v>
      </c>
      <c r="J24" s="46">
        <f t="shared" si="35"/>
        <v>5</v>
      </c>
      <c r="K24" s="47">
        <f t="shared" ca="1" si="11"/>
        <v>2</v>
      </c>
      <c r="L24" s="46">
        <f t="shared" ca="1" si="36"/>
        <v>7</v>
      </c>
      <c r="M24" s="59">
        <v>20</v>
      </c>
      <c r="N24" s="60" t="str">
        <f t="shared" ca="1" si="37"/>
        <v>ý</v>
      </c>
      <c r="O24" s="183"/>
    </row>
    <row r="25" spans="1:15" x14ac:dyDescent="0.3">
      <c r="A25" s="185" t="s">
        <v>159</v>
      </c>
      <c r="B25" s="63" t="s">
        <v>117</v>
      </c>
      <c r="C25" s="44" t="s">
        <v>143</v>
      </c>
      <c r="D25" s="113" t="s">
        <v>79</v>
      </c>
      <c r="E25" s="112">
        <v>1</v>
      </c>
      <c r="F25" s="111">
        <v>1</v>
      </c>
      <c r="G25" s="110">
        <v>1</v>
      </c>
      <c r="H25" s="44">
        <v>0</v>
      </c>
      <c r="I25" s="44">
        <v>0</v>
      </c>
      <c r="J25" s="44">
        <f t="shared" si="35"/>
        <v>2</v>
      </c>
      <c r="K25" s="45">
        <f t="shared" ca="1" si="11"/>
        <v>14</v>
      </c>
      <c r="L25" s="44">
        <f t="shared" ca="1" si="36"/>
        <v>16</v>
      </c>
      <c r="M25" s="58">
        <v>20</v>
      </c>
      <c r="N25" s="61" t="str">
        <f t="shared" ca="1" si="37"/>
        <v>ý</v>
      </c>
      <c r="O25" s="163"/>
    </row>
    <row r="26" spans="1:15" x14ac:dyDescent="0.3">
      <c r="A26" s="186" t="s">
        <v>159</v>
      </c>
      <c r="B26" s="46" t="s">
        <v>115</v>
      </c>
      <c r="C26" s="46" t="s">
        <v>115</v>
      </c>
      <c r="D26" s="109" t="s">
        <v>79</v>
      </c>
      <c r="E26" s="108">
        <v>1</v>
      </c>
      <c r="F26" s="107">
        <v>1</v>
      </c>
      <c r="G26" s="106">
        <v>1</v>
      </c>
      <c r="H26" s="46">
        <v>0</v>
      </c>
      <c r="I26" s="46">
        <v>0</v>
      </c>
      <c r="J26" s="46">
        <f t="shared" si="35"/>
        <v>2</v>
      </c>
      <c r="K26" s="47">
        <f t="shared" ca="1" si="11"/>
        <v>19</v>
      </c>
      <c r="L26" s="46">
        <f t="shared" ca="1" si="36"/>
        <v>21</v>
      </c>
      <c r="M26" s="59">
        <v>20</v>
      </c>
      <c r="N26" s="60" t="str">
        <f t="shared" ca="1" si="37"/>
        <v>ý</v>
      </c>
      <c r="O26" s="183"/>
    </row>
    <row r="27" spans="1:15" x14ac:dyDescent="0.3">
      <c r="A27" s="185" t="s">
        <v>171</v>
      </c>
      <c r="B27" s="63" t="s">
        <v>173</v>
      </c>
      <c r="C27" s="44" t="s">
        <v>179</v>
      </c>
      <c r="D27" s="113" t="s">
        <v>114</v>
      </c>
      <c r="E27" s="112">
        <v>7</v>
      </c>
      <c r="F27" s="111">
        <v>-1</v>
      </c>
      <c r="G27" s="110">
        <v>4</v>
      </c>
      <c r="H27" s="44">
        <v>1</v>
      </c>
      <c r="I27" s="44">
        <v>0</v>
      </c>
      <c r="J27" s="44">
        <f t="shared" si="35"/>
        <v>12</v>
      </c>
      <c r="K27" s="45">
        <f t="shared" ca="1" si="11"/>
        <v>17</v>
      </c>
      <c r="L27" s="44">
        <f t="shared" ca="1" si="36"/>
        <v>29</v>
      </c>
      <c r="M27" s="58">
        <v>20</v>
      </c>
      <c r="N27" s="61" t="str">
        <f t="shared" ca="1" si="37"/>
        <v>ý</v>
      </c>
      <c r="O27" s="163"/>
    </row>
    <row r="28" spans="1:15" x14ac:dyDescent="0.3">
      <c r="A28" s="185" t="s">
        <v>171</v>
      </c>
      <c r="B28" s="63" t="s">
        <v>174</v>
      </c>
      <c r="C28" s="44" t="s">
        <v>175</v>
      </c>
      <c r="D28" s="113" t="s">
        <v>79</v>
      </c>
      <c r="E28" s="112">
        <v>7</v>
      </c>
      <c r="F28" s="111">
        <v>-1</v>
      </c>
      <c r="G28" s="110">
        <v>4</v>
      </c>
      <c r="H28" s="44">
        <v>3</v>
      </c>
      <c r="I28" s="44">
        <v>0</v>
      </c>
      <c r="J28" s="44">
        <f t="shared" si="35"/>
        <v>9</v>
      </c>
      <c r="K28" s="45">
        <f t="shared" ca="1" si="11"/>
        <v>18</v>
      </c>
      <c r="L28" s="44">
        <f t="shared" ca="1" si="36"/>
        <v>27</v>
      </c>
      <c r="M28" s="58">
        <v>20</v>
      </c>
      <c r="N28" s="61" t="str">
        <f t="shared" ca="1" si="37"/>
        <v>ý</v>
      </c>
      <c r="O28" s="163"/>
    </row>
    <row r="29" spans="1:15" x14ac:dyDescent="0.3">
      <c r="A29" s="185" t="s">
        <v>171</v>
      </c>
      <c r="B29" s="63" t="s">
        <v>133</v>
      </c>
      <c r="C29" s="44" t="s">
        <v>121</v>
      </c>
      <c r="D29" s="113" t="s">
        <v>114</v>
      </c>
      <c r="E29" s="112">
        <v>7</v>
      </c>
      <c r="F29" s="111">
        <v>-1</v>
      </c>
      <c r="G29" s="110">
        <v>4</v>
      </c>
      <c r="H29" s="44">
        <v>0</v>
      </c>
      <c r="I29" s="44">
        <v>0</v>
      </c>
      <c r="J29" s="44">
        <f t="shared" si="35"/>
        <v>11</v>
      </c>
      <c r="K29" s="45">
        <f t="shared" ca="1" si="11"/>
        <v>20</v>
      </c>
      <c r="L29" s="44">
        <f t="shared" ca="1" si="36"/>
        <v>31</v>
      </c>
      <c r="M29" s="58">
        <v>20</v>
      </c>
      <c r="N29" s="61" t="str">
        <f t="shared" ca="1" si="37"/>
        <v>þ</v>
      </c>
      <c r="O29" s="163"/>
    </row>
    <row r="30" spans="1:15" x14ac:dyDescent="0.3">
      <c r="A30" s="186" t="s">
        <v>171</v>
      </c>
      <c r="B30" s="46" t="s">
        <v>115</v>
      </c>
      <c r="C30" s="46" t="s">
        <v>115</v>
      </c>
      <c r="D30" s="109" t="s">
        <v>79</v>
      </c>
      <c r="E30" s="108">
        <v>7</v>
      </c>
      <c r="F30" s="107">
        <v>-1</v>
      </c>
      <c r="G30" s="106">
        <v>4</v>
      </c>
      <c r="H30" s="46">
        <v>0</v>
      </c>
      <c r="I30" s="46">
        <v>0</v>
      </c>
      <c r="J30" s="46">
        <f t="shared" si="35"/>
        <v>6</v>
      </c>
      <c r="K30" s="47">
        <f t="shared" ca="1" si="11"/>
        <v>10</v>
      </c>
      <c r="L30" s="46">
        <f t="shared" ca="1" si="36"/>
        <v>16</v>
      </c>
      <c r="M30" s="59">
        <v>20</v>
      </c>
      <c r="N30" s="60" t="str">
        <f t="shared" ca="1" si="37"/>
        <v>ý</v>
      </c>
      <c r="O30" s="183"/>
    </row>
  </sheetData>
  <conditionalFormatting sqref="D2:D30">
    <cfRule type="cellIs" dxfId="4" priority="1" operator="equal">
      <formula>"þ"</formula>
    </cfRule>
  </conditionalFormatting>
  <conditionalFormatting sqref="K2:K30">
    <cfRule type="cellIs" dxfId="3" priority="3" operator="greaterThanOrEqual">
      <formula>$M2</formula>
    </cfRule>
  </conditionalFormatting>
  <conditionalFormatting sqref="N2:N30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2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6.6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2" width="19.3984375" style="18" bestFit="1" customWidth="1"/>
    <col min="13" max="16384" width="4" style="18"/>
  </cols>
  <sheetData>
    <row r="1" spans="1:11" s="19" customFormat="1" x14ac:dyDescent="0.3">
      <c r="A1" s="82" t="s">
        <v>0</v>
      </c>
      <c r="B1" s="82" t="s">
        <v>62</v>
      </c>
      <c r="C1" s="82" t="s">
        <v>37</v>
      </c>
      <c r="D1" s="83" t="s">
        <v>3</v>
      </c>
      <c r="E1" s="82" t="s">
        <v>102</v>
      </c>
      <c r="F1" s="18"/>
      <c r="G1" s="82" t="s">
        <v>0</v>
      </c>
      <c r="H1" s="82" t="s">
        <v>98</v>
      </c>
      <c r="I1" s="82" t="s">
        <v>37</v>
      </c>
      <c r="J1" s="83" t="s">
        <v>3</v>
      </c>
      <c r="K1" s="82" t="s">
        <v>102</v>
      </c>
    </row>
    <row r="2" spans="1:11" x14ac:dyDescent="0.3">
      <c r="A2" s="142" t="s">
        <v>134</v>
      </c>
      <c r="B2" s="5" t="s">
        <v>38</v>
      </c>
      <c r="C2" s="150">
        <v>9</v>
      </c>
      <c r="D2" s="45">
        <f t="shared" ref="D2:D13" ca="1" si="0">RANDBETWEEN(1,20)</f>
        <v>4</v>
      </c>
      <c r="E2" s="44">
        <f t="shared" ref="E2:E4" ca="1" si="1">D2+C2</f>
        <v>13</v>
      </c>
      <c r="G2" s="144" t="s">
        <v>120</v>
      </c>
      <c r="H2" s="5" t="s">
        <v>38</v>
      </c>
      <c r="I2" s="181">
        <v>5</v>
      </c>
      <c r="J2" s="45">
        <f t="shared" ref="J2:J16" ca="1" si="2">RANDBETWEEN(1,20)</f>
        <v>13</v>
      </c>
      <c r="K2" s="44">
        <f t="shared" ref="K2:K4" ca="1" si="3">J2+I2</f>
        <v>18</v>
      </c>
    </row>
    <row r="3" spans="1:11" x14ac:dyDescent="0.3">
      <c r="A3" s="142" t="s">
        <v>134</v>
      </c>
      <c r="B3" s="5" t="s">
        <v>39</v>
      </c>
      <c r="C3" s="150">
        <v>8</v>
      </c>
      <c r="D3" s="45">
        <f t="shared" ca="1" si="0"/>
        <v>17</v>
      </c>
      <c r="E3" s="44">
        <f t="shared" ca="1" si="1"/>
        <v>25</v>
      </c>
      <c r="G3" s="144" t="s">
        <v>120</v>
      </c>
      <c r="H3" s="5" t="s">
        <v>39</v>
      </c>
      <c r="I3" s="181">
        <v>5</v>
      </c>
      <c r="J3" s="45">
        <f t="shared" ca="1" si="2"/>
        <v>11</v>
      </c>
      <c r="K3" s="44">
        <f t="shared" ca="1" si="3"/>
        <v>16</v>
      </c>
    </row>
    <row r="4" spans="1:11" x14ac:dyDescent="0.3">
      <c r="A4" s="143" t="s">
        <v>134</v>
      </c>
      <c r="B4" s="84" t="s">
        <v>40</v>
      </c>
      <c r="C4" s="151">
        <v>7</v>
      </c>
      <c r="D4" s="47">
        <f t="shared" ca="1" si="0"/>
        <v>11</v>
      </c>
      <c r="E4" s="46">
        <f t="shared" ca="1" si="1"/>
        <v>18</v>
      </c>
      <c r="G4" s="145" t="s">
        <v>120</v>
      </c>
      <c r="H4" s="84" t="s">
        <v>40</v>
      </c>
      <c r="I4" s="182">
        <v>1</v>
      </c>
      <c r="J4" s="47">
        <f t="shared" ca="1" si="2"/>
        <v>4</v>
      </c>
      <c r="K4" s="46">
        <f t="shared" ca="1" si="3"/>
        <v>5</v>
      </c>
    </row>
    <row r="5" spans="1:11" x14ac:dyDescent="0.3">
      <c r="A5" s="142" t="s">
        <v>166</v>
      </c>
      <c r="B5" s="5" t="s">
        <v>38</v>
      </c>
      <c r="C5" s="150">
        <v>3</v>
      </c>
      <c r="D5" s="45">
        <f t="shared" ca="1" si="0"/>
        <v>15</v>
      </c>
      <c r="E5" s="44">
        <f t="shared" ref="E5:E7" ca="1" si="4">D5+C5</f>
        <v>18</v>
      </c>
      <c r="G5" s="144" t="s">
        <v>122</v>
      </c>
      <c r="H5" s="5" t="s">
        <v>38</v>
      </c>
      <c r="I5" s="199">
        <f>7-2</f>
        <v>5</v>
      </c>
      <c r="J5" s="45">
        <f t="shared" ca="1" si="2"/>
        <v>6</v>
      </c>
      <c r="K5" s="44">
        <f t="shared" ref="K5:K10" ca="1" si="5">J5+I5</f>
        <v>11</v>
      </c>
    </row>
    <row r="6" spans="1:11" x14ac:dyDescent="0.3">
      <c r="A6" s="142" t="s">
        <v>166</v>
      </c>
      <c r="B6" s="5" t="s">
        <v>39</v>
      </c>
      <c r="C6" s="150">
        <v>9</v>
      </c>
      <c r="D6" s="45">
        <f t="shared" ca="1" si="0"/>
        <v>17</v>
      </c>
      <c r="E6" s="44">
        <f t="shared" ca="1" si="4"/>
        <v>26</v>
      </c>
      <c r="G6" s="144" t="s">
        <v>122</v>
      </c>
      <c r="H6" s="5" t="s">
        <v>39</v>
      </c>
      <c r="I6" s="199">
        <f>4-2</f>
        <v>2</v>
      </c>
      <c r="J6" s="45">
        <f t="shared" ca="1" si="2"/>
        <v>9</v>
      </c>
      <c r="K6" s="44">
        <f t="shared" ca="1" si="5"/>
        <v>11</v>
      </c>
    </row>
    <row r="7" spans="1:11" x14ac:dyDescent="0.3">
      <c r="A7" s="143" t="s">
        <v>166</v>
      </c>
      <c r="B7" s="84" t="s">
        <v>40</v>
      </c>
      <c r="C7" s="151">
        <v>4</v>
      </c>
      <c r="D7" s="47">
        <f t="shared" ca="1" si="0"/>
        <v>1</v>
      </c>
      <c r="E7" s="46">
        <f t="shared" ca="1" si="4"/>
        <v>5</v>
      </c>
      <c r="G7" s="145" t="s">
        <v>122</v>
      </c>
      <c r="H7" s="84" t="s">
        <v>40</v>
      </c>
      <c r="I7" s="200">
        <f>5-2</f>
        <v>3</v>
      </c>
      <c r="J7" s="47">
        <f t="shared" ca="1" si="2"/>
        <v>4</v>
      </c>
      <c r="K7" s="46">
        <f t="shared" ca="1" si="5"/>
        <v>7</v>
      </c>
    </row>
    <row r="8" spans="1:11" x14ac:dyDescent="0.3">
      <c r="A8" s="142" t="s">
        <v>162</v>
      </c>
      <c r="B8" s="5" t="s">
        <v>38</v>
      </c>
      <c r="C8" s="150">
        <v>7</v>
      </c>
      <c r="D8" s="45">
        <f t="shared" ca="1" si="0"/>
        <v>6</v>
      </c>
      <c r="E8" s="44">
        <f t="shared" ref="E8:E10" ca="1" si="6">D8+C8</f>
        <v>13</v>
      </c>
      <c r="G8" s="144" t="s">
        <v>124</v>
      </c>
      <c r="H8" s="5" t="s">
        <v>38</v>
      </c>
      <c r="I8" s="199">
        <f>2-2</f>
        <v>0</v>
      </c>
      <c r="J8" s="45">
        <f t="shared" ca="1" si="2"/>
        <v>6</v>
      </c>
      <c r="K8" s="44">
        <f t="shared" ca="1" si="5"/>
        <v>6</v>
      </c>
    </row>
    <row r="9" spans="1:11" x14ac:dyDescent="0.3">
      <c r="A9" s="142" t="s">
        <v>162</v>
      </c>
      <c r="B9" s="5" t="s">
        <v>39</v>
      </c>
      <c r="C9" s="150">
        <v>14</v>
      </c>
      <c r="D9" s="45">
        <f t="shared" ca="1" si="0"/>
        <v>6</v>
      </c>
      <c r="E9" s="44">
        <f t="shared" ca="1" si="6"/>
        <v>20</v>
      </c>
      <c r="G9" s="144" t="s">
        <v>124</v>
      </c>
      <c r="H9" s="5" t="s">
        <v>39</v>
      </c>
      <c r="I9" s="199">
        <f>5-2</f>
        <v>3</v>
      </c>
      <c r="J9" s="45">
        <f t="shared" ca="1" si="2"/>
        <v>19</v>
      </c>
      <c r="K9" s="44">
        <f t="shared" ca="1" si="5"/>
        <v>22</v>
      </c>
    </row>
    <row r="10" spans="1:11" x14ac:dyDescent="0.3">
      <c r="A10" s="143" t="s">
        <v>162</v>
      </c>
      <c r="B10" s="84" t="s">
        <v>40</v>
      </c>
      <c r="C10" s="151">
        <v>7</v>
      </c>
      <c r="D10" s="47">
        <f t="shared" ca="1" si="0"/>
        <v>5</v>
      </c>
      <c r="E10" s="46">
        <f t="shared" ca="1" si="6"/>
        <v>12</v>
      </c>
      <c r="G10" s="145" t="s">
        <v>124</v>
      </c>
      <c r="H10" s="84" t="s">
        <v>40</v>
      </c>
      <c r="I10" s="200">
        <f>8-2</f>
        <v>6</v>
      </c>
      <c r="J10" s="47">
        <f t="shared" ca="1" si="2"/>
        <v>1</v>
      </c>
      <c r="K10" s="46">
        <f t="shared" ca="1" si="5"/>
        <v>7</v>
      </c>
    </row>
    <row r="11" spans="1:11" x14ac:dyDescent="0.3">
      <c r="A11" s="142" t="s">
        <v>168</v>
      </c>
      <c r="B11" s="5" t="s">
        <v>38</v>
      </c>
      <c r="C11" s="150">
        <v>22</v>
      </c>
      <c r="D11" s="45">
        <f t="shared" ca="1" si="0"/>
        <v>5</v>
      </c>
      <c r="E11" s="44">
        <f t="shared" ref="E11:E13" ca="1" si="7">D11+C11</f>
        <v>27</v>
      </c>
      <c r="G11" s="144" t="s">
        <v>147</v>
      </c>
      <c r="H11" s="5" t="s">
        <v>38</v>
      </c>
      <c r="I11" s="181">
        <v>4</v>
      </c>
      <c r="J11" s="45">
        <f t="shared" ca="1" si="2"/>
        <v>1</v>
      </c>
      <c r="K11" s="44">
        <f t="shared" ref="K11:K13" ca="1" si="8">J11+I11</f>
        <v>5</v>
      </c>
    </row>
    <row r="12" spans="1:11" x14ac:dyDescent="0.3">
      <c r="A12" s="142" t="s">
        <v>168</v>
      </c>
      <c r="B12" s="5" t="s">
        <v>39</v>
      </c>
      <c r="C12" s="150">
        <v>19</v>
      </c>
      <c r="D12" s="45">
        <f t="shared" ca="1" si="0"/>
        <v>11</v>
      </c>
      <c r="E12" s="44">
        <f t="shared" ca="1" si="7"/>
        <v>30</v>
      </c>
      <c r="G12" s="144" t="s">
        <v>147</v>
      </c>
      <c r="H12" s="5" t="s">
        <v>39</v>
      </c>
      <c r="I12" s="181">
        <v>4</v>
      </c>
      <c r="J12" s="45">
        <f t="shared" ca="1" si="2"/>
        <v>15</v>
      </c>
      <c r="K12" s="44">
        <f t="shared" ca="1" si="8"/>
        <v>19</v>
      </c>
    </row>
    <row r="13" spans="1:11" x14ac:dyDescent="0.3">
      <c r="A13" s="143" t="s">
        <v>168</v>
      </c>
      <c r="B13" s="84" t="s">
        <v>40</v>
      </c>
      <c r="C13" s="151">
        <v>19</v>
      </c>
      <c r="D13" s="47">
        <f t="shared" ca="1" si="0"/>
        <v>1</v>
      </c>
      <c r="E13" s="46">
        <f t="shared" ca="1" si="7"/>
        <v>20</v>
      </c>
      <c r="G13" s="145" t="s">
        <v>147</v>
      </c>
      <c r="H13" s="84" t="s">
        <v>40</v>
      </c>
      <c r="I13" s="182">
        <v>3</v>
      </c>
      <c r="J13" s="47">
        <f t="shared" ca="1" si="2"/>
        <v>3</v>
      </c>
      <c r="K13" s="46">
        <f t="shared" ca="1" si="8"/>
        <v>6</v>
      </c>
    </row>
    <row r="14" spans="1:11" x14ac:dyDescent="0.3">
      <c r="G14" s="144" t="s">
        <v>178</v>
      </c>
      <c r="H14" s="5" t="s">
        <v>38</v>
      </c>
      <c r="I14" s="181">
        <v>5</v>
      </c>
      <c r="J14" s="45">
        <f t="shared" ca="1" si="2"/>
        <v>7</v>
      </c>
      <c r="K14" s="44">
        <f t="shared" ref="K14:K16" ca="1" si="9">J14+I14</f>
        <v>12</v>
      </c>
    </row>
    <row r="15" spans="1:11" x14ac:dyDescent="0.3">
      <c r="G15" s="144" t="s">
        <v>178</v>
      </c>
      <c r="H15" s="5" t="s">
        <v>39</v>
      </c>
      <c r="I15" s="181">
        <v>7</v>
      </c>
      <c r="J15" s="45">
        <f t="shared" ca="1" si="2"/>
        <v>2</v>
      </c>
      <c r="K15" s="44">
        <f t="shared" ca="1" si="9"/>
        <v>9</v>
      </c>
    </row>
    <row r="16" spans="1:11" x14ac:dyDescent="0.3">
      <c r="G16" s="145" t="s">
        <v>178</v>
      </c>
      <c r="H16" s="84" t="s">
        <v>40</v>
      </c>
      <c r="I16" s="182">
        <v>12</v>
      </c>
      <c r="J16" s="47">
        <f t="shared" ca="1" si="2"/>
        <v>1</v>
      </c>
      <c r="K16" s="46">
        <f t="shared" ca="1" si="9"/>
        <v>13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5"/>
  <sheetViews>
    <sheetView showGridLines="0" tabSelected="1" zoomScaleNormal="100" workbookViewId="0">
      <pane xSplit="1" ySplit="1" topLeftCell="C2" activePane="bottomRight" state="frozen"/>
      <selection pane="topRight"/>
      <selection pane="bottomLeft"/>
      <selection pane="bottomRight" activeCell="C2" sqref="C2"/>
    </sheetView>
  </sheetViews>
  <sheetFormatPr defaultColWidth="9.69921875" defaultRowHeight="15.6" x14ac:dyDescent="0.3"/>
  <cols>
    <col min="1" max="1" width="17.296875" style="1" bestFit="1" customWidth="1"/>
    <col min="2" max="2" width="3.3984375" style="1" hidden="1" customWidth="1"/>
    <col min="3" max="3" width="5.796875" style="1" customWidth="1"/>
    <col min="4" max="4" width="5.8984375" style="1" bestFit="1" customWidth="1"/>
    <col min="5" max="5" width="9.796875" style="1" bestFit="1" customWidth="1"/>
    <col min="6" max="6" width="6.09765625" style="1" bestFit="1" customWidth="1"/>
    <col min="7" max="7" width="12.59765625" style="48" bestFit="1" customWidth="1"/>
    <col min="8" max="8" width="2.8984375" style="48" bestFit="1" customWidth="1"/>
    <col min="9" max="9" width="6.199218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8" style="5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16384" width="9.69921875" style="48"/>
  </cols>
  <sheetData>
    <row r="1" spans="1:29" s="16" customFormat="1" ht="32.4" thickTop="1" thickBot="1" x14ac:dyDescent="0.35">
      <c r="A1" s="30" t="s">
        <v>0</v>
      </c>
      <c r="B1" s="140" t="s">
        <v>99</v>
      </c>
      <c r="C1" s="189" t="s">
        <v>42</v>
      </c>
      <c r="D1" s="190" t="s">
        <v>41</v>
      </c>
      <c r="E1" s="191" t="s">
        <v>43</v>
      </c>
      <c r="F1" s="42" t="s">
        <v>64</v>
      </c>
      <c r="G1" s="40" t="s">
        <v>44</v>
      </c>
      <c r="H1" s="41"/>
      <c r="I1" s="29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25" t="s">
        <v>68</v>
      </c>
      <c r="Q1" s="49" t="s">
        <v>65</v>
      </c>
      <c r="R1" s="26" t="s">
        <v>52</v>
      </c>
      <c r="S1" s="27" t="s">
        <v>53</v>
      </c>
      <c r="T1" s="28" t="s">
        <v>66</v>
      </c>
      <c r="U1" s="23" t="s">
        <v>69</v>
      </c>
      <c r="V1" s="31" t="s">
        <v>54</v>
      </c>
      <c r="W1" s="32" t="s">
        <v>55</v>
      </c>
      <c r="X1" s="35" t="s">
        <v>56</v>
      </c>
      <c r="Y1" s="50" t="s">
        <v>67</v>
      </c>
      <c r="Z1" s="36" t="s">
        <v>57</v>
      </c>
      <c r="AA1" s="34" t="s">
        <v>58</v>
      </c>
      <c r="AB1" s="32" t="s">
        <v>59</v>
      </c>
      <c r="AC1" s="33" t="s">
        <v>60</v>
      </c>
    </row>
    <row r="2" spans="1:29" ht="16.2" thickTop="1" x14ac:dyDescent="0.3">
      <c r="A2" s="89" t="s">
        <v>97</v>
      </c>
      <c r="B2" s="141">
        <v>1</v>
      </c>
      <c r="C2" s="85">
        <v>16</v>
      </c>
      <c r="D2" s="152">
        <f>15+4</f>
        <v>19</v>
      </c>
      <c r="E2" s="203">
        <f>18+4</f>
        <v>22</v>
      </c>
      <c r="F2" s="91">
        <v>0</v>
      </c>
      <c r="G2" s="132" t="s">
        <v>61</v>
      </c>
      <c r="H2" s="92">
        <v>0</v>
      </c>
      <c r="I2" s="93">
        <v>12</v>
      </c>
      <c r="J2" s="94"/>
      <c r="K2" s="95">
        <v>3</v>
      </c>
      <c r="L2" s="135">
        <v>6</v>
      </c>
      <c r="M2" s="139">
        <v>8</v>
      </c>
      <c r="N2" s="134" t="s">
        <v>113</v>
      </c>
      <c r="O2" s="97"/>
      <c r="P2" s="98"/>
      <c r="Q2" s="138" t="s">
        <v>96</v>
      </c>
      <c r="R2" s="136" t="s">
        <v>96</v>
      </c>
      <c r="S2" s="99"/>
      <c r="T2" s="100"/>
      <c r="U2" s="101"/>
      <c r="V2" s="86"/>
      <c r="W2" s="87">
        <f t="shared" ref="W2:W11" si="0">SUM(I2:U2)</f>
        <v>29</v>
      </c>
      <c r="X2" s="102"/>
      <c r="Y2" s="103"/>
      <c r="Z2" s="104">
        <v>20</v>
      </c>
      <c r="AA2" s="88">
        <v>53</v>
      </c>
      <c r="AB2" s="53">
        <f t="shared" ref="AB2:AB3" si="1">SUM(Z2:AA2)-(W2+X2)</f>
        <v>44</v>
      </c>
      <c r="AC2" s="133">
        <f t="shared" ref="AC2:AC3" si="2">SMALL(AA2:AB2,1)+Y2</f>
        <v>44</v>
      </c>
    </row>
    <row r="3" spans="1:29" x14ac:dyDescent="0.3">
      <c r="A3" s="89" t="s">
        <v>104</v>
      </c>
      <c r="B3" s="141">
        <v>1</v>
      </c>
      <c r="C3" s="203">
        <f>13+3</f>
        <v>16</v>
      </c>
      <c r="D3" s="105">
        <v>21</v>
      </c>
      <c r="E3" s="203">
        <f>23+3</f>
        <v>26</v>
      </c>
      <c r="F3" s="91">
        <v>0</v>
      </c>
      <c r="G3" s="132" t="s">
        <v>61</v>
      </c>
      <c r="H3" s="92">
        <v>0</v>
      </c>
      <c r="I3" s="93">
        <v>6</v>
      </c>
      <c r="J3" s="94"/>
      <c r="K3" s="95">
        <v>8</v>
      </c>
      <c r="L3" s="135">
        <v>20</v>
      </c>
      <c r="M3" s="139">
        <v>20</v>
      </c>
      <c r="N3" s="134" t="s">
        <v>112</v>
      </c>
      <c r="O3" s="97"/>
      <c r="P3" s="98"/>
      <c r="Q3" s="138" t="s">
        <v>96</v>
      </c>
      <c r="R3" s="136" t="s">
        <v>96</v>
      </c>
      <c r="S3" s="99"/>
      <c r="T3" s="100"/>
      <c r="U3" s="101">
        <v>13</v>
      </c>
      <c r="V3" s="86"/>
      <c r="W3" s="87">
        <f t="shared" si="0"/>
        <v>67</v>
      </c>
      <c r="X3" s="102"/>
      <c r="Y3" s="103"/>
      <c r="Z3" s="104">
        <v>26</v>
      </c>
      <c r="AA3" s="88">
        <v>79</v>
      </c>
      <c r="AB3" s="53">
        <f t="shared" si="1"/>
        <v>38</v>
      </c>
      <c r="AC3" s="133">
        <f t="shared" si="2"/>
        <v>38</v>
      </c>
    </row>
    <row r="4" spans="1:29" x14ac:dyDescent="0.3">
      <c r="A4" s="178" t="s">
        <v>122</v>
      </c>
      <c r="B4" s="141"/>
      <c r="C4" s="85">
        <f>13</f>
        <v>13</v>
      </c>
      <c r="D4" s="105">
        <v>21</v>
      </c>
      <c r="E4" s="90">
        <f>23</f>
        <v>23</v>
      </c>
      <c r="F4" s="91">
        <v>0</v>
      </c>
      <c r="G4" s="132" t="s">
        <v>61</v>
      </c>
      <c r="H4" s="92">
        <v>0</v>
      </c>
      <c r="I4" s="93">
        <v>32</v>
      </c>
      <c r="J4" s="94"/>
      <c r="K4" s="95"/>
      <c r="L4" s="135">
        <v>11</v>
      </c>
      <c r="M4" s="139"/>
      <c r="N4" s="134">
        <v>15</v>
      </c>
      <c r="O4" s="97"/>
      <c r="P4" s="98">
        <v>3</v>
      </c>
      <c r="Q4" s="138" t="s">
        <v>96</v>
      </c>
      <c r="R4" s="193"/>
      <c r="S4" s="99"/>
      <c r="T4" s="100"/>
      <c r="U4" s="101"/>
      <c r="V4" s="86"/>
      <c r="W4" s="87">
        <f t="shared" si="0"/>
        <v>61</v>
      </c>
      <c r="X4" s="102"/>
      <c r="Y4" s="103"/>
      <c r="Z4" s="104">
        <v>56</v>
      </c>
      <c r="AA4" s="88">
        <v>70</v>
      </c>
      <c r="AB4" s="53">
        <f t="shared" ref="AB4:AB5" si="3">SUM(Z4:AA4)-(W4+X4)</f>
        <v>65</v>
      </c>
      <c r="AC4" s="133">
        <f t="shared" ref="AC4:AC5" si="4">SMALL(AA4:AB4,1)+Y4</f>
        <v>65</v>
      </c>
    </row>
    <row r="5" spans="1:29" x14ac:dyDescent="0.3">
      <c r="A5" s="178" t="s">
        <v>124</v>
      </c>
      <c r="B5" s="141"/>
      <c r="C5" s="85">
        <v>14</v>
      </c>
      <c r="D5" s="105">
        <v>17</v>
      </c>
      <c r="E5" s="90">
        <v>21</v>
      </c>
      <c r="F5" s="91">
        <v>0</v>
      </c>
      <c r="G5" s="132" t="s">
        <v>61</v>
      </c>
      <c r="H5" s="92">
        <v>0</v>
      </c>
      <c r="I5" s="93">
        <v>20</v>
      </c>
      <c r="J5" s="94"/>
      <c r="K5" s="95"/>
      <c r="L5" s="135"/>
      <c r="M5" s="206" t="s">
        <v>96</v>
      </c>
      <c r="N5" s="134"/>
      <c r="O5" s="207" t="s">
        <v>96</v>
      </c>
      <c r="P5" s="98"/>
      <c r="Q5" s="138" t="s">
        <v>96</v>
      </c>
      <c r="R5" s="136" t="s">
        <v>96</v>
      </c>
      <c r="S5" s="99"/>
      <c r="T5" s="100"/>
      <c r="U5" s="101">
        <v>7</v>
      </c>
      <c r="V5" s="86"/>
      <c r="W5" s="87">
        <f t="shared" si="0"/>
        <v>27</v>
      </c>
      <c r="X5" s="102"/>
      <c r="Y5" s="103"/>
      <c r="Z5" s="104">
        <v>27</v>
      </c>
      <c r="AA5" s="88">
        <v>55</v>
      </c>
      <c r="AB5" s="53">
        <f t="shared" si="3"/>
        <v>55</v>
      </c>
      <c r="AC5" s="133">
        <f t="shared" si="4"/>
        <v>55</v>
      </c>
    </row>
    <row r="6" spans="1:29" x14ac:dyDescent="0.3">
      <c r="A6" s="178" t="s">
        <v>171</v>
      </c>
      <c r="B6" s="141"/>
      <c r="C6" s="85">
        <v>18</v>
      </c>
      <c r="D6" s="105">
        <v>16</v>
      </c>
      <c r="E6" s="90">
        <v>24</v>
      </c>
      <c r="F6" s="91">
        <v>10</v>
      </c>
      <c r="G6" s="132" t="s">
        <v>61</v>
      </c>
      <c r="H6" s="92">
        <v>0</v>
      </c>
      <c r="I6" s="93">
        <v>5</v>
      </c>
      <c r="J6" s="94"/>
      <c r="K6" s="95"/>
      <c r="L6" s="135"/>
      <c r="M6" s="139"/>
      <c r="N6" s="134"/>
      <c r="O6" s="97"/>
      <c r="P6" s="98"/>
      <c r="Q6" s="192"/>
      <c r="R6" s="136" t="s">
        <v>96</v>
      </c>
      <c r="S6" s="99"/>
      <c r="T6" s="100"/>
      <c r="U6" s="101"/>
      <c r="V6" s="86"/>
      <c r="W6" s="87">
        <f t="shared" ref="W6" si="5">SUM(I6:U6)</f>
        <v>5</v>
      </c>
      <c r="X6" s="102"/>
      <c r="Y6" s="103"/>
      <c r="Z6" s="104"/>
      <c r="AA6" s="88">
        <v>70</v>
      </c>
      <c r="AB6" s="53">
        <f t="shared" ref="AB6" si="6">SUM(Z6:AA6)-(W6+X6)</f>
        <v>65</v>
      </c>
      <c r="AC6" s="133">
        <f t="shared" ref="AC6" si="7">SMALL(AA6:AB6,1)+Y6</f>
        <v>65</v>
      </c>
    </row>
    <row r="7" spans="1:29" x14ac:dyDescent="0.3">
      <c r="A7" s="178" t="s">
        <v>147</v>
      </c>
      <c r="B7" s="180">
        <v>1</v>
      </c>
      <c r="C7" s="85">
        <v>12</v>
      </c>
      <c r="D7" s="105">
        <v>14</v>
      </c>
      <c r="E7" s="90">
        <v>16</v>
      </c>
      <c r="F7" s="91">
        <v>0</v>
      </c>
      <c r="G7" s="132" t="s">
        <v>61</v>
      </c>
      <c r="H7" s="92">
        <v>0</v>
      </c>
      <c r="I7" s="93"/>
      <c r="J7" s="94"/>
      <c r="K7" s="95"/>
      <c r="L7" s="135"/>
      <c r="M7" s="139"/>
      <c r="N7" s="96"/>
      <c r="O7" s="97"/>
      <c r="P7" s="98"/>
      <c r="Q7" s="138" t="s">
        <v>96</v>
      </c>
      <c r="R7" s="193"/>
      <c r="S7" s="99"/>
      <c r="T7" s="100"/>
      <c r="U7" s="101"/>
      <c r="V7" s="86"/>
      <c r="W7" s="87">
        <f t="shared" si="0"/>
        <v>0</v>
      </c>
      <c r="X7" s="102"/>
      <c r="Y7" s="103"/>
      <c r="Z7" s="104"/>
      <c r="AA7" s="88">
        <v>13</v>
      </c>
      <c r="AB7" s="53">
        <f t="shared" ref="AB7" si="8">SUM(Z7:AA7)-(W7+X7)</f>
        <v>13</v>
      </c>
      <c r="AC7" s="133">
        <f t="shared" ref="AC7:AC8" si="9">SMALL(AA7:AB7,1)+Y7</f>
        <v>13</v>
      </c>
    </row>
    <row r="8" spans="1:29" x14ac:dyDescent="0.3">
      <c r="A8" s="153" t="s">
        <v>162</v>
      </c>
      <c r="B8" s="154"/>
      <c r="C8" s="85">
        <v>17</v>
      </c>
      <c r="D8" s="105">
        <v>18</v>
      </c>
      <c r="E8" s="90" t="s">
        <v>163</v>
      </c>
      <c r="F8" s="91">
        <v>0</v>
      </c>
      <c r="G8" s="132" t="s">
        <v>165</v>
      </c>
      <c r="H8" s="92">
        <v>1</v>
      </c>
      <c r="I8" s="93">
        <v>11</v>
      </c>
      <c r="J8" s="94"/>
      <c r="K8" s="208" t="s">
        <v>164</v>
      </c>
      <c r="L8" s="209" t="s">
        <v>164</v>
      </c>
      <c r="M8" s="210" t="s">
        <v>164</v>
      </c>
      <c r="N8" s="134">
        <v>5</v>
      </c>
      <c r="O8" s="97"/>
      <c r="P8" s="198" t="s">
        <v>96</v>
      </c>
      <c r="Q8" s="192">
        <v>7</v>
      </c>
      <c r="R8" s="136" t="s">
        <v>96</v>
      </c>
      <c r="S8" s="99"/>
      <c r="T8" s="100"/>
      <c r="U8" s="101"/>
      <c r="V8" s="86"/>
      <c r="W8" s="87">
        <f t="shared" ref="W8" si="10">SUM(I8:U8)</f>
        <v>23</v>
      </c>
      <c r="X8" s="102"/>
      <c r="Y8" s="103"/>
      <c r="Z8" s="104">
        <v>20</v>
      </c>
      <c r="AA8" s="88">
        <v>45</v>
      </c>
      <c r="AB8" s="53">
        <f t="shared" ref="AB8" si="11">SUM(Z8:AA8)-(W8+X8)</f>
        <v>42</v>
      </c>
      <c r="AC8" s="133">
        <f t="shared" si="9"/>
        <v>42</v>
      </c>
    </row>
    <row r="9" spans="1:29" x14ac:dyDescent="0.3">
      <c r="A9" s="153" t="s">
        <v>134</v>
      </c>
      <c r="B9" s="154"/>
      <c r="C9" s="85">
        <v>17</v>
      </c>
      <c r="D9" s="105">
        <v>12</v>
      </c>
      <c r="E9" s="90">
        <v>19</v>
      </c>
      <c r="F9" s="91">
        <v>0</v>
      </c>
      <c r="G9" s="132" t="s">
        <v>145</v>
      </c>
      <c r="H9" s="92">
        <v>10</v>
      </c>
      <c r="I9" s="93"/>
      <c r="J9" s="94"/>
      <c r="K9" s="95"/>
      <c r="L9" s="135"/>
      <c r="M9" s="139"/>
      <c r="N9" s="96">
        <v>34</v>
      </c>
      <c r="O9" s="97"/>
      <c r="P9" s="198" t="s">
        <v>96</v>
      </c>
      <c r="Q9" s="192"/>
      <c r="R9" s="136" t="s">
        <v>96</v>
      </c>
      <c r="S9" s="99"/>
      <c r="T9" s="100"/>
      <c r="U9" s="101"/>
      <c r="V9" s="86"/>
      <c r="W9" s="87">
        <f t="shared" ref="W9:W10" si="12">SUM(I9:U9)</f>
        <v>34</v>
      </c>
      <c r="X9" s="102"/>
      <c r="Y9" s="103"/>
      <c r="Z9" s="104"/>
      <c r="AA9" s="88">
        <v>70</v>
      </c>
      <c r="AB9" s="53">
        <f t="shared" ref="AB9:AB10" si="13">SUM(Z9:AA9)-(W9+X9)</f>
        <v>36</v>
      </c>
      <c r="AC9" s="133">
        <f t="shared" ref="AC9:AC10" si="14">SMALL(AA9:AB9,1)+Y9</f>
        <v>36</v>
      </c>
    </row>
    <row r="10" spans="1:29" x14ac:dyDescent="0.3">
      <c r="A10" s="153" t="s">
        <v>166</v>
      </c>
      <c r="B10" s="154"/>
      <c r="C10" s="85">
        <v>11</v>
      </c>
      <c r="D10" s="105">
        <v>19</v>
      </c>
      <c r="E10" s="90">
        <v>20</v>
      </c>
      <c r="F10" s="91">
        <v>0</v>
      </c>
      <c r="G10" s="132" t="s">
        <v>61</v>
      </c>
      <c r="H10" s="92">
        <v>0</v>
      </c>
      <c r="I10" s="93"/>
      <c r="J10" s="94"/>
      <c r="K10" s="95"/>
      <c r="L10" s="135"/>
      <c r="M10" s="139"/>
      <c r="N10" s="96">
        <v>90</v>
      </c>
      <c r="O10" s="97">
        <v>10</v>
      </c>
      <c r="P10" s="198" t="s">
        <v>96</v>
      </c>
      <c r="Q10" s="192">
        <v>21</v>
      </c>
      <c r="R10" s="136" t="s">
        <v>96</v>
      </c>
      <c r="S10" s="99"/>
      <c r="T10" s="100"/>
      <c r="U10" s="101"/>
      <c r="V10" s="86"/>
      <c r="W10" s="87">
        <f t="shared" si="12"/>
        <v>121</v>
      </c>
      <c r="X10" s="102"/>
      <c r="Y10" s="103"/>
      <c r="Z10" s="104">
        <v>30</v>
      </c>
      <c r="AA10" s="88">
        <v>38</v>
      </c>
      <c r="AB10" s="53">
        <f t="shared" si="13"/>
        <v>-53</v>
      </c>
      <c r="AC10" s="133">
        <f t="shared" si="14"/>
        <v>-53</v>
      </c>
    </row>
    <row r="11" spans="1:29" x14ac:dyDescent="0.3">
      <c r="A11" s="153" t="s">
        <v>168</v>
      </c>
      <c r="B11" s="180"/>
      <c r="C11" s="85">
        <v>16</v>
      </c>
      <c r="D11" s="105">
        <v>28</v>
      </c>
      <c r="E11" s="90">
        <v>35</v>
      </c>
      <c r="F11" s="91">
        <v>15</v>
      </c>
      <c r="G11" s="132" t="s">
        <v>176</v>
      </c>
      <c r="H11" s="92">
        <v>5</v>
      </c>
      <c r="I11" s="93"/>
      <c r="J11" s="94"/>
      <c r="K11" s="211" t="s">
        <v>96</v>
      </c>
      <c r="L11" s="212" t="s">
        <v>164</v>
      </c>
      <c r="M11" s="206" t="s">
        <v>164</v>
      </c>
      <c r="N11" s="134" t="s">
        <v>96</v>
      </c>
      <c r="O11" s="97">
        <v>162</v>
      </c>
      <c r="P11" s="98"/>
      <c r="Q11" s="192"/>
      <c r="R11" s="193"/>
      <c r="S11" s="99"/>
      <c r="T11" s="100"/>
      <c r="U11" s="101"/>
      <c r="V11" s="86"/>
      <c r="W11" s="87">
        <f t="shared" si="0"/>
        <v>162</v>
      </c>
      <c r="X11" s="102"/>
      <c r="Y11" s="103"/>
      <c r="Z11" s="104"/>
      <c r="AA11" s="88">
        <v>180</v>
      </c>
      <c r="AB11" s="53">
        <f t="shared" ref="AB11" si="15">SUM(Z11:AA11)-(W11+X11)</f>
        <v>18</v>
      </c>
      <c r="AC11" s="133">
        <f t="shared" ref="AC11" si="16">SMALL(AA11:AB11,1)+Y11</f>
        <v>18</v>
      </c>
    </row>
    <row r="12" spans="1:29" x14ac:dyDescent="0.3">
      <c r="A12" s="153"/>
      <c r="B12" s="180"/>
      <c r="C12" s="85"/>
      <c r="D12" s="105"/>
      <c r="E12" s="90"/>
      <c r="F12" s="91">
        <v>0</v>
      </c>
      <c r="G12" s="132" t="s">
        <v>61</v>
      </c>
      <c r="H12" s="92">
        <v>0</v>
      </c>
      <c r="I12" s="93"/>
      <c r="J12" s="94"/>
      <c r="K12" s="95"/>
      <c r="L12" s="135"/>
      <c r="M12" s="139"/>
      <c r="N12" s="96"/>
      <c r="O12" s="97"/>
      <c r="P12" s="98"/>
      <c r="Q12" s="192"/>
      <c r="R12" s="193"/>
      <c r="S12" s="99"/>
      <c r="T12" s="100"/>
      <c r="U12" s="101"/>
      <c r="V12" s="86"/>
      <c r="W12" s="87">
        <f t="shared" ref="W12" si="17">SUM(I12:U12)</f>
        <v>0</v>
      </c>
      <c r="X12" s="102"/>
      <c r="Y12" s="103"/>
      <c r="Z12" s="104"/>
      <c r="AA12" s="88"/>
      <c r="AB12" s="53">
        <f t="shared" ref="AB12" si="18">SUM(Z12:AA12)-(W12+X12)</f>
        <v>0</v>
      </c>
      <c r="AC12" s="133">
        <f t="shared" ref="AC12" si="19">SMALL(AA12:AB12,1)+Y12</f>
        <v>0</v>
      </c>
    </row>
    <row r="13" spans="1:29" x14ac:dyDescent="0.3">
      <c r="A13" s="153"/>
      <c r="B13" s="180"/>
      <c r="C13" s="85"/>
      <c r="D13" s="105"/>
      <c r="E13" s="90"/>
      <c r="F13" s="91">
        <v>0</v>
      </c>
      <c r="G13" s="132" t="s">
        <v>61</v>
      </c>
      <c r="H13" s="92">
        <v>0</v>
      </c>
      <c r="I13" s="93"/>
      <c r="J13" s="94"/>
      <c r="K13" s="95"/>
      <c r="L13" s="135"/>
      <c r="M13" s="139"/>
      <c r="N13" s="96"/>
      <c r="O13" s="97"/>
      <c r="P13" s="98"/>
      <c r="Q13" s="192"/>
      <c r="R13" s="193"/>
      <c r="S13" s="99"/>
      <c r="T13" s="100"/>
      <c r="U13" s="101"/>
      <c r="V13" s="86"/>
      <c r="W13" s="87">
        <f t="shared" ref="W13" si="20">SUM(I13:U13)</f>
        <v>0</v>
      </c>
      <c r="X13" s="102"/>
      <c r="Y13" s="103"/>
      <c r="Z13" s="104"/>
      <c r="AA13" s="88"/>
      <c r="AB13" s="53">
        <f t="shared" ref="AB13" si="21">SUM(Z13:AA13)-(W13+X13)</f>
        <v>0</v>
      </c>
      <c r="AC13" s="133">
        <f t="shared" ref="AC13" si="22">SMALL(AA13:AB13,1)+Y13</f>
        <v>0</v>
      </c>
    </row>
    <row r="14" spans="1:29" x14ac:dyDescent="0.3">
      <c r="A14" s="153"/>
      <c r="B14" s="180"/>
      <c r="C14" s="85"/>
      <c r="D14" s="105"/>
      <c r="E14" s="90"/>
      <c r="F14" s="91">
        <v>0</v>
      </c>
      <c r="G14" s="132" t="s">
        <v>61</v>
      </c>
      <c r="H14" s="92">
        <v>0</v>
      </c>
      <c r="I14" s="93"/>
      <c r="J14" s="94"/>
      <c r="K14" s="95"/>
      <c r="L14" s="135"/>
      <c r="M14" s="139"/>
      <c r="N14" s="96"/>
      <c r="O14" s="97"/>
      <c r="P14" s="98"/>
      <c r="Q14" s="192"/>
      <c r="R14" s="193"/>
      <c r="S14" s="99"/>
      <c r="T14" s="100"/>
      <c r="U14" s="101"/>
      <c r="V14" s="86"/>
      <c r="W14" s="87">
        <f t="shared" ref="W14:W15" si="23">SUM(I14:U14)</f>
        <v>0</v>
      </c>
      <c r="X14" s="102"/>
      <c r="Y14" s="103"/>
      <c r="Z14" s="104"/>
      <c r="AA14" s="88"/>
      <c r="AB14" s="53">
        <f t="shared" ref="AB14:AB15" si="24">SUM(Z14:AA14)-(W14+X14)</f>
        <v>0</v>
      </c>
      <c r="AC14" s="133">
        <f t="shared" ref="AC14:AC15" si="25">SMALL(AA14:AB14,1)+Y14</f>
        <v>0</v>
      </c>
    </row>
    <row r="15" spans="1:29" x14ac:dyDescent="0.3">
      <c r="A15" s="153"/>
      <c r="B15" s="180"/>
      <c r="C15" s="85"/>
      <c r="D15" s="105"/>
      <c r="E15" s="90"/>
      <c r="F15" s="91">
        <v>0</v>
      </c>
      <c r="G15" s="132" t="s">
        <v>61</v>
      </c>
      <c r="H15" s="92">
        <v>0</v>
      </c>
      <c r="I15" s="93"/>
      <c r="J15" s="94"/>
      <c r="K15" s="95"/>
      <c r="L15" s="135"/>
      <c r="M15" s="139"/>
      <c r="N15" s="96"/>
      <c r="O15" s="97"/>
      <c r="P15" s="98"/>
      <c r="Q15" s="192"/>
      <c r="R15" s="193"/>
      <c r="S15" s="99"/>
      <c r="T15" s="100"/>
      <c r="U15" s="101"/>
      <c r="V15" s="86"/>
      <c r="W15" s="87">
        <f t="shared" si="23"/>
        <v>0</v>
      </c>
      <c r="X15" s="102"/>
      <c r="Y15" s="103"/>
      <c r="Z15" s="104"/>
      <c r="AA15" s="88"/>
      <c r="AB15" s="53">
        <f t="shared" si="24"/>
        <v>0</v>
      </c>
      <c r="AC15" s="133">
        <f t="shared" si="25"/>
        <v>0</v>
      </c>
    </row>
  </sheetData>
  <sortState xmlns:xlrd2="http://schemas.microsoft.com/office/spreadsheetml/2017/richdata2" ref="A2:AC3">
    <sortCondition ref="A2:A3"/>
  </sortState>
  <conditionalFormatting sqref="AC2:AC15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>
      <selection activeCell="L5" sqref="L5"/>
    </sheetView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74" t="s">
        <v>11</v>
      </c>
      <c r="I1" s="174" t="s">
        <v>108</v>
      </c>
      <c r="J1" s="174" t="s">
        <v>109</v>
      </c>
      <c r="K1" s="174" t="s">
        <v>110</v>
      </c>
      <c r="L1" s="4" t="s">
        <v>111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4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14</v>
      </c>
      <c r="H2" s="175">
        <f ca="1">RANDBETWEEN(1,3)+RANDBETWEEN(1,3)+RANDBETWEEN(1,3)+RANDBETWEEN(1,3)+RANDBETWEEN(1,3)+RANDBETWEEN(1,3)</f>
        <v>11</v>
      </c>
      <c r="I2" s="175">
        <f ca="1">RANDBETWEEN(1,3)+RANDBETWEEN(1,3)+RANDBETWEEN(1,3)+RANDBETWEEN(1,3)+RANDBETWEEN(1,3)+RANDBETWEEN(1,3)+RANDBETWEEN(1,3)</f>
        <v>17</v>
      </c>
      <c r="J2" s="175">
        <f ca="1">RANDBETWEEN(1,3)+RANDBETWEEN(1,3)+RANDBETWEEN(1,3)+RANDBETWEEN(1,3)+RANDBETWEEN(1,3)+RANDBETWEEN(1,3)+RANDBETWEEN(1,3)+RANDBETWEEN(1,3)</f>
        <v>17</v>
      </c>
      <c r="K2" s="175">
        <f ca="1">RANDBETWEEN(1,3)+RANDBETWEEN(1,3)+RANDBETWEEN(1,3)+RANDBETWEEN(1,3)+RANDBETWEEN(1,3)+RANDBETWEEN(1,3)+RANDBETWEEN(1,3)+RANDBETWEEN(1,3)+RANDBETWEEN(1,3)</f>
        <v>16</v>
      </c>
      <c r="L2" s="8">
        <f ca="1">RANDBETWEEN(1,3)+RANDBETWEEN(1,3)+RANDBETWEEN(1,3)+RANDBETWEEN(1,3)+RANDBETWEEN(1,3)+RANDBETWEEN(1,3)+RANDBETWEEN(1,3)+RANDBETWEEN(1,3)+RANDBETWEEN(1,3)+RANDBETWEEN(1,3)</f>
        <v>21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6</v>
      </c>
      <c r="E3" s="10">
        <f ca="1">RANDBETWEEN(1,4)+RANDBETWEEN(1,4)+RANDBETWEEN(1,4)</f>
        <v>5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13</v>
      </c>
      <c r="H3" s="176">
        <f ca="1">RANDBETWEEN(1,4)+RANDBETWEEN(1,4)+RANDBETWEEN(1,4)+RANDBETWEEN(1,4)+RANDBETWEEN(1,4)+RANDBETWEEN(1,4)</f>
        <v>14</v>
      </c>
      <c r="I3" s="176">
        <f ca="1">RANDBETWEEN(1,4)+RANDBETWEEN(1,4)+RANDBETWEEN(1,4)+RANDBETWEEN(1,4)+RANDBETWEEN(1,4)+RANDBETWEEN(1,4)+RANDBETWEEN(1,4)</f>
        <v>16</v>
      </c>
      <c r="J3" s="176">
        <f ca="1">RANDBETWEEN(1,4)+RANDBETWEEN(1,4)+RANDBETWEEN(1,4)+RANDBETWEEN(1,4)+RANDBETWEEN(1,4)+RANDBETWEEN(1,4)+RANDBETWEEN(1,4)+RANDBETWEEN(1,4)</f>
        <v>16</v>
      </c>
      <c r="K3" s="176">
        <f ca="1">RANDBETWEEN(1,4)+RANDBETWEEN(1,4)+RANDBETWEEN(1,4)+RANDBETWEEN(1,4)+RANDBETWEEN(1,4)+RANDBETWEEN(1,4)+RANDBETWEEN(1,4)+RANDBETWEEN(1,4)+RANDBETWEEN(1,4)</f>
        <v>24</v>
      </c>
      <c r="L3" s="11">
        <f ca="1">RANDBETWEEN(1,4)+RANDBETWEEN(1,4)+RANDBETWEEN(1,4)+RANDBETWEEN(1,4)+RANDBETWEEN(1,4)+RANDBETWEEN(1,4)+RANDBETWEEN(1,4)+RANDBETWEEN(1,4)+RANDBETWEEN(1,4)+RANDBETWEEN(1,4)</f>
        <v>24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1</v>
      </c>
      <c r="D4" s="10">
        <f ca="1">RANDBETWEEN(1,6)+RANDBETWEEN(1,6)</f>
        <v>11</v>
      </c>
      <c r="E4" s="10">
        <f ca="1">RANDBETWEEN(1,6)+RANDBETWEEN(1,6)+RANDBETWEEN(1,6)</f>
        <v>7</v>
      </c>
      <c r="F4" s="10">
        <f ca="1">RANDBETWEEN(1,6)+RANDBETWEEN(1,6)+RANDBETWEEN(1,6)+RANDBETWEEN(1,6)</f>
        <v>13</v>
      </c>
      <c r="G4" s="10">
        <f ca="1">RANDBETWEEN(1,6)+RANDBETWEEN(1,6)+RANDBETWEEN(1,6)+RANDBETWEEN(1,6)+RANDBETWEEN(1,6)</f>
        <v>21</v>
      </c>
      <c r="H4" s="176">
        <f ca="1">RANDBETWEEN(1,6)+RANDBETWEEN(1,6)+RANDBETWEEN(1,6)+RANDBETWEEN(1,6)+RANDBETWEEN(1,6)+RANDBETWEEN(1,6)</f>
        <v>23</v>
      </c>
      <c r="I4" s="176">
        <f ca="1">RANDBETWEEN(1,6)+RANDBETWEEN(1,6)+RANDBETWEEN(1,6)+RANDBETWEEN(1,6)+RANDBETWEEN(1,6)+RANDBETWEEN(1,6)+RANDBETWEEN(1,6)</f>
        <v>28</v>
      </c>
      <c r="J4" s="176">
        <f ca="1">RANDBETWEEN(1,6)+RANDBETWEEN(1,6)+RANDBETWEEN(1,6)+RANDBETWEEN(1,6)+RANDBETWEEN(1,6)+RANDBETWEEN(1,6)+RANDBETWEEN(1,6)+RANDBETWEEN(1,6)</f>
        <v>27</v>
      </c>
      <c r="K4" s="176">
        <f ca="1">RANDBETWEEN(1,6)+RANDBETWEEN(1,6)+RANDBETWEEN(1,6)+RANDBETWEEN(1,6)+RANDBETWEEN(1,6)+RANDBETWEEN(1,6)+RANDBETWEEN(1,6)+RANDBETWEEN(1,6)+RANDBETWEEN(1,6)</f>
        <v>33</v>
      </c>
      <c r="L4" s="11">
        <f ca="1">RANDBETWEEN(1,6)+RANDBETWEEN(1,6)+RANDBETWEEN(1,6)+RANDBETWEEN(1,6)+RANDBETWEEN(1,6)+RANDBETWEEN(1,6)+RANDBETWEEN(1,6)+RANDBETWEEN(1,6)+RANDBETWEEN(1,6)+RANDBETWEEN(1,6)</f>
        <v>28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2</v>
      </c>
      <c r="D5" s="10">
        <f ca="1">RANDBETWEEN(1,8)+RANDBETWEEN(1,8)</f>
        <v>12</v>
      </c>
      <c r="E5" s="10">
        <f ca="1">RANDBETWEEN(1,8)+RANDBETWEEN(1,8)+RANDBETWEEN(1,8)</f>
        <v>19</v>
      </c>
      <c r="F5" s="10">
        <f ca="1">RANDBETWEEN(1,8)+RANDBETWEEN(1,8)+RANDBETWEEN(1,8)+RANDBETWEEN(1,8)</f>
        <v>12</v>
      </c>
      <c r="G5" s="10">
        <f ca="1">RANDBETWEEN(1,8)+RANDBETWEEN(1,8)+RANDBETWEEN(1,8)+RANDBETWEEN(1,8)+RANDBETWEEN(1,8)</f>
        <v>16</v>
      </c>
      <c r="H5" s="176">
        <f ca="1">RANDBETWEEN(1,8)+RANDBETWEEN(1,8)+RANDBETWEEN(1,8)+RANDBETWEEN(1,8)+RANDBETWEEN(1,8)+RANDBETWEEN(1,8)</f>
        <v>31</v>
      </c>
      <c r="I5" s="176">
        <f ca="1">RANDBETWEEN(1,8)+RANDBETWEEN(1,8)+RANDBETWEEN(1,8)+RANDBETWEEN(1,8)+RANDBETWEEN(1,8)+RANDBETWEEN(1,8)+RANDBETWEEN(1,8)</f>
        <v>25</v>
      </c>
      <c r="J5" s="176">
        <f ca="1">RANDBETWEEN(1,8)+RANDBETWEEN(1,8)+RANDBETWEEN(1,8)+RANDBETWEEN(1,8)+RANDBETWEEN(1,8)+RANDBETWEEN(1,8)+RANDBETWEEN(1,8)+RANDBETWEEN(1,8)</f>
        <v>33</v>
      </c>
      <c r="K5" s="176">
        <f ca="1">RANDBETWEEN(1,8)+RANDBETWEEN(1,8)+RANDBETWEEN(1,8)+RANDBETWEEN(1,8)+RANDBETWEEN(1,8)+RANDBETWEEN(1,8)+RANDBETWEEN(1,8)+RANDBETWEEN(1,8)+RANDBETWEEN(1,8)</f>
        <v>37</v>
      </c>
      <c r="L5" s="11">
        <f ca="1">RANDBETWEEN(1,8)+RANDBETWEEN(1,8)+RANDBETWEEN(1,8)+RANDBETWEEN(1,8)+RANDBETWEEN(1,8)+RANDBETWEEN(1,8)+RANDBETWEEN(1,8)+RANDBETWEEN(1,8)+RANDBETWEEN(1,8)+RANDBETWEEN(1,8)</f>
        <v>52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3</v>
      </c>
      <c r="D6" s="10">
        <f ca="1">RANDBETWEEN(1,10)+RANDBETWEEN(1,10)</f>
        <v>8</v>
      </c>
      <c r="E6" s="10">
        <f ca="1">RANDBETWEEN(1,10)+RANDBETWEEN(1,10)+RANDBETWEEN(1,10)</f>
        <v>25</v>
      </c>
      <c r="F6" s="10">
        <f ca="1">RANDBETWEEN(1,10)+RANDBETWEEN(1,10)+RANDBETWEEN(1,10)+RANDBETWEEN(1,10)</f>
        <v>22</v>
      </c>
      <c r="G6" s="10">
        <f ca="1">RANDBETWEEN(1,10)+RANDBETWEEN(1,10)+RANDBETWEEN(1,10)+RANDBETWEEN(1,10)+RANDBETWEEN(1,10)</f>
        <v>28</v>
      </c>
      <c r="H6" s="176">
        <f ca="1">RANDBETWEEN(1,10)+RANDBETWEEN(1,10)+RANDBETWEEN(1,10)+RANDBETWEEN(1,10)+RANDBETWEEN(1,10)+RANDBETWEEN(1,10)</f>
        <v>32</v>
      </c>
      <c r="I6" s="176">
        <f ca="1">RANDBETWEEN(1,10)+RANDBETWEEN(1,10)+RANDBETWEEN(1,10)+RANDBETWEEN(1,10)+RANDBETWEEN(1,10)+RANDBETWEEN(1,10)+RANDBETWEEN(1,10)</f>
        <v>51</v>
      </c>
      <c r="J6" s="176">
        <f ca="1">RANDBETWEEN(1,10)+RANDBETWEEN(1,10)+RANDBETWEEN(1,10)+RANDBETWEEN(1,10)+RANDBETWEEN(1,10)+RANDBETWEEN(1,10)+RANDBETWEEN(1,10)+RANDBETWEEN(1,10)</f>
        <v>41</v>
      </c>
      <c r="K6" s="176">
        <f ca="1">RANDBETWEEN(1,10)+RANDBETWEEN(1,10)+RANDBETWEEN(1,10)+RANDBETWEEN(1,10)+RANDBETWEEN(1,10)+RANDBETWEEN(1,10)+RANDBETWEEN(1,10)+RANDBETWEEN(1,10)+RANDBETWEEN(1,10)</f>
        <v>46</v>
      </c>
      <c r="L6" s="11">
        <f ca="1">RANDBETWEEN(1,10)+RANDBETWEEN(1,10)+RANDBETWEEN(1,10)+RANDBETWEEN(1,10)+RANDBETWEEN(1,10)+RANDBETWEEN(1,10)+RANDBETWEEN(1,10)+RANDBETWEEN(1,10)+RANDBETWEEN(1,10)+RANDBETWEEN(1,10)</f>
        <v>62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12</v>
      </c>
      <c r="D7" s="10">
        <f ca="1">RANDBETWEEN(1,12)+RANDBETWEEN(1,12)</f>
        <v>6</v>
      </c>
      <c r="E7" s="10">
        <f ca="1">RANDBETWEEN(1,12)+RANDBETWEEN(1,12)+RANDBETWEEN(1,12)</f>
        <v>26</v>
      </c>
      <c r="F7" s="10">
        <f ca="1">RANDBETWEEN(1,12)+RANDBETWEEN(1,12)+RANDBETWEEN(1,12)+RANDBETWEEN(1,12)</f>
        <v>17</v>
      </c>
      <c r="G7" s="10">
        <f ca="1">RANDBETWEEN(1,12)+RANDBETWEEN(1,12)+RANDBETWEEN(1,12)+RANDBETWEEN(1,12)+RANDBETWEEN(1,12)</f>
        <v>47</v>
      </c>
      <c r="H7" s="176">
        <f ca="1">RANDBETWEEN(1,12)+RANDBETWEEN(1,12)+RANDBETWEEN(1,12)+RANDBETWEEN(1,12)+RANDBETWEEN(1,12)+RANDBETWEEN(1,12)</f>
        <v>53</v>
      </c>
      <c r="I7" s="176">
        <f ca="1">RANDBETWEEN(1,12)+RANDBETWEEN(1,12)+RANDBETWEEN(1,12)+RANDBETWEEN(1,12)+RANDBETWEEN(1,12)+RANDBETWEEN(1,12)+RANDBETWEEN(1,12)</f>
        <v>34</v>
      </c>
      <c r="J7" s="176">
        <f ca="1">RANDBETWEEN(1,12)+RANDBETWEEN(1,12)+RANDBETWEEN(1,12)+RANDBETWEEN(1,12)+RANDBETWEEN(1,12)+RANDBETWEEN(1,12)+RANDBETWEEN(1,12)+RANDBETWEEN(1,12)</f>
        <v>40</v>
      </c>
      <c r="K7" s="176">
        <f ca="1">RANDBETWEEN(1,12)+RANDBETWEEN(1,12)+RANDBETWEEN(1,12)+RANDBETWEEN(1,12)+RANDBETWEEN(1,12)+RANDBETWEEN(1,12)+RANDBETWEEN(1,12)+RANDBETWEEN(1,12)+RANDBETWEEN(1,12)</f>
        <v>55</v>
      </c>
      <c r="L7" s="11">
        <f ca="1">RANDBETWEEN(1,12)+RANDBETWEEN(1,12)+RANDBETWEEN(1,12)+RANDBETWEEN(1,12)+RANDBETWEEN(1,12)+RANDBETWEEN(1,12)+RANDBETWEEN(1,12)+RANDBETWEEN(1,12)+RANDBETWEEN(1,12)+RANDBETWEEN(1,12)</f>
        <v>62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15</v>
      </c>
      <c r="D8" s="10">
        <f ca="1">RANDBETWEEN(1,20)+RANDBETWEEN(1,20)</f>
        <v>18</v>
      </c>
      <c r="E8" s="10">
        <f ca="1">RANDBETWEEN(1,20)+RANDBETWEEN(1,20)+RANDBETWEEN(1,20)</f>
        <v>20</v>
      </c>
      <c r="F8" s="10">
        <f ca="1">RANDBETWEEN(1,20)+RANDBETWEEN(1,20)+RANDBETWEEN(1,20)+RANDBETWEEN(1,20)</f>
        <v>15</v>
      </c>
      <c r="G8" s="10">
        <f ca="1">RANDBETWEEN(1,20)+RANDBETWEEN(1,20)+RANDBETWEEN(1,20)+RANDBETWEEN(1,20)+RANDBETWEEN(1,20)</f>
        <v>74</v>
      </c>
      <c r="H8" s="176">
        <f ca="1">RANDBETWEEN(1,20)+RANDBETWEEN(1,20)+RANDBETWEEN(1,20)+RANDBETWEEN(1,20)+RANDBETWEEN(1,20)+RANDBETWEEN(1,20)</f>
        <v>48</v>
      </c>
      <c r="I8" s="176">
        <f ca="1">RANDBETWEEN(1,20)+RANDBETWEEN(1,20)+RANDBETWEEN(1,20)+RANDBETWEEN(1,20)+RANDBETWEEN(1,20)+RANDBETWEEN(1,20)+RANDBETWEEN(1,20)</f>
        <v>64</v>
      </c>
      <c r="J8" s="176">
        <f ca="1">RANDBETWEEN(1,20)+RANDBETWEEN(1,20)+RANDBETWEEN(1,20)+RANDBETWEEN(1,20)+RANDBETWEEN(1,20)+RANDBETWEEN(1,20)+RANDBETWEEN(1,20)+RANDBETWEEN(1,20)</f>
        <v>90</v>
      </c>
      <c r="K8" s="176">
        <f ca="1">RANDBETWEEN(1,20)+RANDBETWEEN(1,20)+RANDBETWEEN(1,20)+RANDBETWEEN(1,20)+RANDBETWEEN(1,20)+RANDBETWEEN(1,20)+RANDBETWEEN(1,20)+RANDBETWEEN(1,20)+RANDBETWEEN(1,20)</f>
        <v>78</v>
      </c>
      <c r="L8" s="11">
        <f ca="1">RANDBETWEEN(1,20)+RANDBETWEEN(1,20)+RANDBETWEEN(1,20)+RANDBETWEEN(1,20)+RANDBETWEEN(1,20)+RANDBETWEEN(1,20)+RANDBETWEEN(1,20)+RANDBETWEEN(1,20)+RANDBETWEEN(1,20)+RANDBETWEEN(1,20)</f>
        <v>103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88</v>
      </c>
      <c r="D9" s="13">
        <f ca="1">RANDBETWEEN(1,100)+RANDBETWEEN(1,100)</f>
        <v>80</v>
      </c>
      <c r="E9" s="13">
        <f ca="1">RANDBETWEEN(1,100)+RANDBETWEEN(1,100)+RANDBETWEEN(1,100)</f>
        <v>41</v>
      </c>
      <c r="F9" s="13">
        <f ca="1">RANDBETWEEN(1,100)+RANDBETWEEN(1,100)+RANDBETWEEN(1,100)+RANDBETWEEN(1,100)</f>
        <v>231</v>
      </c>
      <c r="G9" s="13">
        <f ca="1">RANDBETWEEN(1,100)+RANDBETWEEN(1,100)+RANDBETWEEN(1,100)+RANDBETWEEN(1,100)+RANDBETWEEN(1,100)</f>
        <v>281</v>
      </c>
      <c r="H9" s="177">
        <f ca="1">RANDBETWEEN(1,100)+RANDBETWEEN(1,100)+RANDBETWEEN(1,100)+RANDBETWEEN(1,100)+RANDBETWEEN(1,100)+RANDBETWEEN(1,100)</f>
        <v>266</v>
      </c>
      <c r="I9" s="177">
        <f ca="1">RANDBETWEEN(1,100)+RANDBETWEEN(1,100)+RANDBETWEEN(1,100)+RANDBETWEEN(1,100)+RANDBETWEEN(1,100)+RANDBETWEEN(1,100)+RANDBETWEEN(1,100)</f>
        <v>220</v>
      </c>
      <c r="J9" s="177">
        <f ca="1">RANDBETWEEN(1,100)+RANDBETWEEN(1,100)+RANDBETWEEN(1,100)+RANDBETWEEN(1,100)+RANDBETWEEN(1,100)+RANDBETWEEN(1,100)+RANDBETWEEN(1,100)+RANDBETWEEN(1,100)</f>
        <v>380</v>
      </c>
      <c r="K9" s="177">
        <f ca="1">RANDBETWEEN(1,100)+RANDBETWEEN(1,100)+RANDBETWEEN(1,100)+RANDBETWEEN(1,100)+RANDBETWEEN(1,100)+RANDBETWEEN(1,100)+RANDBETWEEN(1,100)+RANDBETWEEN(1,100)+RANDBETWEEN(1,100)</f>
        <v>474</v>
      </c>
      <c r="L9" s="14">
        <f ca="1">RANDBETWEEN(1,100)+RANDBETWEEN(1,100)+RANDBETWEEN(1,100)+RANDBETWEEN(1,100)+RANDBETWEEN(1,100)+RANDBETWEEN(1,100)+RANDBETWEEN(1,100)+RANDBETWEEN(1,100)+RANDBETWEEN(1,100)+RANDBETWEEN(1,100)</f>
        <v>518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1"/>
      <c r="Y27" s="51"/>
      <c r="Z27" s="51"/>
    </row>
    <row r="28" spans="1:26" x14ac:dyDescent="0.3">
      <c r="A28" s="1"/>
      <c r="C28" s="1"/>
      <c r="D28" s="1"/>
      <c r="E28" s="1"/>
      <c r="F28" s="1"/>
      <c r="X28" s="51"/>
      <c r="Y28" s="51"/>
      <c r="Z28" s="51"/>
    </row>
    <row r="29" spans="1:26" x14ac:dyDescent="0.3">
      <c r="A29" s="1"/>
      <c r="C29" s="1"/>
      <c r="D29" s="1"/>
      <c r="E29" s="1"/>
      <c r="F29" s="1"/>
      <c r="U29" s="51"/>
      <c r="V29" s="51"/>
      <c r="W29" s="51"/>
      <c r="X29" s="51"/>
      <c r="Y29" s="51"/>
      <c r="Z29" s="51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2024-03-07T14:00:13Z</dcterms:modified>
</cp:coreProperties>
</file>