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A\Juegos\FoL\Used\Battle Tallies\"/>
    </mc:Choice>
  </mc:AlternateContent>
  <xr:revisionPtr revIDLastSave="0" documentId="8_{3799B6A5-5D98-4945-B41A-CE1CCD33D749}" xr6:coauthVersionLast="47" xr6:coauthVersionMax="47" xr10:uidLastSave="{00000000-0000-0000-0000-000000000000}"/>
  <bookViews>
    <workbookView xWindow="-108" yWindow="-108" windowWidth="23256" windowHeight="13176" tabRatio="498" xr2:uid="{00000000-000D-0000-FFFF-FFFF00000000}"/>
  </bookViews>
  <sheets>
    <sheet name="Initiative" sheetId="1" r:id="rId1"/>
    <sheet name="Spells" sheetId="10" r:id="rId2"/>
    <sheet name="Attacks" sheetId="9" r:id="rId3"/>
    <sheet name="Saves" sheetId="7" r:id="rId4"/>
    <sheet name="hps" sheetId="5" r:id="rId5"/>
    <sheet name="Rolls" sheetId="4" r:id="rId6"/>
  </sheets>
  <externalReferences>
    <externalReference r:id="rId7"/>
  </externalReferences>
  <definedNames>
    <definedName name="NoShade">'[1]Spell Sheet'!$FH$1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" i="1" l="1"/>
  <c r="D8" i="1" l="1"/>
  <c r="E6" i="1"/>
  <c r="E5" i="1"/>
  <c r="E4" i="1"/>
  <c r="E3" i="1"/>
  <c r="E19" i="9"/>
  <c r="E18" i="9"/>
  <c r="E17" i="9"/>
  <c r="E16" i="9"/>
  <c r="E14" i="9"/>
  <c r="E13" i="9"/>
  <c r="E3" i="5" l="1"/>
  <c r="C3" i="5"/>
  <c r="D13" i="7" l="1"/>
  <c r="E13" i="7" s="1"/>
  <c r="D12" i="7"/>
  <c r="E12" i="7" s="1"/>
  <c r="D11" i="7"/>
  <c r="E11" i="7" s="1"/>
  <c r="F16" i="9"/>
  <c r="F14" i="9"/>
  <c r="F13" i="9"/>
  <c r="K21" i="9" l="1"/>
  <c r="N21" i="9" s="1"/>
  <c r="J21" i="9"/>
  <c r="K20" i="9"/>
  <c r="N20" i="9" s="1"/>
  <c r="J20" i="9"/>
  <c r="L21" i="9" l="1"/>
  <c r="L20" i="9"/>
  <c r="W11" i="5"/>
  <c r="AB11" i="5" s="1"/>
  <c r="AC11" i="5" s="1"/>
  <c r="W10" i="5"/>
  <c r="AB10" i="5" s="1"/>
  <c r="AC10" i="5" s="1"/>
  <c r="W9" i="5"/>
  <c r="AB9" i="5" s="1"/>
  <c r="AC9" i="5" s="1"/>
  <c r="E15" i="9" l="1"/>
  <c r="K15" i="9" l="1"/>
  <c r="N15" i="9" s="1"/>
  <c r="J15" i="9"/>
  <c r="J5" i="10"/>
  <c r="K5" i="10" s="1"/>
  <c r="M5" i="10" s="1"/>
  <c r="J6" i="10"/>
  <c r="K6" i="10" s="1"/>
  <c r="M6" i="10"/>
  <c r="E2" i="5"/>
  <c r="D2" i="5"/>
  <c r="L15" i="9" l="1"/>
  <c r="W8" i="5"/>
  <c r="AB8" i="5" s="1"/>
  <c r="AC8" i="5" s="1"/>
  <c r="K18" i="9" l="1"/>
  <c r="N18" i="9" s="1"/>
  <c r="J18" i="9"/>
  <c r="I10" i="7"/>
  <c r="I9" i="7"/>
  <c r="I8" i="7"/>
  <c r="I13" i="7"/>
  <c r="I12" i="7"/>
  <c r="I11" i="7"/>
  <c r="L18" i="9" l="1"/>
  <c r="D10" i="7"/>
  <c r="E10" i="7" s="1"/>
  <c r="D9" i="7"/>
  <c r="E9" i="7" s="1"/>
  <c r="D8" i="7"/>
  <c r="E8" i="7" s="1"/>
  <c r="K8" i="9"/>
  <c r="N8" i="9" s="1"/>
  <c r="J8" i="9"/>
  <c r="K7" i="9"/>
  <c r="N7" i="9" s="1"/>
  <c r="J7" i="9"/>
  <c r="K6" i="9"/>
  <c r="N6" i="9" s="1"/>
  <c r="J6" i="9"/>
  <c r="W6" i="5"/>
  <c r="W5" i="5"/>
  <c r="W4" i="5"/>
  <c r="W3" i="5"/>
  <c r="L7" i="9" l="1"/>
  <c r="L6" i="9"/>
  <c r="L8" i="9"/>
  <c r="J7" i="7"/>
  <c r="K7" i="7" s="1"/>
  <c r="J6" i="7"/>
  <c r="K6" i="7" s="1"/>
  <c r="J5" i="7"/>
  <c r="K5" i="7" s="1"/>
  <c r="K12" i="9"/>
  <c r="N12" i="9" s="1"/>
  <c r="J12" i="9"/>
  <c r="K11" i="9"/>
  <c r="N11" i="9" s="1"/>
  <c r="J11" i="9"/>
  <c r="M20" i="10"/>
  <c r="J20" i="10"/>
  <c r="K20" i="10" s="1"/>
  <c r="M19" i="10"/>
  <c r="J19" i="10"/>
  <c r="K19" i="10" s="1"/>
  <c r="M18" i="10"/>
  <c r="J18" i="10"/>
  <c r="K18" i="10" s="1"/>
  <c r="M17" i="10"/>
  <c r="J17" i="10"/>
  <c r="K17" i="10" s="1"/>
  <c r="L11" i="9" l="1"/>
  <c r="L12" i="9"/>
  <c r="W7" i="5" l="1"/>
  <c r="K14" i="9"/>
  <c r="N14" i="9" s="1"/>
  <c r="J14" i="9"/>
  <c r="L14" i="9" l="1"/>
  <c r="K4" i="9"/>
  <c r="N4" i="9" s="1"/>
  <c r="J4" i="9"/>
  <c r="K3" i="9"/>
  <c r="N3" i="9" s="1"/>
  <c r="J3" i="9"/>
  <c r="K5" i="9"/>
  <c r="J5" i="9"/>
  <c r="K2" i="9"/>
  <c r="N2" i="9" s="1"/>
  <c r="J2" i="9"/>
  <c r="J9" i="9"/>
  <c r="K9" i="9"/>
  <c r="N9" i="9" s="1"/>
  <c r="AB6" i="5"/>
  <c r="AC6" i="5" s="1"/>
  <c r="D7" i="7"/>
  <c r="E7" i="7" s="1"/>
  <c r="D6" i="7"/>
  <c r="E6" i="7" s="1"/>
  <c r="D5" i="7"/>
  <c r="E5" i="7" s="1"/>
  <c r="L4" i="9" l="1"/>
  <c r="L3" i="9"/>
  <c r="L5" i="9"/>
  <c r="N5" i="9"/>
  <c r="L2" i="9"/>
  <c r="L9" i="9"/>
  <c r="D4" i="7"/>
  <c r="E4" i="7" s="1"/>
  <c r="D3" i="7"/>
  <c r="E3" i="7" s="1"/>
  <c r="D2" i="7"/>
  <c r="E2" i="7" s="1"/>
  <c r="K19" i="9"/>
  <c r="N19" i="9" s="1"/>
  <c r="J19" i="9"/>
  <c r="E4" i="5"/>
  <c r="C4" i="5"/>
  <c r="W2" i="5"/>
  <c r="AB4" i="5"/>
  <c r="AC4" i="5" s="1"/>
  <c r="AB5" i="5"/>
  <c r="AC5" i="5" s="1"/>
  <c r="J10" i="7"/>
  <c r="K10" i="7" s="1"/>
  <c r="J9" i="7"/>
  <c r="K9" i="7" s="1"/>
  <c r="J8" i="7"/>
  <c r="K8" i="7" s="1"/>
  <c r="J13" i="7"/>
  <c r="K13" i="7" s="1"/>
  <c r="J12" i="7"/>
  <c r="K12" i="7" s="1"/>
  <c r="J11" i="7"/>
  <c r="K11" i="7" s="1"/>
  <c r="J4" i="10"/>
  <c r="K4" i="10" s="1"/>
  <c r="J7" i="10"/>
  <c r="K7" i="10" s="1"/>
  <c r="L19" i="9" l="1"/>
  <c r="K16" i="9"/>
  <c r="N16" i="9" s="1"/>
  <c r="J16" i="9"/>
  <c r="K17" i="9"/>
  <c r="N17" i="9" s="1"/>
  <c r="J17" i="9"/>
  <c r="K13" i="9"/>
  <c r="N13" i="9" s="1"/>
  <c r="J13" i="9"/>
  <c r="AB7" i="5"/>
  <c r="AC7" i="5" s="1"/>
  <c r="L16" i="9" l="1"/>
  <c r="L17" i="9"/>
  <c r="L13" i="9"/>
  <c r="K10" i="9"/>
  <c r="N10" i="9" s="1"/>
  <c r="J10" i="9"/>
  <c r="L10" i="9" l="1"/>
  <c r="J16" i="10" l="1"/>
  <c r="K16" i="10" s="1"/>
  <c r="M16" i="10" s="1"/>
  <c r="J11" i="10" l="1"/>
  <c r="K11" i="10" s="1"/>
  <c r="M11" i="10"/>
  <c r="J10" i="10"/>
  <c r="K10" i="10" s="1"/>
  <c r="M10" i="10" s="1"/>
  <c r="J4" i="7" l="1"/>
  <c r="K4" i="7" s="1"/>
  <c r="J3" i="7"/>
  <c r="K3" i="7" s="1"/>
  <c r="J2" i="7"/>
  <c r="K2" i="7" s="1"/>
  <c r="L9" i="4" l="1"/>
  <c r="L8" i="4"/>
  <c r="L6" i="4"/>
  <c r="L7" i="4"/>
  <c r="L5" i="4"/>
  <c r="L4" i="4"/>
  <c r="L3" i="4"/>
  <c r="L2" i="4"/>
  <c r="K9" i="4"/>
  <c r="K8" i="4"/>
  <c r="K7" i="4"/>
  <c r="K6" i="4"/>
  <c r="K5" i="4"/>
  <c r="K4" i="4"/>
  <c r="K3" i="4"/>
  <c r="K2" i="4"/>
  <c r="J9" i="4"/>
  <c r="J8" i="4"/>
  <c r="J7" i="4"/>
  <c r="J6" i="4"/>
  <c r="J5" i="4"/>
  <c r="J4" i="4"/>
  <c r="J3" i="4"/>
  <c r="J2" i="4"/>
  <c r="I9" i="4"/>
  <c r="I8" i="4"/>
  <c r="I7" i="4"/>
  <c r="I6" i="4"/>
  <c r="I5" i="4"/>
  <c r="I4" i="4"/>
  <c r="I3" i="4"/>
  <c r="I2" i="4"/>
  <c r="H9" i="4"/>
  <c r="H8" i="4"/>
  <c r="H7" i="4"/>
  <c r="H6" i="4"/>
  <c r="H5" i="4"/>
  <c r="H4" i="4"/>
  <c r="H3" i="4"/>
  <c r="H2" i="4"/>
  <c r="J9" i="10" l="1"/>
  <c r="K9" i="10" s="1"/>
  <c r="M9" i="10" s="1"/>
  <c r="J13" i="10" l="1"/>
  <c r="K13" i="10" s="1"/>
  <c r="M13" i="10" s="1"/>
  <c r="J12" i="10"/>
  <c r="K12" i="10" s="1"/>
  <c r="M12" i="10" s="1"/>
  <c r="J7" i="1" l="1"/>
  <c r="N6" i="1"/>
  <c r="I8" i="1" l="1"/>
  <c r="I7" i="1"/>
  <c r="I9" i="1" s="1"/>
  <c r="M11" i="1" s="1"/>
  <c r="I10" i="1" l="1"/>
  <c r="M12" i="1" s="1"/>
  <c r="M13" i="1"/>
  <c r="J14" i="10" l="1"/>
  <c r="K14" i="10" s="1"/>
  <c r="M14" i="10" s="1"/>
  <c r="J15" i="10"/>
  <c r="K15" i="10" s="1"/>
  <c r="M15" i="10" s="1"/>
  <c r="C2" i="4" l="1"/>
  <c r="D2" i="4"/>
  <c r="E2" i="4"/>
  <c r="F2" i="4"/>
  <c r="G2" i="4"/>
  <c r="C3" i="4"/>
  <c r="D3" i="4"/>
  <c r="E3" i="4"/>
  <c r="F3" i="4"/>
  <c r="G3" i="4"/>
  <c r="C4" i="4"/>
  <c r="D4" i="4"/>
  <c r="E4" i="4"/>
  <c r="F4" i="4"/>
  <c r="G4" i="4"/>
  <c r="C5" i="4"/>
  <c r="D5" i="4"/>
  <c r="E5" i="4"/>
  <c r="F5" i="4"/>
  <c r="G5" i="4"/>
  <c r="C6" i="4"/>
  <c r="D6" i="4"/>
  <c r="E6" i="4"/>
  <c r="F6" i="4"/>
  <c r="G6" i="4"/>
  <c r="M8" i="1" l="1"/>
  <c r="M6" i="1"/>
  <c r="M7" i="1"/>
  <c r="M7" i="10" l="1"/>
  <c r="J8" i="10" l="1"/>
  <c r="K8" i="10" s="1"/>
  <c r="M8" i="10" s="1"/>
  <c r="J3" i="10" l="1"/>
  <c r="K3" i="10" s="1"/>
  <c r="M3" i="10" s="1"/>
  <c r="T1" i="10" l="1"/>
  <c r="J2" i="10" l="1"/>
  <c r="K2" i="10" s="1"/>
  <c r="M2" i="10" s="1"/>
  <c r="M4" i="10" l="1"/>
  <c r="AB3" i="5" l="1"/>
  <c r="AC3" i="5" s="1"/>
  <c r="AB2" i="5" l="1"/>
  <c r="AC2" i="5" s="1"/>
  <c r="G9" i="4" l="1"/>
  <c r="F9" i="4"/>
  <c r="E9" i="4"/>
  <c r="D9" i="4"/>
  <c r="C9" i="4"/>
  <c r="G8" i="4"/>
  <c r="F8" i="4"/>
  <c r="E8" i="4"/>
  <c r="D8" i="4"/>
  <c r="C8" i="4"/>
  <c r="G7" i="4"/>
  <c r="F7" i="4"/>
  <c r="E7" i="4"/>
  <c r="D7" i="4"/>
  <c r="C7" i="4"/>
  <c r="M15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Alexis Álvarez</author>
  </authors>
  <commentList>
    <comment ref="F13" authorId="0" shapeId="0" xr:uid="{E23D846D-1319-4910-BE5C-72C8F3AD0CDB}">
      <text>
        <r>
          <rPr>
            <sz val="9"/>
            <color indexed="81"/>
            <rFont val="Tahoma"/>
            <family val="2"/>
          </rPr>
          <t xml:space="preserve">-2 </t>
        </r>
        <r>
          <rPr>
            <i/>
            <sz val="9"/>
            <color indexed="81"/>
            <rFont val="Tahoma"/>
            <family val="2"/>
          </rPr>
          <t>storm of shards</t>
        </r>
      </text>
    </comment>
    <comment ref="F14" authorId="0" shapeId="0" xr:uid="{6DE7A921-5079-4861-8B2C-B801C30A17F2}">
      <text>
        <r>
          <rPr>
            <sz val="9"/>
            <color indexed="81"/>
            <rFont val="Tahoma"/>
            <family val="2"/>
          </rPr>
          <t xml:space="preserve">-2 </t>
        </r>
        <r>
          <rPr>
            <i/>
            <sz val="9"/>
            <color indexed="81"/>
            <rFont val="Tahoma"/>
            <family val="2"/>
          </rPr>
          <t>storm of shards</t>
        </r>
      </text>
    </comment>
    <comment ref="F16" authorId="0" shapeId="0" xr:uid="{9E5DEF38-AF2C-4963-98C1-8F4F252487AC}">
      <text>
        <r>
          <rPr>
            <sz val="9"/>
            <color indexed="81"/>
            <rFont val="Tahoma"/>
            <family val="2"/>
          </rPr>
          <t xml:space="preserve">-2 </t>
        </r>
        <r>
          <rPr>
            <i/>
            <sz val="9"/>
            <color indexed="81"/>
            <rFont val="Tahoma"/>
            <family val="2"/>
          </rPr>
          <t>storm of shards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Alexis Álvarez</author>
  </authors>
  <commentList>
    <comment ref="I8" authorId="0" shapeId="0" xr:uid="{9FBE7A18-1B6A-46A1-B218-939CA256B283}">
      <text>
        <r>
          <rPr>
            <sz val="9"/>
            <color indexed="81"/>
            <rFont val="Tahoma"/>
            <family val="2"/>
          </rPr>
          <t>-2 Despair</t>
        </r>
      </text>
    </comment>
    <comment ref="I9" authorId="0" shapeId="0" xr:uid="{0F56B782-CD3B-4E57-94B9-7E9A2B52E713}">
      <text>
        <r>
          <rPr>
            <sz val="9"/>
            <color indexed="81"/>
            <rFont val="Tahoma"/>
            <family val="2"/>
          </rPr>
          <t>-2 Despair</t>
        </r>
      </text>
    </comment>
    <comment ref="I10" authorId="0" shapeId="0" xr:uid="{7B66E646-360F-43BB-A650-888C6D1AB955}">
      <text>
        <r>
          <rPr>
            <sz val="9"/>
            <color indexed="81"/>
            <rFont val="Tahoma"/>
            <family val="2"/>
          </rPr>
          <t>-2 Despair</t>
        </r>
      </text>
    </comment>
    <comment ref="I11" authorId="0" shapeId="0" xr:uid="{9AD130F6-7E43-4801-9A5D-EA8EC02C32F7}">
      <text>
        <r>
          <rPr>
            <sz val="9"/>
            <color indexed="81"/>
            <rFont val="Tahoma"/>
            <family val="2"/>
          </rPr>
          <t>-2 Despair</t>
        </r>
      </text>
    </comment>
    <comment ref="I12" authorId="0" shapeId="0" xr:uid="{BEB64809-382A-4C52-97AB-C582BD73CFB4}">
      <text>
        <r>
          <rPr>
            <sz val="9"/>
            <color indexed="81"/>
            <rFont val="Tahoma"/>
            <family val="2"/>
          </rPr>
          <t>-2 Despair</t>
        </r>
      </text>
    </comment>
    <comment ref="I13" authorId="0" shapeId="0" xr:uid="{2139E799-7A5F-487F-AD02-D34C88104D06}">
      <text>
        <r>
          <rPr>
            <sz val="9"/>
            <color indexed="81"/>
            <rFont val="Tahoma"/>
            <family val="2"/>
          </rPr>
          <t>-2 Despair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Alexis Álvarez</author>
  </authors>
  <commentList>
    <comment ref="D2" authorId="0" shapeId="0" xr:uid="{E1721F59-04F6-4E6B-8680-F31E93AB810F}">
      <text>
        <r>
          <rPr>
            <i/>
            <sz val="12"/>
            <color indexed="81"/>
            <rFont val="Times New Roman"/>
            <family val="1"/>
          </rPr>
          <t>mage armor +4</t>
        </r>
      </text>
    </comment>
    <comment ref="E2" authorId="0" shapeId="0" xr:uid="{C52CB988-F82B-4BBD-9E6A-01A51ABE72FA}">
      <text>
        <r>
          <rPr>
            <i/>
            <sz val="12"/>
            <color indexed="81"/>
            <rFont val="Times New Roman"/>
            <family val="1"/>
          </rPr>
          <t>mage armor +4</t>
        </r>
      </text>
    </comment>
    <comment ref="C3" authorId="0" shapeId="0" xr:uid="{D738A04A-8A3C-47B7-A1B7-B0CBC999949E}">
      <text>
        <r>
          <rPr>
            <i/>
            <sz val="12"/>
            <color indexed="81"/>
            <rFont val="Times New Roman"/>
            <family val="1"/>
          </rPr>
          <t>luminous armor +5
shield of faith +3</t>
        </r>
      </text>
    </comment>
    <comment ref="D3" authorId="0" shapeId="0" xr:uid="{8C11513B-65A7-4053-9FA4-265120EC53BE}">
      <text>
        <r>
          <rPr>
            <i/>
            <sz val="12"/>
            <color indexed="81"/>
            <rFont val="Times New Roman"/>
            <family val="1"/>
          </rPr>
          <t>luminous armor +5</t>
        </r>
      </text>
    </comment>
    <comment ref="E3" authorId="0" shapeId="0" xr:uid="{712B79CC-DCB6-4A19-8D8C-0BD8E1A67314}">
      <text>
        <r>
          <rPr>
            <i/>
            <sz val="12"/>
            <color indexed="81"/>
            <rFont val="Times New Roman"/>
            <family val="1"/>
          </rPr>
          <t>hawkarmor +5
shield of faith +3</t>
        </r>
      </text>
    </comment>
    <comment ref="C4" authorId="0" shapeId="0" xr:uid="{0AE2FD2E-EE88-4AA9-A4FB-C9E1438670C3}">
      <text>
        <r>
          <rPr>
            <i/>
            <sz val="12"/>
            <color indexed="81"/>
            <rFont val="Times New Roman"/>
            <family val="1"/>
          </rPr>
          <t>luminous armor +5</t>
        </r>
      </text>
    </comment>
    <comment ref="D4" authorId="0" shapeId="0" xr:uid="{B0A2B3E9-7330-43E7-9DC4-6BD240626586}">
      <text>
        <r>
          <rPr>
            <i/>
            <sz val="12"/>
            <color indexed="81"/>
            <rFont val="Times New Roman"/>
            <family val="1"/>
          </rPr>
          <t>luminous armor +5</t>
        </r>
      </text>
    </comment>
    <comment ref="E4" authorId="0" shapeId="0" xr:uid="{3B1D990F-C478-47A4-AB97-DDA1C51331FA}">
      <text>
        <r>
          <rPr>
            <i/>
            <sz val="12"/>
            <color indexed="81"/>
            <rFont val="Times New Roman"/>
            <family val="1"/>
          </rPr>
          <t>hawkarmor +5</t>
        </r>
      </text>
    </comment>
  </commentList>
</comments>
</file>

<file path=xl/sharedStrings.xml><?xml version="1.0" encoding="utf-8"?>
<sst xmlns="http://schemas.openxmlformats.org/spreadsheetml/2006/main" count="374" uniqueCount="151">
  <si>
    <t>Character</t>
  </si>
  <si>
    <t>Group</t>
  </si>
  <si>
    <t>Initiative</t>
  </si>
  <si>
    <t>Roll</t>
  </si>
  <si>
    <t>Modified Roll</t>
  </si>
  <si>
    <t>30’</t>
  </si>
  <si>
    <t>1d</t>
  </si>
  <si>
    <t>2d</t>
  </si>
  <si>
    <t>3d</t>
  </si>
  <si>
    <t>4d</t>
  </si>
  <si>
    <t>5d</t>
  </si>
  <si>
    <t>6d</t>
  </si>
  <si>
    <t>d3 roll</t>
  </si>
  <si>
    <t>d4 roll</t>
  </si>
  <si>
    <t>d6 roll</t>
  </si>
  <si>
    <t>d8 roll</t>
  </si>
  <si>
    <t>d10 roll</t>
  </si>
  <si>
    <t>d12 roll</t>
  </si>
  <si>
    <t>d20 roll</t>
  </si>
  <si>
    <t>d100 roll</t>
  </si>
  <si>
    <t>ECL</t>
  </si>
  <si>
    <t>Total Levels</t>
  </si>
  <si>
    <t>Party Members</t>
  </si>
  <si>
    <t>Total</t>
  </si>
  <si>
    <t>Campaign CR</t>
  </si>
  <si>
    <t>Multiple encounters</t>
  </si>
  <si>
    <t>Arena CR</t>
  </si>
  <si>
    <t>Single encounter</t>
  </si>
  <si>
    <t>Lower CR Threshold</t>
  </si>
  <si>
    <t>Median CR Threshold</t>
  </si>
  <si>
    <t>Upper CR Threshold</t>
  </si>
  <si>
    <t>Encounter Rating:</t>
  </si>
  <si>
    <t>Attack Type</t>
  </si>
  <si>
    <t>Damage</t>
  </si>
  <si>
    <t>BAB</t>
  </si>
  <si>
    <t>W+</t>
  </si>
  <si>
    <t>Other+</t>
  </si>
  <si>
    <t>Ranks</t>
  </si>
  <si>
    <t>Fortitude</t>
  </si>
  <si>
    <t>Reflex</t>
  </si>
  <si>
    <t>Will</t>
  </si>
  <si>
    <t>FFAC</t>
  </si>
  <si>
    <t>TAC</t>
  </si>
  <si>
    <t>AC</t>
  </si>
  <si>
    <t>Damage Reduction</t>
  </si>
  <si>
    <t>Melee</t>
  </si>
  <si>
    <t>Ranged</t>
  </si>
  <si>
    <t>Fire</t>
  </si>
  <si>
    <t>Cold</t>
  </si>
  <si>
    <t>Acid</t>
  </si>
  <si>
    <t>Electric</t>
  </si>
  <si>
    <t>Sonic</t>
  </si>
  <si>
    <t>Chaos</t>
  </si>
  <si>
    <t>Law</t>
  </si>
  <si>
    <t>Nonlethal</t>
  </si>
  <si>
    <t>Total Damage</t>
  </si>
  <si>
    <t>Bloodloss</t>
  </si>
  <si>
    <t>Healing</t>
  </si>
  <si>
    <t>HPs</t>
  </si>
  <si>
    <t>Calcul. Total</t>
  </si>
  <si>
    <t>Current HPs</t>
  </si>
  <si>
    <t>none</t>
  </si>
  <si>
    <t>Save vs.</t>
  </si>
  <si>
    <t>Details</t>
  </si>
  <si>
    <t>Spell Resist</t>
  </si>
  <si>
    <t>Good/
Pos</t>
  </si>
  <si>
    <t>Vamp</t>
  </si>
  <si>
    <t>Temp</t>
  </si>
  <si>
    <t>Evil/
Neg</t>
  </si>
  <si>
    <t>Magic/
Force</t>
  </si>
  <si>
    <t>Target Character</t>
  </si>
  <si>
    <t>Spell</t>
  </si>
  <si>
    <t>Cast on Round</t>
  </si>
  <si>
    <t>CL</t>
  </si>
  <si>
    <t>Duration (Rounds)</t>
  </si>
  <si>
    <t>Expires on Round</t>
  </si>
  <si>
    <t>Applied</t>
  </si>
  <si>
    <t>Expired</t>
  </si>
  <si>
    <t>Current Round</t>
  </si>
  <si>
    <t>q</t>
  </si>
  <si>
    <t>Adversarial Party Composition</t>
  </si>
  <si>
    <t>CR</t>
  </si>
  <si>
    <t>Threat</t>
  </si>
  <si>
    <t>Crit</t>
  </si>
  <si>
    <t>Notes</t>
  </si>
  <si>
    <t>Total Score</t>
  </si>
  <si>
    <t>Dex Mod+</t>
  </si>
  <si>
    <t>Str Mod+</t>
  </si>
  <si>
    <t>Ranged?</t>
  </si>
  <si>
    <t>1 hr/lvl</t>
  </si>
  <si>
    <t>10 min/lvl</t>
  </si>
  <si>
    <t>1 min/lvl</t>
  </si>
  <si>
    <t>1 rnd/lvl</t>
  </si>
  <si>
    <t>Specific Time</t>
  </si>
  <si>
    <t>Avg. ECL/CR</t>
  </si>
  <si>
    <t>20’</t>
  </si>
  <si>
    <t>Imm</t>
  </si>
  <si>
    <t>Saradette</t>
  </si>
  <si>
    <t>Check</t>
  </si>
  <si>
    <t>Party</t>
  </si>
  <si>
    <t>Time @ Round 1</t>
  </si>
  <si>
    <t>Current Time</t>
  </si>
  <si>
    <t>Result</t>
  </si>
  <si>
    <t>Rogue / Illusionist / Artificer</t>
  </si>
  <si>
    <t>Tore</t>
  </si>
  <si>
    <t>Levels</t>
  </si>
  <si>
    <r>
      <rPr>
        <b/>
        <i/>
        <sz val="12"/>
        <color theme="1"/>
        <rFont val="Times New Roman"/>
        <family val="1"/>
      </rPr>
      <t xml:space="preserve">Fist of Light </t>
    </r>
    <r>
      <rPr>
        <b/>
        <sz val="12"/>
        <color theme="1"/>
        <rFont val="Times New Roman"/>
        <family val="1"/>
      </rPr>
      <t>Composition</t>
    </r>
  </si>
  <si>
    <t>Speed</t>
  </si>
  <si>
    <t>7d</t>
  </si>
  <si>
    <t>8d</t>
  </si>
  <si>
    <t>9d</t>
  </si>
  <si>
    <t>10d</t>
  </si>
  <si>
    <t>R20</t>
  </si>
  <si>
    <t>R30+20</t>
  </si>
  <si>
    <t>þ</t>
  </si>
  <si>
    <t>Grapple</t>
  </si>
  <si>
    <t>Fighter / Cleric of Lurue</t>
  </si>
  <si>
    <t>Bite</t>
  </si>
  <si>
    <t>Detect Magic</t>
  </si>
  <si>
    <t>Summon Monster II</t>
  </si>
  <si>
    <t>Celestial riding dog</t>
  </si>
  <si>
    <t>1d6+3</t>
  </si>
  <si>
    <t>Akilesh</t>
  </si>
  <si>
    <t>Sanctuary</t>
  </si>
  <si>
    <t>Zvetlana</t>
  </si>
  <si>
    <t>Favored Soul of Lurue</t>
  </si>
  <si>
    <t>Wereserpent Aristocrat</t>
  </si>
  <si>
    <t>1d10+1</t>
  </si>
  <si>
    <t>Light Crossbow +2</t>
  </si>
  <si>
    <t>1d8+2</t>
  </si>
  <si>
    <t>Spiked Club +1</t>
  </si>
  <si>
    <t>1d8+1+3</t>
  </si>
  <si>
    <t>Chaav’s Laugh</t>
  </si>
  <si>
    <t>Heavy Crossbow +1</t>
  </si>
  <si>
    <t>1d4+1</t>
  </si>
  <si>
    <t>1d6+2+2</t>
  </si>
  <si>
    <t>Celestial giant bee</t>
  </si>
  <si>
    <t>Sting</t>
  </si>
  <si>
    <t>1d4+Poison</t>
  </si>
  <si>
    <t>Python Staff</t>
  </si>
  <si>
    <t>Mage Armor</t>
  </si>
  <si>
    <t>Nimbus of Light</t>
  </si>
  <si>
    <t>Fort DC 11, initial and Secondary damage 1d4 Con</t>
  </si>
  <si>
    <t>Spiritual Shortspear</t>
  </si>
  <si>
    <t>Spiritual Weapon</t>
  </si>
  <si>
    <t>Celestial beetle</t>
  </si>
  <si>
    <t>cold iron/good</t>
  </si>
  <si>
    <t>Shield of Faith</t>
  </si>
  <si>
    <t>Jinx</t>
  </si>
  <si>
    <t>R10</t>
  </si>
  <si>
    <t>Ettercap Paladin of Slaughter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</si>
</sst>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2" x14ac:knownFonts="1">
    <font>
      <sz val="12"/>
      <color theme="1"/>
      <name val="Times New Roman"/>
      <family val="2"/>
    </font>
    <font>
      <sz val="12"/>
      <color theme="1"/>
      <name val="Times New Roman"/>
      <family val="2"/>
    </font>
    <font>
      <b/>
      <sz val="12"/>
      <color theme="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2"/>
      <color theme="1"/>
      <name val="Times New Roman"/>
      <family val="1"/>
    </font>
    <font>
      <b/>
      <sz val="12"/>
      <color theme="0"/>
      <name val="Times New Roman"/>
      <family val="1"/>
    </font>
    <font>
      <sz val="12"/>
      <color theme="0"/>
      <name val="Times New Roman"/>
      <family val="1"/>
    </font>
    <font>
      <b/>
      <sz val="12"/>
      <color rgb="FFFF0000"/>
      <name val="Times New Roman"/>
      <family val="1"/>
    </font>
    <font>
      <sz val="12"/>
      <color rgb="FFFF0000"/>
      <name val="Times New Roman"/>
      <family val="1"/>
    </font>
    <font>
      <b/>
      <sz val="12"/>
      <color rgb="FFFFCC00"/>
      <name val="Times New Roman"/>
      <family val="1"/>
    </font>
    <font>
      <i/>
      <sz val="12"/>
      <color theme="1"/>
      <name val="Times New Roman"/>
      <family val="1"/>
    </font>
    <font>
      <sz val="12"/>
      <color rgb="FFFFCC00"/>
      <name val="Times New Roman"/>
      <family val="1"/>
    </font>
    <font>
      <b/>
      <sz val="12"/>
      <color rgb="FFFF33CC"/>
      <name val="Times New Roman"/>
      <family val="1"/>
    </font>
    <font>
      <sz val="12"/>
      <color theme="0"/>
      <name val="Times New Roman"/>
      <family val="2"/>
    </font>
    <font>
      <sz val="12"/>
      <name val="Times New Roman"/>
      <family val="2"/>
    </font>
    <font>
      <sz val="12"/>
      <name val="Times New Roman"/>
      <family val="1"/>
    </font>
    <font>
      <sz val="12"/>
      <name val="Times New Roman"/>
      <family val="1"/>
      <charset val="1"/>
    </font>
    <font>
      <sz val="10"/>
      <name val="Arial"/>
      <family val="2"/>
    </font>
    <font>
      <sz val="20"/>
      <color theme="1"/>
      <name val="Times New Roman"/>
      <family val="2"/>
    </font>
    <font>
      <sz val="13"/>
      <name val="Wingdings"/>
      <charset val="2"/>
    </font>
    <font>
      <sz val="12"/>
      <color theme="1"/>
      <name val="Wingdings"/>
      <charset val="2"/>
    </font>
    <font>
      <i/>
      <sz val="12"/>
      <color theme="0"/>
      <name val="Times New Roman"/>
      <family val="1"/>
    </font>
    <font>
      <sz val="12"/>
      <color rgb="FFFF00FF"/>
      <name val="Times New Roman"/>
      <family val="2"/>
    </font>
    <font>
      <i/>
      <sz val="12"/>
      <color indexed="81"/>
      <name val="Times New Roman"/>
      <family val="1"/>
    </font>
    <font>
      <b/>
      <sz val="12"/>
      <color theme="0" tint="-0.14999847407452621"/>
      <name val="Times New Roman"/>
      <family val="1"/>
    </font>
    <font>
      <b/>
      <i/>
      <sz val="12"/>
      <color theme="1"/>
      <name val="Times New Roman"/>
      <family val="1"/>
    </font>
    <font>
      <sz val="12"/>
      <name val="Times New Roman"/>
      <family val="1"/>
    </font>
    <font>
      <sz val="9"/>
      <color indexed="81"/>
      <name val="Tahoma"/>
      <family val="2"/>
    </font>
    <font>
      <sz val="12"/>
      <color rgb="FFFF0000"/>
      <name val="Times New Roman"/>
      <family val="2"/>
    </font>
    <font>
      <b/>
      <sz val="12"/>
      <color rgb="FF9900FF"/>
      <name val="Times New Roman"/>
      <family val="1"/>
    </font>
    <font>
      <i/>
      <sz val="9"/>
      <color indexed="81"/>
      <name val="Tahoma"/>
      <family val="2"/>
    </font>
  </fonts>
  <fills count="3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rgb="FF33CC33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0033CC"/>
        <bgColor indexed="64"/>
      </patternFill>
    </fill>
    <fill>
      <patternFill patternType="solid">
        <fgColor rgb="FF9966FF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theme="6" tint="0.39997558519241921"/>
        <bgColor indexed="64"/>
      </patternFill>
    </fill>
  </fills>
  <borders count="59">
    <border>
      <left/>
      <right/>
      <top/>
      <bottom/>
      <diagonal/>
    </border>
    <border>
      <left style="double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 style="double">
        <color auto="1"/>
      </right>
      <top style="double">
        <color auto="1"/>
      </top>
      <bottom style="medium">
        <color auto="1"/>
      </bottom>
      <diagonal/>
    </border>
    <border>
      <left style="double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double">
        <color auto="1"/>
      </right>
      <top/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ck">
        <color auto="1"/>
      </top>
      <bottom style="thick">
        <color auto="1"/>
      </bottom>
      <diagonal/>
    </border>
    <border>
      <left style="hair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hair">
        <color auto="1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thick">
        <color auto="1"/>
      </top>
      <bottom style="thick">
        <color auto="1"/>
      </bottom>
      <diagonal/>
    </border>
    <border>
      <left style="hair">
        <color auto="1"/>
      </left>
      <right style="thin">
        <color indexed="64"/>
      </right>
      <top style="thick">
        <color auto="1"/>
      </top>
      <bottom style="thick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medium">
        <color indexed="64"/>
      </bottom>
      <diagonal/>
    </border>
    <border>
      <left/>
      <right style="double">
        <color auto="1"/>
      </right>
      <top style="double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auto="1"/>
      </top>
      <bottom style="medium">
        <color indexed="64"/>
      </bottom>
      <diagonal/>
    </border>
    <border>
      <left style="thin">
        <color indexed="64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double">
        <color auto="1"/>
      </left>
      <right/>
      <top/>
      <bottom style="medium">
        <color indexed="64"/>
      </bottom>
      <diagonal/>
    </border>
    <border>
      <left/>
      <right style="double">
        <color auto="1"/>
      </right>
      <top/>
      <bottom style="medium">
        <color indexed="64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hair">
        <color auto="1"/>
      </left>
      <right/>
      <top style="double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double">
        <color auto="1"/>
      </bottom>
      <diagonal/>
    </border>
  </borders>
  <cellStyleXfs count="15">
    <xf numFmtId="0" fontId="0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16" fillId="0" borderId="0"/>
    <xf numFmtId="9" fontId="3" fillId="0" borderId="0" applyFont="0" applyFill="0" applyBorder="0" applyAlignment="0" applyProtection="0"/>
    <xf numFmtId="0" fontId="17" fillId="0" borderId="0"/>
    <xf numFmtId="0" fontId="18" fillId="0" borderId="0"/>
    <xf numFmtId="9" fontId="1" fillId="0" borderId="0" applyFont="0" applyFill="0" applyBorder="0" applyAlignment="0" applyProtection="0"/>
    <xf numFmtId="0" fontId="3" fillId="0" borderId="0"/>
    <xf numFmtId="0" fontId="3" fillId="0" borderId="0"/>
    <xf numFmtId="0" fontId="27" fillId="0" borderId="0"/>
  </cellStyleXfs>
  <cellXfs count="204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3" fillId="0" borderId="5" xfId="1" applyBorder="1" applyAlignment="1">
      <alignment horizontal="center" vertical="center"/>
    </xf>
    <xf numFmtId="0" fontId="3" fillId="0" borderId="6" xfId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3" fillId="0" borderId="8" xfId="1" applyBorder="1" applyAlignment="1">
      <alignment horizontal="center" vertical="center"/>
    </xf>
    <xf numFmtId="0" fontId="3" fillId="0" borderId="9" xfId="1" applyBorder="1" applyAlignment="1">
      <alignment horizontal="center" vertical="center"/>
    </xf>
    <xf numFmtId="0" fontId="4" fillId="2" borderId="10" xfId="1" applyFont="1" applyFill="1" applyBorder="1" applyAlignment="1">
      <alignment horizontal="center" vertical="center"/>
    </xf>
    <xf numFmtId="0" fontId="3" fillId="2" borderId="11" xfId="1" applyFill="1" applyBorder="1" applyAlignment="1">
      <alignment horizontal="center" vertical="center"/>
    </xf>
    <xf numFmtId="0" fontId="3" fillId="2" borderId="12" xfId="1" applyFill="1" applyBorder="1" applyAlignment="1">
      <alignment horizontal="center" vertical="center"/>
    </xf>
    <xf numFmtId="0" fontId="2" fillId="0" borderId="15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6" borderId="15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7" borderId="15" xfId="0" applyFont="1" applyFill="1" applyBorder="1" applyAlignment="1">
      <alignment horizontal="center" vertical="center" wrapText="1"/>
    </xf>
    <xf numFmtId="0" fontId="2" fillId="8" borderId="15" xfId="0" applyFont="1" applyFill="1" applyBorder="1" applyAlignment="1">
      <alignment horizontal="center" vertical="center" wrapText="1"/>
    </xf>
    <xf numFmtId="0" fontId="6" fillId="9" borderId="15" xfId="0" applyFont="1" applyFill="1" applyBorder="1" applyAlignment="1">
      <alignment horizontal="center" vertical="center" wrapText="1"/>
    </xf>
    <xf numFmtId="0" fontId="2" fillId="10" borderId="15" xfId="0" applyFont="1" applyFill="1" applyBorder="1" applyAlignment="1">
      <alignment horizontal="center" vertical="center" wrapText="1"/>
    </xf>
    <xf numFmtId="0" fontId="2" fillId="11" borderId="15" xfId="0" applyFont="1" applyFill="1" applyBorder="1" applyAlignment="1">
      <alignment horizontal="center" vertical="center" wrapText="1"/>
    </xf>
    <xf numFmtId="0" fontId="2" fillId="5" borderId="15" xfId="0" applyFont="1" applyFill="1" applyBorder="1" applyAlignment="1">
      <alignment horizontal="center" vertical="center" wrapText="1"/>
    </xf>
    <xf numFmtId="0" fontId="2" fillId="12" borderId="15" xfId="0" applyFont="1" applyFill="1" applyBorder="1" applyAlignment="1">
      <alignment horizontal="center" vertical="center" wrapText="1"/>
    </xf>
    <xf numFmtId="0" fontId="2" fillId="13" borderId="15" xfId="0" applyFont="1" applyFill="1" applyBorder="1" applyAlignment="1">
      <alignment horizontal="center" vertical="center" wrapText="1"/>
    </xf>
    <xf numFmtId="0" fontId="2" fillId="14" borderId="15" xfId="0" applyFont="1" applyFill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15" borderId="16" xfId="0" applyFont="1" applyFill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18" borderId="26" xfId="0" applyFont="1" applyFill="1" applyBorder="1" applyAlignment="1">
      <alignment horizontal="center" vertical="center" wrapText="1"/>
    </xf>
    <xf numFmtId="0" fontId="2" fillId="17" borderId="23" xfId="0" applyFont="1" applyFill="1" applyBorder="1" applyAlignment="1">
      <alignment horizontal="center" vertical="center" wrapText="1"/>
    </xf>
    <xf numFmtId="0" fontId="8" fillId="16" borderId="27" xfId="0" applyFont="1" applyFill="1" applyBorder="1" applyAlignment="1">
      <alignment horizontal="center" vertical="center" wrapText="1"/>
    </xf>
    <xf numFmtId="0" fontId="2" fillId="4" borderId="23" xfId="0" applyFont="1" applyFill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Continuous" vertical="center" wrapText="1"/>
    </xf>
    <xf numFmtId="0" fontId="2" fillId="13" borderId="17" xfId="0" applyFont="1" applyFill="1" applyBorder="1" applyAlignment="1">
      <alignment horizontal="centerContinuous" vertical="center" wrapText="1"/>
    </xf>
    <xf numFmtId="0" fontId="2" fillId="13" borderId="20" xfId="0" applyFont="1" applyFill="1" applyBorder="1" applyAlignment="1">
      <alignment horizontal="centerContinuous" vertical="center" wrapText="1"/>
    </xf>
    <xf numFmtId="0" fontId="13" fillId="9" borderId="23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30" xfId="0" applyBorder="1" applyAlignment="1">
      <alignment horizontal="center" vertical="center"/>
    </xf>
    <xf numFmtId="0" fontId="12" fillId="9" borderId="30" xfId="0" applyFont="1" applyFill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12" fillId="9" borderId="3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22" borderId="15" xfId="0" applyFont="1" applyFill="1" applyBorder="1" applyAlignment="1">
      <alignment horizontal="center" vertical="center" wrapText="1"/>
    </xf>
    <xf numFmtId="0" fontId="2" fillId="20" borderId="23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0" fillId="0" borderId="25" xfId="0" applyBorder="1" applyAlignment="1">
      <alignment horizontal="center" vertical="center"/>
    </xf>
    <xf numFmtId="0" fontId="20" fillId="23" borderId="25" xfId="11" applyNumberFormat="1" applyFont="1" applyFill="1" applyBorder="1" applyAlignment="1">
      <alignment horizontal="center" vertical="center" shrinkToFit="1"/>
    </xf>
    <xf numFmtId="0" fontId="20" fillId="20" borderId="25" xfId="11" applyNumberFormat="1" applyFont="1" applyFill="1" applyBorder="1" applyAlignment="1">
      <alignment horizontal="center" vertical="center" shrinkToFit="1"/>
    </xf>
    <xf numFmtId="0" fontId="21" fillId="0" borderId="0" xfId="0" applyFont="1" applyAlignment="1">
      <alignment horizontal="center" vertical="center"/>
    </xf>
    <xf numFmtId="0" fontId="15" fillId="24" borderId="49" xfId="0" applyFont="1" applyFill="1" applyBorder="1" applyAlignment="1">
      <alignment horizontal="center" vertical="center"/>
    </xf>
    <xf numFmtId="0" fontId="0" fillId="7" borderId="30" xfId="0" applyFill="1" applyBorder="1" applyAlignment="1">
      <alignment horizontal="center" vertical="center"/>
    </xf>
    <xf numFmtId="0" fontId="0" fillId="7" borderId="31" xfId="0" applyFill="1" applyBorder="1" applyAlignment="1">
      <alignment horizontal="center" vertical="center"/>
    </xf>
    <xf numFmtId="0" fontId="21" fillId="0" borderId="31" xfId="0" applyFont="1" applyBorder="1" applyAlignment="1">
      <alignment horizontal="center" vertical="center"/>
    </xf>
    <xf numFmtId="0" fontId="21" fillId="0" borderId="30" xfId="0" applyFont="1" applyBorder="1" applyAlignment="1">
      <alignment horizontal="center" vertical="center"/>
    </xf>
    <xf numFmtId="0" fontId="19" fillId="0" borderId="51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0" fillId="3" borderId="30" xfId="0" applyFill="1" applyBorder="1" applyAlignment="1">
      <alignment horizontal="center" vertical="center"/>
    </xf>
    <xf numFmtId="0" fontId="2" fillId="3" borderId="41" xfId="0" applyFont="1" applyFill="1" applyBorder="1" applyAlignment="1">
      <alignment horizontal="center" vertical="center"/>
    </xf>
    <xf numFmtId="0" fontId="2" fillId="3" borderId="43" xfId="0" applyFont="1" applyFill="1" applyBorder="1" applyAlignment="1">
      <alignment horizontal="center" vertical="center"/>
    </xf>
    <xf numFmtId="0" fontId="2" fillId="3" borderId="42" xfId="0" applyFont="1" applyFill="1" applyBorder="1" applyAlignment="1">
      <alignment horizontal="center" vertical="center"/>
    </xf>
    <xf numFmtId="0" fontId="0" fillId="3" borderId="36" xfId="0" applyFill="1" applyBorder="1" applyAlignment="1">
      <alignment horizontal="center" vertical="center"/>
    </xf>
    <xf numFmtId="0" fontId="0" fillId="3" borderId="37" xfId="0" applyFill="1" applyBorder="1" applyAlignment="1">
      <alignment horizontal="center" vertical="center"/>
    </xf>
    <xf numFmtId="0" fontId="2" fillId="3" borderId="36" xfId="0" applyFont="1" applyFill="1" applyBorder="1" applyAlignment="1">
      <alignment horizontal="right" vertical="center"/>
    </xf>
    <xf numFmtId="0" fontId="0" fillId="3" borderId="0" xfId="0" applyFill="1" applyAlignment="1">
      <alignment horizontal="center" vertical="center"/>
    </xf>
    <xf numFmtId="0" fontId="0" fillId="3" borderId="37" xfId="0" quotePrefix="1" applyFill="1" applyBorder="1" applyAlignment="1">
      <alignment vertical="center"/>
    </xf>
    <xf numFmtId="164" fontId="0" fillId="3" borderId="0" xfId="0" applyNumberFormat="1" applyFill="1" applyAlignment="1">
      <alignment horizontal="center" vertical="center"/>
    </xf>
    <xf numFmtId="0" fontId="2" fillId="3" borderId="38" xfId="0" applyFont="1" applyFill="1" applyBorder="1" applyAlignment="1">
      <alignment horizontal="right" vertical="center"/>
    </xf>
    <xf numFmtId="164" fontId="0" fillId="3" borderId="39" xfId="0" applyNumberFormat="1" applyFill="1" applyBorder="1" applyAlignment="1">
      <alignment horizontal="center" vertical="center"/>
    </xf>
    <xf numFmtId="0" fontId="0" fillId="3" borderId="40" xfId="0" applyFill="1" applyBorder="1" applyAlignment="1">
      <alignment horizontal="center" vertical="center"/>
    </xf>
    <xf numFmtId="0" fontId="0" fillId="0" borderId="0" xfId="0" applyAlignment="1">
      <alignment horizontal="centerContinuous" vertical="center"/>
    </xf>
    <xf numFmtId="0" fontId="11" fillId="0" borderId="0" xfId="0" applyFont="1" applyAlignment="1">
      <alignment horizontal="right" vertical="center"/>
    </xf>
    <xf numFmtId="1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31" xfId="0" applyFont="1" applyBorder="1" applyAlignment="1">
      <alignment horizontal="center" vertical="center"/>
    </xf>
    <xf numFmtId="0" fontId="10" fillId="9" borderId="31" xfId="0" applyFont="1" applyFill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4" fillId="20" borderId="18" xfId="0" applyFont="1" applyFill="1" applyBorder="1" applyAlignment="1">
      <alignment horizontal="center" vertical="center"/>
    </xf>
    <xf numFmtId="0" fontId="0" fillId="15" borderId="13" xfId="0" applyFill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17" borderId="25" xfId="0" applyFill="1" applyBorder="1" applyAlignment="1">
      <alignment horizontal="center" vertical="center"/>
    </xf>
    <xf numFmtId="0" fontId="2" fillId="3" borderId="25" xfId="0" applyFont="1" applyFill="1" applyBorder="1" applyAlignment="1">
      <alignment horizontal="center" vertical="center"/>
    </xf>
    <xf numFmtId="0" fontId="6" fillId="21" borderId="21" xfId="0" applyFont="1" applyFill="1" applyBorder="1" applyAlignment="1">
      <alignment horizontal="center" vertical="center"/>
    </xf>
    <xf numFmtId="0" fontId="13" fillId="9" borderId="25" xfId="0" applyFont="1" applyFill="1" applyBorder="1" applyAlignment="1">
      <alignment horizontal="center" vertical="center"/>
    </xf>
    <xf numFmtId="0" fontId="0" fillId="13" borderId="21" xfId="0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6" borderId="8" xfId="0" applyFill="1" applyBorder="1" applyAlignment="1">
      <alignment horizontal="center" vertical="center"/>
    </xf>
    <xf numFmtId="0" fontId="7" fillId="9" borderId="8" xfId="0" applyFont="1" applyFill="1" applyBorder="1" applyAlignment="1">
      <alignment horizontal="center" vertical="center"/>
    </xf>
    <xf numFmtId="0" fontId="0" fillId="11" borderId="8" xfId="0" applyFill="1" applyBorder="1" applyAlignment="1">
      <alignment horizontal="center" vertical="center"/>
    </xf>
    <xf numFmtId="0" fontId="0" fillId="5" borderId="8" xfId="0" applyFill="1" applyBorder="1" applyAlignment="1">
      <alignment horizontal="center" vertical="center"/>
    </xf>
    <xf numFmtId="0" fontId="0" fillId="13" borderId="8" xfId="0" applyFill="1" applyBorder="1" applyAlignment="1">
      <alignment horizontal="center" vertical="center"/>
    </xf>
    <xf numFmtId="0" fontId="0" fillId="14" borderId="8" xfId="0" applyFill="1" applyBorder="1" applyAlignment="1">
      <alignment horizontal="center" vertical="center"/>
    </xf>
    <xf numFmtId="0" fontId="0" fillId="10" borderId="8" xfId="0" applyFill="1" applyBorder="1" applyAlignment="1">
      <alignment horizontal="center" vertical="center"/>
    </xf>
    <xf numFmtId="0" fontId="9" fillId="16" borderId="28" xfId="0" applyFont="1" applyFill="1" applyBorder="1" applyAlignment="1">
      <alignment horizontal="center" vertical="center"/>
    </xf>
    <xf numFmtId="0" fontId="0" fillId="20" borderId="25" xfId="0" applyFill="1" applyBorder="1" applyAlignment="1">
      <alignment horizontal="center" vertical="center"/>
    </xf>
    <xf numFmtId="0" fontId="0" fillId="4" borderId="25" xfId="0" applyFill="1" applyBorder="1" applyAlignment="1">
      <alignment horizontal="center" vertical="center"/>
    </xf>
    <xf numFmtId="0" fontId="4" fillId="19" borderId="8" xfId="0" applyFont="1" applyFill="1" applyBorder="1" applyAlignment="1">
      <alignment horizontal="center" vertical="center"/>
    </xf>
    <xf numFmtId="0" fontId="0" fillId="25" borderId="31" xfId="0" applyFill="1" applyBorder="1" applyAlignment="1">
      <alignment horizontal="center" vertical="center"/>
    </xf>
    <xf numFmtId="0" fontId="0" fillId="26" borderId="31" xfId="0" applyFill="1" applyBorder="1" applyAlignment="1">
      <alignment horizontal="center" vertical="center"/>
    </xf>
    <xf numFmtId="0" fontId="7" fillId="5" borderId="31" xfId="0" applyFont="1" applyFill="1" applyBorder="1" applyAlignment="1">
      <alignment horizontal="center" vertical="center"/>
    </xf>
    <xf numFmtId="0" fontId="21" fillId="26" borderId="31" xfId="0" applyFont="1" applyFill="1" applyBorder="1" applyAlignment="1">
      <alignment horizontal="center" vertical="center"/>
    </xf>
    <xf numFmtId="0" fontId="0" fillId="25" borderId="30" xfId="0" applyFill="1" applyBorder="1" applyAlignment="1">
      <alignment horizontal="center" vertical="center"/>
    </xf>
    <xf numFmtId="0" fontId="0" fillId="26" borderId="30" xfId="0" applyFill="1" applyBorder="1" applyAlignment="1">
      <alignment horizontal="center" vertical="center"/>
    </xf>
    <xf numFmtId="0" fontId="7" fillId="5" borderId="30" xfId="0" applyFont="1" applyFill="1" applyBorder="1" applyAlignment="1">
      <alignment horizontal="center" vertical="center"/>
    </xf>
    <xf numFmtId="0" fontId="21" fillId="26" borderId="30" xfId="0" applyFont="1" applyFill="1" applyBorder="1" applyAlignment="1">
      <alignment horizontal="center" vertical="center"/>
    </xf>
    <xf numFmtId="0" fontId="2" fillId="0" borderId="34" xfId="0" applyFont="1" applyBorder="1" applyAlignment="1">
      <alignment horizontal="center" vertical="center" wrapText="1"/>
    </xf>
    <xf numFmtId="0" fontId="2" fillId="7" borderId="33" xfId="0" applyFont="1" applyFill="1" applyBorder="1" applyAlignment="1">
      <alignment horizontal="center" vertical="center" wrapText="1"/>
    </xf>
    <xf numFmtId="0" fontId="10" fillId="9" borderId="33" xfId="0" applyFont="1" applyFill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25" borderId="33" xfId="0" applyFont="1" applyFill="1" applyBorder="1" applyAlignment="1">
      <alignment horizontal="center" vertical="center" wrapText="1"/>
    </xf>
    <xf numFmtId="0" fontId="2" fillId="26" borderId="33" xfId="0" applyFont="1" applyFill="1" applyBorder="1" applyAlignment="1">
      <alignment horizontal="center" vertical="center" wrapText="1"/>
    </xf>
    <xf numFmtId="0" fontId="6" fillId="5" borderId="33" xfId="0" applyFont="1" applyFill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6" fillId="5" borderId="41" xfId="0" applyFont="1" applyFill="1" applyBorder="1" applyAlignment="1">
      <alignment horizontal="center" vertical="center"/>
    </xf>
    <xf numFmtId="0" fontId="6" fillId="5" borderId="43" xfId="0" applyFont="1" applyFill="1" applyBorder="1" applyAlignment="1">
      <alignment horizontal="center" vertical="center"/>
    </xf>
    <xf numFmtId="0" fontId="6" fillId="5" borderId="42" xfId="0" applyFont="1" applyFill="1" applyBorder="1" applyAlignment="1">
      <alignment horizontal="center" vertical="center"/>
    </xf>
    <xf numFmtId="0" fontId="7" fillId="5" borderId="36" xfId="0" applyFont="1" applyFill="1" applyBorder="1" applyAlignment="1">
      <alignment horizontal="center" vertical="center"/>
    </xf>
    <xf numFmtId="0" fontId="7" fillId="5" borderId="37" xfId="0" applyFont="1" applyFill="1" applyBorder="1" applyAlignment="1">
      <alignment horizontal="center" vertical="center"/>
    </xf>
    <xf numFmtId="0" fontId="6" fillId="5" borderId="36" xfId="0" applyFont="1" applyFill="1" applyBorder="1" applyAlignment="1">
      <alignment horizontal="right" vertical="center"/>
    </xf>
    <xf numFmtId="164" fontId="7" fillId="5" borderId="0" xfId="0" applyNumberFormat="1" applyFont="1" applyFill="1" applyAlignment="1">
      <alignment horizontal="center" vertical="center"/>
    </xf>
    <xf numFmtId="0" fontId="6" fillId="5" borderId="38" xfId="0" applyFont="1" applyFill="1" applyBorder="1" applyAlignment="1">
      <alignment horizontal="right" vertical="center"/>
    </xf>
    <xf numFmtId="164" fontId="7" fillId="5" borderId="39" xfId="0" applyNumberFormat="1" applyFont="1" applyFill="1" applyBorder="1" applyAlignment="1">
      <alignment horizontal="center" vertical="center"/>
    </xf>
    <xf numFmtId="0" fontId="7" fillId="5" borderId="40" xfId="0" applyFont="1" applyFill="1" applyBorder="1" applyAlignment="1">
      <alignment horizontal="center" vertical="center"/>
    </xf>
    <xf numFmtId="0" fontId="0" fillId="13" borderId="18" xfId="0" quotePrefix="1" applyFill="1" applyBorder="1" applyAlignment="1">
      <alignment horizontal="center" vertical="center"/>
    </xf>
    <xf numFmtId="1" fontId="5" fillId="18" borderId="44" xfId="0" applyNumberFormat="1" applyFont="1" applyFill="1" applyBorder="1" applyAlignment="1">
      <alignment horizontal="center" vertical="center"/>
    </xf>
    <xf numFmtId="0" fontId="22" fillId="9" borderId="8" xfId="0" applyFont="1" applyFill="1" applyBorder="1" applyAlignment="1">
      <alignment horizontal="center" vertical="center"/>
    </xf>
    <xf numFmtId="0" fontId="5" fillId="7" borderId="8" xfId="0" applyFont="1" applyFill="1" applyBorder="1" applyAlignment="1">
      <alignment horizontal="center" vertical="center"/>
    </xf>
    <xf numFmtId="0" fontId="11" fillId="12" borderId="8" xfId="0" applyFont="1" applyFill="1" applyBorder="1" applyAlignment="1">
      <alignment horizontal="center" vertical="center"/>
    </xf>
    <xf numFmtId="0" fontId="14" fillId="27" borderId="49" xfId="0" applyFont="1" applyFill="1" applyBorder="1" applyAlignment="1">
      <alignment horizontal="center" vertical="center"/>
    </xf>
    <xf numFmtId="0" fontId="11" fillId="22" borderId="8" xfId="0" applyFont="1" applyFill="1" applyBorder="1" applyAlignment="1">
      <alignment horizontal="center" vertical="center"/>
    </xf>
    <xf numFmtId="0" fontId="0" fillId="8" borderId="46" xfId="0" applyFill="1" applyBorder="1" applyAlignment="1">
      <alignment horizontal="center" vertical="center"/>
    </xf>
    <xf numFmtId="0" fontId="2" fillId="0" borderId="27" xfId="0" applyFont="1" applyBorder="1" applyAlignment="1">
      <alignment horizontal="center" vertical="center" wrapText="1"/>
    </xf>
    <xf numFmtId="0" fontId="2" fillId="3" borderId="49" xfId="0" applyFont="1" applyFill="1" applyBorder="1" applyAlignment="1">
      <alignment horizontal="center" vertical="center"/>
    </xf>
    <xf numFmtId="0" fontId="14" fillId="5" borderId="30" xfId="0" applyFont="1" applyFill="1" applyBorder="1" applyAlignment="1">
      <alignment horizontal="center" vertical="center"/>
    </xf>
    <xf numFmtId="0" fontId="14" fillId="5" borderId="31" xfId="0" applyFont="1" applyFill="1" applyBorder="1" applyAlignment="1">
      <alignment horizontal="center" vertical="center"/>
    </xf>
    <xf numFmtId="0" fontId="15" fillId="7" borderId="30" xfId="0" applyFont="1" applyFill="1" applyBorder="1" applyAlignment="1">
      <alignment horizontal="center" vertical="center"/>
    </xf>
    <xf numFmtId="0" fontId="15" fillId="7" borderId="31" xfId="0" applyFont="1" applyFill="1" applyBorder="1" applyAlignment="1">
      <alignment horizontal="center" vertical="center"/>
    </xf>
    <xf numFmtId="0" fontId="2" fillId="19" borderId="52" xfId="0" applyFont="1" applyFill="1" applyBorder="1" applyAlignment="1">
      <alignment horizontal="center" vertical="center" wrapText="1"/>
    </xf>
    <xf numFmtId="0" fontId="6" fillId="28" borderId="52" xfId="0" applyFont="1" applyFill="1" applyBorder="1" applyAlignment="1">
      <alignment horizontal="center" vertical="center" wrapText="1"/>
    </xf>
    <xf numFmtId="20" fontId="19" fillId="0" borderId="51" xfId="0" applyNumberFormat="1" applyFont="1" applyBorder="1" applyAlignment="1">
      <alignment horizontal="center" vertical="center"/>
    </xf>
    <xf numFmtId="0" fontId="2" fillId="29" borderId="52" xfId="0" applyFont="1" applyFill="1" applyBorder="1" applyAlignment="1">
      <alignment horizontal="center" vertical="center" wrapText="1"/>
    </xf>
    <xf numFmtId="0" fontId="5" fillId="0" borderId="50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25" fillId="13" borderId="8" xfId="0" applyFont="1" applyFill="1" applyBorder="1" applyAlignment="1">
      <alignment horizontal="center" vertical="center"/>
    </xf>
    <xf numFmtId="0" fontId="6" fillId="5" borderId="25" xfId="0" applyFont="1" applyFill="1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1" fontId="7" fillId="5" borderId="0" xfId="0" applyNumberFormat="1" applyFont="1" applyFill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10" fillId="9" borderId="35" xfId="0" applyFont="1" applyFill="1" applyBorder="1" applyAlignment="1">
      <alignment horizontal="center" vertical="center"/>
    </xf>
    <xf numFmtId="0" fontId="20" fillId="23" borderId="24" xfId="11" applyNumberFormat="1" applyFont="1" applyFill="1" applyBorder="1" applyAlignment="1">
      <alignment horizontal="center" vertical="center" shrinkToFit="1"/>
    </xf>
    <xf numFmtId="0" fontId="20" fillId="20" borderId="24" xfId="11" applyNumberFormat="1" applyFont="1" applyFill="1" applyBorder="1" applyAlignment="1">
      <alignment horizontal="center" vertical="center" shrinkToFit="1"/>
    </xf>
    <xf numFmtId="0" fontId="14" fillId="27" borderId="53" xfId="0" applyFont="1" applyFill="1" applyBorder="1" applyAlignment="1">
      <alignment horizontal="center" vertical="center"/>
    </xf>
    <xf numFmtId="0" fontId="2" fillId="0" borderId="55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0" fillId="0" borderId="28" xfId="0" applyBorder="1" applyAlignment="1">
      <alignment horizontal="center" vertical="center"/>
    </xf>
    <xf numFmtId="0" fontId="7" fillId="5" borderId="47" xfId="0" applyFont="1" applyFill="1" applyBorder="1" applyAlignment="1">
      <alignment horizontal="center" vertical="center"/>
    </xf>
    <xf numFmtId="0" fontId="7" fillId="5" borderId="35" xfId="0" applyFont="1" applyFill="1" applyBorder="1" applyAlignment="1">
      <alignment horizontal="center" vertical="center"/>
    </xf>
    <xf numFmtId="0" fontId="7" fillId="5" borderId="48" xfId="0" applyFont="1" applyFill="1" applyBorder="1" applyAlignment="1">
      <alignment horizontal="center" vertical="center"/>
    </xf>
    <xf numFmtId="0" fontId="23" fillId="9" borderId="25" xfId="0" applyFont="1" applyFill="1" applyBorder="1" applyAlignment="1">
      <alignment horizontal="center" vertical="center"/>
    </xf>
    <xf numFmtId="0" fontId="2" fillId="3" borderId="37" xfId="0" applyFont="1" applyFill="1" applyBorder="1" applyAlignment="1">
      <alignment horizontal="center" vertical="center"/>
    </xf>
    <xf numFmtId="0" fontId="6" fillId="5" borderId="37" xfId="0" applyFont="1" applyFill="1" applyBorder="1" applyAlignment="1">
      <alignment horizontal="center" vertical="center"/>
    </xf>
    <xf numFmtId="0" fontId="0" fillId="7" borderId="36" xfId="0" applyFill="1" applyBorder="1" applyAlignment="1">
      <alignment horizontal="center" vertical="center"/>
    </xf>
    <xf numFmtId="0" fontId="15" fillId="7" borderId="25" xfId="0" applyFont="1" applyFill="1" applyBorder="1" applyAlignment="1">
      <alignment horizontal="center" vertical="center"/>
    </xf>
    <xf numFmtId="0" fontId="15" fillId="30" borderId="25" xfId="0" applyFont="1" applyFill="1" applyBorder="1" applyAlignment="1">
      <alignment horizontal="center" vertical="center"/>
    </xf>
    <xf numFmtId="0" fontId="4" fillId="0" borderId="56" xfId="1" applyFont="1" applyBorder="1" applyAlignment="1">
      <alignment horizontal="center" vertical="center"/>
    </xf>
    <xf numFmtId="0" fontId="3" fillId="0" borderId="13" xfId="1" applyBorder="1" applyAlignment="1">
      <alignment horizontal="center" vertical="center"/>
    </xf>
    <xf numFmtId="0" fontId="3" fillId="0" borderId="57" xfId="1" applyBorder="1" applyAlignment="1">
      <alignment horizontal="center" vertical="center"/>
    </xf>
    <xf numFmtId="0" fontId="3" fillId="2" borderId="58" xfId="1" applyFill="1" applyBorder="1" applyAlignment="1">
      <alignment horizontal="center" vertical="center"/>
    </xf>
    <xf numFmtId="0" fontId="2" fillId="7" borderId="25" xfId="0" applyFont="1" applyFill="1" applyBorder="1" applyAlignment="1">
      <alignment horizontal="center" vertical="center"/>
    </xf>
    <xf numFmtId="0" fontId="0" fillId="7" borderId="37" xfId="0" applyFill="1" applyBorder="1" applyAlignment="1">
      <alignment horizontal="center" vertical="center"/>
    </xf>
    <xf numFmtId="0" fontId="2" fillId="7" borderId="49" xfId="0" applyFont="1" applyFill="1" applyBorder="1" applyAlignment="1">
      <alignment horizontal="center" vertical="center"/>
    </xf>
    <xf numFmtId="0" fontId="3" fillId="0" borderId="50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7" borderId="30" xfId="0" applyFont="1" applyFill="1" applyBorder="1" applyAlignment="1">
      <alignment horizontal="center" vertical="center"/>
    </xf>
    <xf numFmtId="0" fontId="3" fillId="7" borderId="31" xfId="0" applyFont="1" applyFill="1" applyBorder="1" applyAlignment="1">
      <alignment horizontal="center" vertical="center"/>
    </xf>
    <xf numFmtId="0" fontId="2" fillId="20" borderId="17" xfId="0" applyFont="1" applyFill="1" applyBorder="1" applyAlignment="1">
      <alignment horizontal="center" vertical="center"/>
    </xf>
    <xf numFmtId="0" fontId="2" fillId="19" borderId="15" xfId="0" applyFont="1" applyFill="1" applyBorder="1" applyAlignment="1">
      <alignment horizontal="center" vertical="center"/>
    </xf>
    <xf numFmtId="0" fontId="6" fillId="21" borderId="20" xfId="0" applyFont="1" applyFill="1" applyBorder="1" applyAlignment="1">
      <alignment horizontal="center" vertical="center"/>
    </xf>
    <xf numFmtId="0" fontId="5" fillId="22" borderId="8" xfId="0" applyFont="1" applyFill="1" applyBorder="1" applyAlignment="1">
      <alignment horizontal="center" vertical="center"/>
    </xf>
    <xf numFmtId="0" fontId="5" fillId="12" borderId="8" xfId="0" applyFont="1" applyFill="1" applyBorder="1" applyAlignment="1">
      <alignment horizontal="center" vertical="center"/>
    </xf>
    <xf numFmtId="0" fontId="0" fillId="7" borderId="47" xfId="0" applyFill="1" applyBorder="1" applyAlignment="1">
      <alignment horizontal="center" vertical="center"/>
    </xf>
    <xf numFmtId="0" fontId="0" fillId="7" borderId="35" xfId="0" applyFill="1" applyBorder="1" applyAlignment="1">
      <alignment horizontal="center" vertical="center"/>
    </xf>
    <xf numFmtId="0" fontId="0" fillId="7" borderId="48" xfId="0" applyFill="1" applyBorder="1" applyAlignment="1">
      <alignment horizontal="center" vertical="center"/>
    </xf>
    <xf numFmtId="0" fontId="14" fillId="5" borderId="25" xfId="0" applyFont="1" applyFill="1" applyBorder="1" applyAlignment="1">
      <alignment horizontal="center" vertical="center"/>
    </xf>
    <xf numFmtId="0" fontId="9" fillId="6" borderId="50" xfId="0" applyFont="1" applyFill="1" applyBorder="1" applyAlignment="1">
      <alignment horizontal="center" vertical="center"/>
    </xf>
    <xf numFmtId="0" fontId="9" fillId="6" borderId="45" xfId="0" applyFont="1" applyFill="1" applyBorder="1" applyAlignment="1">
      <alignment horizontal="center" vertical="center"/>
    </xf>
    <xf numFmtId="0" fontId="29" fillId="6" borderId="30" xfId="0" applyFont="1" applyFill="1" applyBorder="1" applyAlignment="1">
      <alignment horizontal="center" vertical="center"/>
    </xf>
    <xf numFmtId="0" fontId="29" fillId="6" borderId="31" xfId="0" applyFont="1" applyFill="1" applyBorder="1" applyAlignment="1">
      <alignment horizontal="center" vertical="center"/>
    </xf>
    <xf numFmtId="0" fontId="4" fillId="6" borderId="21" xfId="0" applyFont="1" applyFill="1" applyBorder="1" applyAlignment="1">
      <alignment horizontal="center" vertical="center"/>
    </xf>
    <xf numFmtId="0" fontId="30" fillId="0" borderId="30" xfId="0" applyFont="1" applyBorder="1" applyAlignment="1">
      <alignment horizontal="center" vertical="center"/>
    </xf>
    <xf numFmtId="0" fontId="11" fillId="8" borderId="46" xfId="0" applyFont="1" applyFill="1" applyBorder="1" applyAlignment="1">
      <alignment horizontal="center" vertical="center"/>
    </xf>
    <xf numFmtId="0" fontId="11" fillId="11" borderId="8" xfId="0" applyFont="1" applyFill="1" applyBorder="1" applyAlignment="1">
      <alignment horizontal="center" vertical="center"/>
    </xf>
    <xf numFmtId="0" fontId="6" fillId="5" borderId="30" xfId="0" applyFont="1" applyFill="1" applyBorder="1" applyAlignment="1">
      <alignment horizontal="center" vertical="center"/>
    </xf>
  </cellXfs>
  <cellStyles count="15">
    <cellStyle name="Excel Built-in Normal" xfId="9" xr:uid="{00000000-0005-0000-0000-000000000000}"/>
    <cellStyle name="Normal" xfId="0" builtinId="0"/>
    <cellStyle name="Normal 2" xfId="1" xr:uid="{00000000-0005-0000-0000-000002000000}"/>
    <cellStyle name="Normal 2 2" xfId="2" xr:uid="{00000000-0005-0000-0000-000003000000}"/>
    <cellStyle name="Normal 2 2 2" xfId="5" xr:uid="{00000000-0005-0000-0000-000004000000}"/>
    <cellStyle name="Normal 2 3" xfId="10" xr:uid="{00000000-0005-0000-0000-000005000000}"/>
    <cellStyle name="Normal 3" xfId="3" xr:uid="{00000000-0005-0000-0000-000006000000}"/>
    <cellStyle name="Normal 3 2" xfId="13" xr:uid="{B67A1851-78FF-4684-9A5B-AE93637640B4}"/>
    <cellStyle name="Normal 4" xfId="4" xr:uid="{00000000-0005-0000-0000-000007000000}"/>
    <cellStyle name="Normal 5" xfId="7" xr:uid="{00000000-0005-0000-0000-000008000000}"/>
    <cellStyle name="Normal 6" xfId="12" xr:uid="{00000000-0005-0000-0000-000009000000}"/>
    <cellStyle name="Normal 7" xfId="14" xr:uid="{FD7EE822-269E-4F62-AA74-D04570019521}"/>
    <cellStyle name="Percent" xfId="11" builtinId="5"/>
    <cellStyle name="Percent 2" xfId="6" xr:uid="{00000000-0005-0000-0000-00000B000000}"/>
    <cellStyle name="Percent 2 2" xfId="8" xr:uid="{00000000-0005-0000-0000-00000C000000}"/>
  </cellStyles>
  <dxfs count="24"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33CC33"/>
        </patternFill>
      </fill>
    </dxf>
    <dxf>
      <font>
        <strike val="0"/>
      </font>
      <fill>
        <patternFill patternType="lightUp">
          <fgColor theme="6" tint="-0.24994659260841701"/>
          <bgColor rgb="FFFFC000"/>
        </patternFill>
      </fill>
    </dxf>
    <dxf>
      <font>
        <strike val="0"/>
      </font>
      <fill>
        <patternFill patternType="lightUp">
          <fgColor theme="6" tint="-0.24994659260841701"/>
          <bgColor rgb="FFFFC000"/>
        </patternFill>
      </fill>
    </dxf>
    <dxf>
      <font>
        <strike val="0"/>
      </font>
      <fill>
        <patternFill patternType="lightUp">
          <fgColor theme="6" tint="-0.24994659260841701"/>
          <bgColor rgb="FFFFC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99FF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9900FF"/>
      <color rgb="FF00FFFF"/>
      <color rgb="FFFF6600"/>
      <color rgb="FFFF0066"/>
      <color rgb="FF99FF99"/>
      <color rgb="FFCCFFCC"/>
      <color rgb="FF99FFCC"/>
      <color rgb="FF00FF00"/>
      <color rgb="FF0000CC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area3DChart>
        <c:grouping val="standard"/>
        <c:varyColors val="0"/>
        <c:ser>
          <c:idx val="0"/>
          <c:order val="0"/>
          <c:tx>
            <c:strRef>
              <c:f>Rolls!$B$2</c:f>
              <c:strCache>
                <c:ptCount val="1"/>
                <c:pt idx="0">
                  <c:v>d3 roll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Rolls!$C$2:$L$2</c:f>
              <c:numCache>
                <c:formatCode>General</c:formatCode>
                <c:ptCount val="10"/>
                <c:pt idx="0">
                  <c:v>1</c:v>
                </c:pt>
                <c:pt idx="1">
                  <c:v>3</c:v>
                </c:pt>
                <c:pt idx="2">
                  <c:v>8</c:v>
                </c:pt>
                <c:pt idx="3">
                  <c:v>6</c:v>
                </c:pt>
                <c:pt idx="4">
                  <c:v>9</c:v>
                </c:pt>
                <c:pt idx="5">
                  <c:v>15</c:v>
                </c:pt>
                <c:pt idx="6">
                  <c:v>16</c:v>
                </c:pt>
                <c:pt idx="7">
                  <c:v>16</c:v>
                </c:pt>
                <c:pt idx="8">
                  <c:v>17</c:v>
                </c:pt>
                <c:pt idx="9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91-46EE-A354-9F488D997D8D}"/>
            </c:ext>
          </c:extLst>
        </c:ser>
        <c:ser>
          <c:idx val="1"/>
          <c:order val="1"/>
          <c:tx>
            <c:strRef>
              <c:f>Rolls!$B$3</c:f>
              <c:strCache>
                <c:ptCount val="1"/>
                <c:pt idx="0">
                  <c:v>d4 roll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Rolls!$C$3:$L$3</c:f>
              <c:numCache>
                <c:formatCode>General</c:formatCode>
                <c:ptCount val="10"/>
                <c:pt idx="0">
                  <c:v>4</c:v>
                </c:pt>
                <c:pt idx="1">
                  <c:v>5</c:v>
                </c:pt>
                <c:pt idx="2">
                  <c:v>7</c:v>
                </c:pt>
                <c:pt idx="3">
                  <c:v>10</c:v>
                </c:pt>
                <c:pt idx="4">
                  <c:v>12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22</c:v>
                </c:pt>
                <c:pt idx="9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B91-46EE-A354-9F488D997D8D}"/>
            </c:ext>
          </c:extLst>
        </c:ser>
        <c:ser>
          <c:idx val="2"/>
          <c:order val="2"/>
          <c:tx>
            <c:strRef>
              <c:f>Rolls!$B$4</c:f>
              <c:strCache>
                <c:ptCount val="1"/>
                <c:pt idx="0">
                  <c:v>d6 roll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Rolls!$C$4:$L$4</c:f>
              <c:numCache>
                <c:formatCode>General</c:formatCode>
                <c:ptCount val="10"/>
                <c:pt idx="0">
                  <c:v>2</c:v>
                </c:pt>
                <c:pt idx="1">
                  <c:v>11</c:v>
                </c:pt>
                <c:pt idx="2">
                  <c:v>6</c:v>
                </c:pt>
                <c:pt idx="3">
                  <c:v>17</c:v>
                </c:pt>
                <c:pt idx="4">
                  <c:v>20</c:v>
                </c:pt>
                <c:pt idx="5">
                  <c:v>21</c:v>
                </c:pt>
                <c:pt idx="6">
                  <c:v>25</c:v>
                </c:pt>
                <c:pt idx="7">
                  <c:v>33</c:v>
                </c:pt>
                <c:pt idx="8">
                  <c:v>26</c:v>
                </c:pt>
                <c:pt idx="9">
                  <c:v>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B91-46EE-A354-9F488D997D8D}"/>
            </c:ext>
          </c:extLst>
        </c:ser>
        <c:ser>
          <c:idx val="3"/>
          <c:order val="3"/>
          <c:tx>
            <c:strRef>
              <c:f>Rolls!$B$5</c:f>
              <c:strCache>
                <c:ptCount val="1"/>
                <c:pt idx="0">
                  <c:v>d8 roll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Rolls!$C$5:$L$5</c:f>
              <c:numCache>
                <c:formatCode>General</c:formatCode>
                <c:ptCount val="10"/>
                <c:pt idx="0">
                  <c:v>6</c:v>
                </c:pt>
                <c:pt idx="1">
                  <c:v>13</c:v>
                </c:pt>
                <c:pt idx="2">
                  <c:v>11</c:v>
                </c:pt>
                <c:pt idx="3">
                  <c:v>24</c:v>
                </c:pt>
                <c:pt idx="4">
                  <c:v>20</c:v>
                </c:pt>
                <c:pt idx="5">
                  <c:v>36</c:v>
                </c:pt>
                <c:pt idx="6">
                  <c:v>25</c:v>
                </c:pt>
                <c:pt idx="7">
                  <c:v>40</c:v>
                </c:pt>
                <c:pt idx="8">
                  <c:v>54</c:v>
                </c:pt>
                <c:pt idx="9">
                  <c:v>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B91-46EE-A354-9F488D997D8D}"/>
            </c:ext>
          </c:extLst>
        </c:ser>
        <c:ser>
          <c:idx val="4"/>
          <c:order val="4"/>
          <c:tx>
            <c:strRef>
              <c:f>Rolls!$B$6</c:f>
              <c:strCache>
                <c:ptCount val="1"/>
                <c:pt idx="0">
                  <c:v>d10 roll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Rolls!$C$6:$L$6</c:f>
              <c:numCache>
                <c:formatCode>General</c:formatCode>
                <c:ptCount val="10"/>
                <c:pt idx="0">
                  <c:v>4</c:v>
                </c:pt>
                <c:pt idx="1">
                  <c:v>10</c:v>
                </c:pt>
                <c:pt idx="2">
                  <c:v>9</c:v>
                </c:pt>
                <c:pt idx="3">
                  <c:v>32</c:v>
                </c:pt>
                <c:pt idx="4">
                  <c:v>28</c:v>
                </c:pt>
                <c:pt idx="5">
                  <c:v>31</c:v>
                </c:pt>
                <c:pt idx="6">
                  <c:v>43</c:v>
                </c:pt>
                <c:pt idx="7">
                  <c:v>63</c:v>
                </c:pt>
                <c:pt idx="8">
                  <c:v>64</c:v>
                </c:pt>
                <c:pt idx="9">
                  <c:v>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B91-46EE-A354-9F488D997D8D}"/>
            </c:ext>
          </c:extLst>
        </c:ser>
        <c:ser>
          <c:idx val="5"/>
          <c:order val="5"/>
          <c:tx>
            <c:strRef>
              <c:f>Rolls!$B$7</c:f>
              <c:strCache>
                <c:ptCount val="1"/>
                <c:pt idx="0">
                  <c:v>d12 roll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Rolls!$C$7:$L$7</c:f>
              <c:numCache>
                <c:formatCode>General</c:formatCode>
                <c:ptCount val="10"/>
                <c:pt idx="0">
                  <c:v>2</c:v>
                </c:pt>
                <c:pt idx="1">
                  <c:v>9</c:v>
                </c:pt>
                <c:pt idx="2">
                  <c:v>27</c:v>
                </c:pt>
                <c:pt idx="3">
                  <c:v>31</c:v>
                </c:pt>
                <c:pt idx="4">
                  <c:v>26</c:v>
                </c:pt>
                <c:pt idx="5">
                  <c:v>29</c:v>
                </c:pt>
                <c:pt idx="6">
                  <c:v>37</c:v>
                </c:pt>
                <c:pt idx="7">
                  <c:v>39</c:v>
                </c:pt>
                <c:pt idx="8">
                  <c:v>42</c:v>
                </c:pt>
                <c:pt idx="9">
                  <c:v>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B91-46EE-A354-9F488D997D8D}"/>
            </c:ext>
          </c:extLst>
        </c:ser>
        <c:ser>
          <c:idx val="6"/>
          <c:order val="6"/>
          <c:tx>
            <c:strRef>
              <c:f>Rolls!$B$8</c:f>
              <c:strCache>
                <c:ptCount val="1"/>
                <c:pt idx="0">
                  <c:v>d20 roll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Rolls!$C$8:$L$8</c:f>
              <c:numCache>
                <c:formatCode>General</c:formatCode>
                <c:ptCount val="10"/>
                <c:pt idx="0">
                  <c:v>12</c:v>
                </c:pt>
                <c:pt idx="1">
                  <c:v>30</c:v>
                </c:pt>
                <c:pt idx="2">
                  <c:v>28</c:v>
                </c:pt>
                <c:pt idx="3">
                  <c:v>53</c:v>
                </c:pt>
                <c:pt idx="4">
                  <c:v>38</c:v>
                </c:pt>
                <c:pt idx="5">
                  <c:v>60</c:v>
                </c:pt>
                <c:pt idx="6">
                  <c:v>75</c:v>
                </c:pt>
                <c:pt idx="7">
                  <c:v>75</c:v>
                </c:pt>
                <c:pt idx="8">
                  <c:v>106</c:v>
                </c:pt>
                <c:pt idx="9">
                  <c:v>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B91-46EE-A354-9F488D997D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3243136"/>
        <c:axId val="103388288"/>
        <c:axId val="11545216"/>
      </c:area3DChart>
      <c:catAx>
        <c:axId val="1032431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03388288"/>
        <c:crosses val="autoZero"/>
        <c:auto val="1"/>
        <c:lblAlgn val="ctr"/>
        <c:lblOffset val="100"/>
        <c:noMultiLvlLbl val="0"/>
      </c:catAx>
      <c:valAx>
        <c:axId val="1033882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03243136"/>
        <c:crosses val="autoZero"/>
        <c:crossBetween val="midCat"/>
      </c:valAx>
      <c:serAx>
        <c:axId val="1154521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03388288"/>
        <c:crosses val="autoZero"/>
      </c:serAx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area3DChart>
        <c:grouping val="standard"/>
        <c:varyColors val="0"/>
        <c:ser>
          <c:idx val="0"/>
          <c:order val="0"/>
          <c:tx>
            <c:strRef>
              <c:f>Rolls!$C$1</c:f>
              <c:strCache>
                <c:ptCount val="1"/>
                <c:pt idx="0">
                  <c:v>1d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Rolls!$C$2:$C$8</c:f>
              <c:numCache>
                <c:formatCode>General</c:formatCode>
                <c:ptCount val="7"/>
                <c:pt idx="0">
                  <c:v>1</c:v>
                </c:pt>
                <c:pt idx="1">
                  <c:v>4</c:v>
                </c:pt>
                <c:pt idx="2">
                  <c:v>2</c:v>
                </c:pt>
                <c:pt idx="3">
                  <c:v>6</c:v>
                </c:pt>
                <c:pt idx="4">
                  <c:v>4</c:v>
                </c:pt>
                <c:pt idx="5">
                  <c:v>2</c:v>
                </c:pt>
                <c:pt idx="6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B6-4C31-8C37-DFB4B61CDC0F}"/>
            </c:ext>
          </c:extLst>
        </c:ser>
        <c:ser>
          <c:idx val="1"/>
          <c:order val="1"/>
          <c:tx>
            <c:strRef>
              <c:f>Rolls!$D$1</c:f>
              <c:strCache>
                <c:ptCount val="1"/>
                <c:pt idx="0">
                  <c:v>2d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Rolls!$D$2:$D$8</c:f>
              <c:numCache>
                <c:formatCode>General</c:formatCode>
                <c:ptCount val="7"/>
                <c:pt idx="0">
                  <c:v>3</c:v>
                </c:pt>
                <c:pt idx="1">
                  <c:v>5</c:v>
                </c:pt>
                <c:pt idx="2">
                  <c:v>11</c:v>
                </c:pt>
                <c:pt idx="3">
                  <c:v>13</c:v>
                </c:pt>
                <c:pt idx="4">
                  <c:v>10</c:v>
                </c:pt>
                <c:pt idx="5">
                  <c:v>9</c:v>
                </c:pt>
                <c:pt idx="6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CB6-4C31-8C37-DFB4B61CDC0F}"/>
            </c:ext>
          </c:extLst>
        </c:ser>
        <c:ser>
          <c:idx val="2"/>
          <c:order val="2"/>
          <c:tx>
            <c:strRef>
              <c:f>Rolls!$E$1</c:f>
              <c:strCache>
                <c:ptCount val="1"/>
                <c:pt idx="0">
                  <c:v>3d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Rolls!$E$2:$E$8</c:f>
              <c:numCache>
                <c:formatCode>General</c:formatCode>
                <c:ptCount val="7"/>
                <c:pt idx="0">
                  <c:v>8</c:v>
                </c:pt>
                <c:pt idx="1">
                  <c:v>7</c:v>
                </c:pt>
                <c:pt idx="2">
                  <c:v>6</c:v>
                </c:pt>
                <c:pt idx="3">
                  <c:v>11</c:v>
                </c:pt>
                <c:pt idx="4">
                  <c:v>9</c:v>
                </c:pt>
                <c:pt idx="5">
                  <c:v>27</c:v>
                </c:pt>
                <c:pt idx="6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CB6-4C31-8C37-DFB4B61CDC0F}"/>
            </c:ext>
          </c:extLst>
        </c:ser>
        <c:ser>
          <c:idx val="3"/>
          <c:order val="3"/>
          <c:tx>
            <c:strRef>
              <c:f>Rolls!$F$1</c:f>
              <c:strCache>
                <c:ptCount val="1"/>
                <c:pt idx="0">
                  <c:v>4d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Rolls!$F$2:$F$8</c:f>
              <c:numCache>
                <c:formatCode>General</c:formatCode>
                <c:ptCount val="7"/>
                <c:pt idx="0">
                  <c:v>6</c:v>
                </c:pt>
                <c:pt idx="1">
                  <c:v>10</c:v>
                </c:pt>
                <c:pt idx="2">
                  <c:v>17</c:v>
                </c:pt>
                <c:pt idx="3">
                  <c:v>24</c:v>
                </c:pt>
                <c:pt idx="4">
                  <c:v>32</c:v>
                </c:pt>
                <c:pt idx="5">
                  <c:v>31</c:v>
                </c:pt>
                <c:pt idx="6">
                  <c:v>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CB6-4C31-8C37-DFB4B61CDC0F}"/>
            </c:ext>
          </c:extLst>
        </c:ser>
        <c:ser>
          <c:idx val="4"/>
          <c:order val="4"/>
          <c:tx>
            <c:strRef>
              <c:f>Rolls!$G$1</c:f>
              <c:strCache>
                <c:ptCount val="1"/>
                <c:pt idx="0">
                  <c:v>5d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Rolls!$G$2:$G$8</c:f>
              <c:numCache>
                <c:formatCode>General</c:formatCode>
                <c:ptCount val="7"/>
                <c:pt idx="0">
                  <c:v>9</c:v>
                </c:pt>
                <c:pt idx="1">
                  <c:v>12</c:v>
                </c:pt>
                <c:pt idx="2">
                  <c:v>20</c:v>
                </c:pt>
                <c:pt idx="3">
                  <c:v>20</c:v>
                </c:pt>
                <c:pt idx="4">
                  <c:v>28</c:v>
                </c:pt>
                <c:pt idx="5">
                  <c:v>26</c:v>
                </c:pt>
                <c:pt idx="6">
                  <c:v>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CB6-4C31-8C37-DFB4B61CDC0F}"/>
            </c:ext>
          </c:extLst>
        </c:ser>
        <c:ser>
          <c:idx val="6"/>
          <c:order val="5"/>
          <c:tx>
            <c:strRef>
              <c:f>Rolls!$H$1</c:f>
              <c:strCache>
                <c:ptCount val="1"/>
                <c:pt idx="0">
                  <c:v>6d</c:v>
                </c:pt>
              </c:strCache>
            </c:strRef>
          </c:tx>
          <c:spPr>
            <a:ln w="25400">
              <a:noFill/>
            </a:ln>
          </c:spPr>
          <c:val>
            <c:numRef>
              <c:f>Rolls!$H$2:$H$8</c:f>
              <c:numCache>
                <c:formatCode>General</c:formatCode>
                <c:ptCount val="7"/>
                <c:pt idx="0">
                  <c:v>15</c:v>
                </c:pt>
                <c:pt idx="1">
                  <c:v>21</c:v>
                </c:pt>
                <c:pt idx="2">
                  <c:v>21</c:v>
                </c:pt>
                <c:pt idx="3">
                  <c:v>36</c:v>
                </c:pt>
                <c:pt idx="4">
                  <c:v>31</c:v>
                </c:pt>
                <c:pt idx="5">
                  <c:v>29</c:v>
                </c:pt>
                <c:pt idx="6">
                  <c:v>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B88-4018-BE0F-525474B9DB8D}"/>
            </c:ext>
          </c:extLst>
        </c:ser>
        <c:ser>
          <c:idx val="7"/>
          <c:order val="6"/>
          <c:tx>
            <c:strRef>
              <c:f>Rolls!$I$1</c:f>
              <c:strCache>
                <c:ptCount val="1"/>
                <c:pt idx="0">
                  <c:v>7d</c:v>
                </c:pt>
              </c:strCache>
            </c:strRef>
          </c:tx>
          <c:spPr>
            <a:ln w="25400">
              <a:noFill/>
            </a:ln>
          </c:spPr>
          <c:val>
            <c:numRef>
              <c:f>Rolls!$I$2:$I$8</c:f>
              <c:numCache>
                <c:formatCode>General</c:formatCode>
                <c:ptCount val="7"/>
                <c:pt idx="0">
                  <c:v>16</c:v>
                </c:pt>
                <c:pt idx="1">
                  <c:v>22</c:v>
                </c:pt>
                <c:pt idx="2">
                  <c:v>25</c:v>
                </c:pt>
                <c:pt idx="3">
                  <c:v>25</c:v>
                </c:pt>
                <c:pt idx="4">
                  <c:v>43</c:v>
                </c:pt>
                <c:pt idx="5">
                  <c:v>37</c:v>
                </c:pt>
                <c:pt idx="6">
                  <c:v>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B88-4018-BE0F-525474B9DB8D}"/>
            </c:ext>
          </c:extLst>
        </c:ser>
        <c:ser>
          <c:idx val="8"/>
          <c:order val="7"/>
          <c:tx>
            <c:strRef>
              <c:f>Rolls!$J$1</c:f>
              <c:strCache>
                <c:ptCount val="1"/>
                <c:pt idx="0">
                  <c:v>8d</c:v>
                </c:pt>
              </c:strCache>
            </c:strRef>
          </c:tx>
          <c:spPr>
            <a:ln w="25400">
              <a:noFill/>
            </a:ln>
          </c:spPr>
          <c:val>
            <c:numRef>
              <c:f>Rolls!$J$2:$J$8</c:f>
              <c:numCache>
                <c:formatCode>General</c:formatCode>
                <c:ptCount val="7"/>
                <c:pt idx="0">
                  <c:v>16</c:v>
                </c:pt>
                <c:pt idx="1">
                  <c:v>23</c:v>
                </c:pt>
                <c:pt idx="2">
                  <c:v>33</c:v>
                </c:pt>
                <c:pt idx="3">
                  <c:v>40</c:v>
                </c:pt>
                <c:pt idx="4">
                  <c:v>63</c:v>
                </c:pt>
                <c:pt idx="5">
                  <c:v>39</c:v>
                </c:pt>
                <c:pt idx="6">
                  <c:v>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B88-4018-BE0F-525474B9DB8D}"/>
            </c:ext>
          </c:extLst>
        </c:ser>
        <c:ser>
          <c:idx val="9"/>
          <c:order val="8"/>
          <c:tx>
            <c:strRef>
              <c:f>Rolls!$K$1</c:f>
              <c:strCache>
                <c:ptCount val="1"/>
                <c:pt idx="0">
                  <c:v>9d</c:v>
                </c:pt>
              </c:strCache>
            </c:strRef>
          </c:tx>
          <c:spPr>
            <a:ln w="25400">
              <a:noFill/>
            </a:ln>
          </c:spPr>
          <c:val>
            <c:numRef>
              <c:f>Rolls!$K$2:$K$8</c:f>
              <c:numCache>
                <c:formatCode>General</c:formatCode>
                <c:ptCount val="7"/>
                <c:pt idx="0">
                  <c:v>17</c:v>
                </c:pt>
                <c:pt idx="1">
                  <c:v>22</c:v>
                </c:pt>
                <c:pt idx="2">
                  <c:v>26</c:v>
                </c:pt>
                <c:pt idx="3">
                  <c:v>54</c:v>
                </c:pt>
                <c:pt idx="4">
                  <c:v>64</c:v>
                </c:pt>
                <c:pt idx="5">
                  <c:v>42</c:v>
                </c:pt>
                <c:pt idx="6">
                  <c:v>106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B88-4018-BE0F-525474B9DB8D}"/>
            </c:ext>
          </c:extLst>
        </c:ser>
        <c:ser>
          <c:idx val="5"/>
          <c:order val="9"/>
          <c:tx>
            <c:strRef>
              <c:f>Rolls!$L$1</c:f>
              <c:strCache>
                <c:ptCount val="1"/>
                <c:pt idx="0">
                  <c:v>10d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Rolls!$L$2:$L$8</c:f>
              <c:numCache>
                <c:formatCode>General</c:formatCode>
                <c:ptCount val="7"/>
                <c:pt idx="0">
                  <c:v>22</c:v>
                </c:pt>
                <c:pt idx="1">
                  <c:v>26</c:v>
                </c:pt>
                <c:pt idx="2">
                  <c:v>41</c:v>
                </c:pt>
                <c:pt idx="3">
                  <c:v>48</c:v>
                </c:pt>
                <c:pt idx="4">
                  <c:v>72</c:v>
                </c:pt>
                <c:pt idx="5">
                  <c:v>74</c:v>
                </c:pt>
                <c:pt idx="6">
                  <c:v>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CB6-4C31-8C37-DFB4B61CDC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5236224"/>
        <c:axId val="135582080"/>
        <c:axId val="11550208"/>
      </c:area3DChart>
      <c:catAx>
        <c:axId val="1352362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35582080"/>
        <c:crosses val="autoZero"/>
        <c:auto val="1"/>
        <c:lblAlgn val="ctr"/>
        <c:lblOffset val="100"/>
        <c:noMultiLvlLbl val="0"/>
      </c:catAx>
      <c:valAx>
        <c:axId val="13558208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35236224"/>
        <c:crosses val="autoZero"/>
        <c:crossBetween val="midCat"/>
      </c:valAx>
      <c:serAx>
        <c:axId val="1155020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900" baseline="0">
                <a:latin typeface="Times New Roman" pitchFamily="18" charset="0"/>
              </a:defRPr>
            </a:pPr>
            <a:endParaRPr lang="en-US"/>
          </a:p>
        </c:txPr>
        <c:crossAx val="135582080"/>
        <c:crosses val="autoZero"/>
      </c:ser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surface3DChart>
        <c:wireframe val="0"/>
        <c:ser>
          <c:idx val="0"/>
          <c:order val="0"/>
          <c:tx>
            <c:strRef>
              <c:f>Rolls!$B$2</c:f>
              <c:strCache>
                <c:ptCount val="1"/>
                <c:pt idx="0">
                  <c:v>d3 roll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Rolls!$C$2:$L$2</c:f>
              <c:numCache>
                <c:formatCode>General</c:formatCode>
                <c:ptCount val="10"/>
                <c:pt idx="0">
                  <c:v>1</c:v>
                </c:pt>
                <c:pt idx="1">
                  <c:v>3</c:v>
                </c:pt>
                <c:pt idx="2">
                  <c:v>8</c:v>
                </c:pt>
                <c:pt idx="3">
                  <c:v>6</c:v>
                </c:pt>
                <c:pt idx="4">
                  <c:v>9</c:v>
                </c:pt>
                <c:pt idx="5">
                  <c:v>15</c:v>
                </c:pt>
                <c:pt idx="6">
                  <c:v>16</c:v>
                </c:pt>
                <c:pt idx="7">
                  <c:v>16</c:v>
                </c:pt>
                <c:pt idx="8">
                  <c:v>17</c:v>
                </c:pt>
                <c:pt idx="9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57-4579-BFB9-E8F3A185F476}"/>
            </c:ext>
          </c:extLst>
        </c:ser>
        <c:ser>
          <c:idx val="1"/>
          <c:order val="1"/>
          <c:tx>
            <c:strRef>
              <c:f>Rolls!$B$3</c:f>
              <c:strCache>
                <c:ptCount val="1"/>
                <c:pt idx="0">
                  <c:v>d4 roll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Rolls!$C$3:$L$3</c:f>
              <c:numCache>
                <c:formatCode>General</c:formatCode>
                <c:ptCount val="10"/>
                <c:pt idx="0">
                  <c:v>4</c:v>
                </c:pt>
                <c:pt idx="1">
                  <c:v>5</c:v>
                </c:pt>
                <c:pt idx="2">
                  <c:v>7</c:v>
                </c:pt>
                <c:pt idx="3">
                  <c:v>10</c:v>
                </c:pt>
                <c:pt idx="4">
                  <c:v>12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22</c:v>
                </c:pt>
                <c:pt idx="9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557-4579-BFB9-E8F3A185F476}"/>
            </c:ext>
          </c:extLst>
        </c:ser>
        <c:ser>
          <c:idx val="2"/>
          <c:order val="2"/>
          <c:tx>
            <c:strRef>
              <c:f>Rolls!$B$4</c:f>
              <c:strCache>
                <c:ptCount val="1"/>
                <c:pt idx="0">
                  <c:v>d6 roll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Rolls!$C$4:$L$4</c:f>
              <c:numCache>
                <c:formatCode>General</c:formatCode>
                <c:ptCount val="10"/>
                <c:pt idx="0">
                  <c:v>2</c:v>
                </c:pt>
                <c:pt idx="1">
                  <c:v>11</c:v>
                </c:pt>
                <c:pt idx="2">
                  <c:v>6</c:v>
                </c:pt>
                <c:pt idx="3">
                  <c:v>17</c:v>
                </c:pt>
                <c:pt idx="4">
                  <c:v>20</c:v>
                </c:pt>
                <c:pt idx="5">
                  <c:v>21</c:v>
                </c:pt>
                <c:pt idx="6">
                  <c:v>25</c:v>
                </c:pt>
                <c:pt idx="7">
                  <c:v>33</c:v>
                </c:pt>
                <c:pt idx="8">
                  <c:v>26</c:v>
                </c:pt>
                <c:pt idx="9">
                  <c:v>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557-4579-BFB9-E8F3A185F476}"/>
            </c:ext>
          </c:extLst>
        </c:ser>
        <c:ser>
          <c:idx val="3"/>
          <c:order val="3"/>
          <c:tx>
            <c:strRef>
              <c:f>Rolls!$B$5</c:f>
              <c:strCache>
                <c:ptCount val="1"/>
                <c:pt idx="0">
                  <c:v>d8 roll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Rolls!$C$5:$L$5</c:f>
              <c:numCache>
                <c:formatCode>General</c:formatCode>
                <c:ptCount val="10"/>
                <c:pt idx="0">
                  <c:v>6</c:v>
                </c:pt>
                <c:pt idx="1">
                  <c:v>13</c:v>
                </c:pt>
                <c:pt idx="2">
                  <c:v>11</c:v>
                </c:pt>
                <c:pt idx="3">
                  <c:v>24</c:v>
                </c:pt>
                <c:pt idx="4">
                  <c:v>20</c:v>
                </c:pt>
                <c:pt idx="5">
                  <c:v>36</c:v>
                </c:pt>
                <c:pt idx="6">
                  <c:v>25</c:v>
                </c:pt>
                <c:pt idx="7">
                  <c:v>40</c:v>
                </c:pt>
                <c:pt idx="8">
                  <c:v>54</c:v>
                </c:pt>
                <c:pt idx="9">
                  <c:v>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557-4579-BFB9-E8F3A185F476}"/>
            </c:ext>
          </c:extLst>
        </c:ser>
        <c:ser>
          <c:idx val="4"/>
          <c:order val="4"/>
          <c:tx>
            <c:strRef>
              <c:f>Rolls!$B$6</c:f>
              <c:strCache>
                <c:ptCount val="1"/>
                <c:pt idx="0">
                  <c:v>d10 roll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Rolls!$C$6:$L$6</c:f>
              <c:numCache>
                <c:formatCode>General</c:formatCode>
                <c:ptCount val="10"/>
                <c:pt idx="0">
                  <c:v>4</c:v>
                </c:pt>
                <c:pt idx="1">
                  <c:v>10</c:v>
                </c:pt>
                <c:pt idx="2">
                  <c:v>9</c:v>
                </c:pt>
                <c:pt idx="3">
                  <c:v>32</c:v>
                </c:pt>
                <c:pt idx="4">
                  <c:v>28</c:v>
                </c:pt>
                <c:pt idx="5">
                  <c:v>31</c:v>
                </c:pt>
                <c:pt idx="6">
                  <c:v>43</c:v>
                </c:pt>
                <c:pt idx="7">
                  <c:v>63</c:v>
                </c:pt>
                <c:pt idx="8">
                  <c:v>64</c:v>
                </c:pt>
                <c:pt idx="9">
                  <c:v>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557-4579-BFB9-E8F3A185F476}"/>
            </c:ext>
          </c:extLst>
        </c:ser>
        <c:ser>
          <c:idx val="5"/>
          <c:order val="5"/>
          <c:tx>
            <c:strRef>
              <c:f>Rolls!$B$7</c:f>
              <c:strCache>
                <c:ptCount val="1"/>
                <c:pt idx="0">
                  <c:v>d12 roll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Rolls!$C$7:$L$7</c:f>
              <c:numCache>
                <c:formatCode>General</c:formatCode>
                <c:ptCount val="10"/>
                <c:pt idx="0">
                  <c:v>2</c:v>
                </c:pt>
                <c:pt idx="1">
                  <c:v>9</c:v>
                </c:pt>
                <c:pt idx="2">
                  <c:v>27</c:v>
                </c:pt>
                <c:pt idx="3">
                  <c:v>31</c:v>
                </c:pt>
                <c:pt idx="4">
                  <c:v>26</c:v>
                </c:pt>
                <c:pt idx="5">
                  <c:v>29</c:v>
                </c:pt>
                <c:pt idx="6">
                  <c:v>37</c:v>
                </c:pt>
                <c:pt idx="7">
                  <c:v>39</c:v>
                </c:pt>
                <c:pt idx="8">
                  <c:v>42</c:v>
                </c:pt>
                <c:pt idx="9">
                  <c:v>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557-4579-BFB9-E8F3A185F476}"/>
            </c:ext>
          </c:extLst>
        </c:ser>
        <c:ser>
          <c:idx val="6"/>
          <c:order val="6"/>
          <c:tx>
            <c:strRef>
              <c:f>Rolls!$B$8</c:f>
              <c:strCache>
                <c:ptCount val="1"/>
                <c:pt idx="0">
                  <c:v>d20 roll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Rolls!$C$8:$L$8</c:f>
              <c:numCache>
                <c:formatCode>General</c:formatCode>
                <c:ptCount val="10"/>
                <c:pt idx="0">
                  <c:v>12</c:v>
                </c:pt>
                <c:pt idx="1">
                  <c:v>30</c:v>
                </c:pt>
                <c:pt idx="2">
                  <c:v>28</c:v>
                </c:pt>
                <c:pt idx="3">
                  <c:v>53</c:v>
                </c:pt>
                <c:pt idx="4">
                  <c:v>38</c:v>
                </c:pt>
                <c:pt idx="5">
                  <c:v>60</c:v>
                </c:pt>
                <c:pt idx="6">
                  <c:v>75</c:v>
                </c:pt>
                <c:pt idx="7">
                  <c:v>75</c:v>
                </c:pt>
                <c:pt idx="8">
                  <c:v>106</c:v>
                </c:pt>
                <c:pt idx="9">
                  <c:v>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557-4579-BFB9-E8F3A185F476}"/>
            </c:ext>
          </c:extLst>
        </c:ser>
        <c:bandFmts/>
        <c:axId val="74263936"/>
        <c:axId val="74273920"/>
        <c:axId val="67918464"/>
      </c:surface3DChart>
      <c:catAx>
        <c:axId val="742639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74273920"/>
        <c:crosses val="autoZero"/>
        <c:auto val="1"/>
        <c:lblAlgn val="ctr"/>
        <c:lblOffset val="100"/>
        <c:noMultiLvlLbl val="0"/>
      </c:catAx>
      <c:valAx>
        <c:axId val="7427392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74263936"/>
        <c:crosses val="autoZero"/>
        <c:crossBetween val="midCat"/>
      </c:valAx>
      <c:serAx>
        <c:axId val="6791846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74273920"/>
        <c:crosses val="autoZero"/>
      </c:serAx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228599</xdr:colOff>
      <xdr:row>0</xdr:row>
      <xdr:rowOff>66674</xdr:rowOff>
    </xdr:from>
    <xdr:to>
      <xdr:col>26</xdr:col>
      <xdr:colOff>447675</xdr:colOff>
      <xdr:row>16</xdr:row>
      <xdr:rowOff>47625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93344</xdr:colOff>
      <xdr:row>0</xdr:row>
      <xdr:rowOff>74295</xdr:rowOff>
    </xdr:from>
    <xdr:to>
      <xdr:col>19</xdr:col>
      <xdr:colOff>226695</xdr:colOff>
      <xdr:row>16</xdr:row>
      <xdr:rowOff>46637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</xdr:colOff>
      <xdr:row>16</xdr:row>
      <xdr:rowOff>47625</xdr:rowOff>
    </xdr:from>
    <xdr:to>
      <xdr:col>19</xdr:col>
      <xdr:colOff>238126</xdr:colOff>
      <xdr:row>32</xdr:row>
      <xdr:rowOff>19050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wner/AppData/Local/Microsoft/Windows/Temporary%20Internet%20Files/Content.IE5/1ZEGTV8N/SpellForge_3.5_4.5.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portSheet"/>
      <sheetName val="Notes"/>
      <sheetName val="Options"/>
      <sheetName val="Race &amp; Stats"/>
      <sheetName val="Classes"/>
      <sheetName val="Domain Select"/>
      <sheetName val="Prestige Classes"/>
      <sheetName val="Feats"/>
      <sheetName val="Archivist Spells"/>
      <sheetName val="Assassin Spells"/>
      <sheetName val="Bard Spells"/>
      <sheetName val="Cleric Spells"/>
      <sheetName val="Corrupt Avenger Spells"/>
      <sheetName val="Druid Spells"/>
      <sheetName val="Duskblade Spells"/>
      <sheetName val="Emissary Spells"/>
      <sheetName val="Favored Soul Spells"/>
      <sheetName val="Gnome Artificer Devices"/>
      <sheetName val="Hexblade Spells"/>
      <sheetName val="Shugenja Spells"/>
      <sheetName val="Sorcerer Spells"/>
      <sheetName val="Spellthief Spells"/>
      <sheetName val="Spirit Shaman Spells"/>
      <sheetName val="Sublime Chord Spells"/>
      <sheetName val="Suel Arcanamach Spells"/>
      <sheetName val="Universal Caster"/>
      <sheetName val="Vigilante Spells"/>
      <sheetName val="Warlock Invocations"/>
      <sheetName val="Wizard Spells"/>
      <sheetName val="Wu Jen Spells"/>
      <sheetName val="All Spells"/>
      <sheetName val="Fist of Zuoken Powers"/>
      <sheetName val="Psion Powers"/>
      <sheetName val="Psychic Warrior Powers"/>
      <sheetName val="War Mind Powers"/>
      <sheetName val="Wilder Powers"/>
      <sheetName val="Spell Sheet"/>
      <sheetName val="Power Sheet"/>
      <sheetName val="SpellList"/>
      <sheetName val="PowerList"/>
      <sheetName val="Class Info"/>
      <sheetName val="Class Info Aux"/>
      <sheetName val="Race Info"/>
      <sheetName val="Tables"/>
      <sheetName val="Deities"/>
      <sheetName val="Domains"/>
      <sheetName val="Spell Information"/>
      <sheetName val="Spells per Day"/>
      <sheetName val="Spells Known"/>
      <sheetName val="Psionic Informa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>
        <row r="1">
          <cell r="FH1" t="b">
            <v>0</v>
          </cell>
        </row>
      </sheetData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5"/>
  <sheetViews>
    <sheetView showGridLines="0" tabSelected="1" zoomScaleNormal="100" workbookViewId="0"/>
  </sheetViews>
  <sheetFormatPr defaultRowHeight="15.6" x14ac:dyDescent="0.3"/>
  <cols>
    <col min="1" max="1" width="10.296875" style="43" bestFit="1" customWidth="1"/>
    <col min="2" max="2" width="6.296875" style="48" bestFit="1" customWidth="1"/>
    <col min="3" max="3" width="8.5" style="48" bestFit="1" customWidth="1"/>
    <col min="4" max="4" width="4.296875" style="48" bestFit="1" customWidth="1"/>
    <col min="5" max="5" width="8.3984375" style="48" bestFit="1" customWidth="1"/>
    <col min="6" max="6" width="6" style="48" bestFit="1" customWidth="1"/>
    <col min="7" max="7" width="3" style="43" customWidth="1"/>
    <col min="8" max="8" width="14.09765625" style="43" bestFit="1" customWidth="1"/>
    <col min="9" max="9" width="4.8984375" style="43" bestFit="1" customWidth="1"/>
    <col min="10" max="10" width="24.19921875" style="43" bestFit="1" customWidth="1"/>
    <col min="11" max="11" width="3" style="43" customWidth="1"/>
    <col min="12" max="12" width="15" style="43" customWidth="1"/>
    <col min="13" max="13" width="4.3984375" style="43" bestFit="1" customWidth="1"/>
    <col min="14" max="14" width="24.296875" style="43" bestFit="1" customWidth="1"/>
    <col min="15" max="16384" width="8.796875" style="43"/>
  </cols>
  <sheetData>
    <row r="1" spans="1:14" s="38" customFormat="1" ht="31.8" thickBot="1" x14ac:dyDescent="0.35">
      <c r="A1" s="156" t="s">
        <v>0</v>
      </c>
      <c r="B1" s="156" t="s">
        <v>1</v>
      </c>
      <c r="C1" s="156" t="s">
        <v>2</v>
      </c>
      <c r="D1" s="157" t="s">
        <v>3</v>
      </c>
      <c r="E1" s="37" t="s">
        <v>4</v>
      </c>
      <c r="F1" s="156" t="s">
        <v>107</v>
      </c>
      <c r="H1" s="39" t="s">
        <v>106</v>
      </c>
      <c r="I1" s="39"/>
      <c r="J1" s="39"/>
      <c r="K1" s="39"/>
      <c r="L1" s="39" t="s">
        <v>80</v>
      </c>
      <c r="M1" s="39"/>
      <c r="N1" s="39"/>
    </row>
    <row r="2" spans="1:14" ht="16.8" thickTop="1" thickBot="1" x14ac:dyDescent="0.35">
      <c r="A2" s="142" t="s">
        <v>148</v>
      </c>
      <c r="B2" s="142">
        <v>1</v>
      </c>
      <c r="C2" s="44">
        <v>1</v>
      </c>
      <c r="D2" s="45">
        <v>17</v>
      </c>
      <c r="E2" s="44">
        <f t="shared" ref="E2:E6" si="0">SUM(C2:D2)</f>
        <v>18</v>
      </c>
      <c r="F2" s="44" t="s">
        <v>5</v>
      </c>
      <c r="H2" s="66" t="s">
        <v>0</v>
      </c>
      <c r="I2" s="67" t="s">
        <v>20</v>
      </c>
      <c r="J2" s="68" t="s">
        <v>105</v>
      </c>
      <c r="L2" s="122" t="s">
        <v>0</v>
      </c>
      <c r="M2" s="123" t="s">
        <v>81</v>
      </c>
      <c r="N2" s="124" t="s">
        <v>63</v>
      </c>
    </row>
    <row r="3" spans="1:14" x14ac:dyDescent="0.3">
      <c r="A3" s="58" t="s">
        <v>124</v>
      </c>
      <c r="B3" s="58">
        <v>1</v>
      </c>
      <c r="C3" s="44">
        <v>4</v>
      </c>
      <c r="D3" s="45">
        <v>11</v>
      </c>
      <c r="E3" s="44">
        <f t="shared" si="0"/>
        <v>15</v>
      </c>
      <c r="F3" s="44" t="s">
        <v>5</v>
      </c>
      <c r="H3" s="170" t="s">
        <v>122</v>
      </c>
      <c r="I3" s="58">
        <v>11</v>
      </c>
      <c r="J3" s="178" t="s">
        <v>125</v>
      </c>
      <c r="L3" s="125" t="s">
        <v>148</v>
      </c>
      <c r="M3" s="112">
        <v>13</v>
      </c>
      <c r="N3" s="126" t="s">
        <v>150</v>
      </c>
    </row>
    <row r="4" spans="1:14" x14ac:dyDescent="0.3">
      <c r="A4" s="65" t="s">
        <v>97</v>
      </c>
      <c r="B4" s="65">
        <v>1</v>
      </c>
      <c r="C4" s="44">
        <v>3</v>
      </c>
      <c r="D4" s="45">
        <v>8</v>
      </c>
      <c r="E4" s="44">
        <f t="shared" si="0"/>
        <v>11</v>
      </c>
      <c r="F4" s="44" t="s">
        <v>95</v>
      </c>
      <c r="H4" s="69" t="s">
        <v>97</v>
      </c>
      <c r="I4" s="65">
        <v>11</v>
      </c>
      <c r="J4" s="70" t="s">
        <v>103</v>
      </c>
      <c r="L4" s="125"/>
      <c r="M4" s="112"/>
      <c r="N4" s="126"/>
    </row>
    <row r="5" spans="1:14" ht="16.2" thickBot="1" x14ac:dyDescent="0.35">
      <c r="A5" s="65" t="s">
        <v>104</v>
      </c>
      <c r="B5" s="65">
        <v>1</v>
      </c>
      <c r="C5" s="44">
        <v>2</v>
      </c>
      <c r="D5" s="45">
        <v>7</v>
      </c>
      <c r="E5" s="44">
        <f t="shared" si="0"/>
        <v>9</v>
      </c>
      <c r="F5" s="44" t="s">
        <v>5</v>
      </c>
      <c r="H5" s="69" t="s">
        <v>104</v>
      </c>
      <c r="I5" s="65">
        <v>11</v>
      </c>
      <c r="J5" s="70" t="s">
        <v>116</v>
      </c>
      <c r="L5" s="164"/>
      <c r="M5" s="165"/>
      <c r="N5" s="166"/>
    </row>
    <row r="6" spans="1:14" ht="16.2" thickBot="1" x14ac:dyDescent="0.35">
      <c r="A6" s="58" t="s">
        <v>122</v>
      </c>
      <c r="B6" s="58">
        <v>1</v>
      </c>
      <c r="C6" s="44">
        <v>2</v>
      </c>
      <c r="D6" s="45">
        <v>2</v>
      </c>
      <c r="E6" s="44">
        <f t="shared" si="0"/>
        <v>4</v>
      </c>
      <c r="F6" s="44" t="s">
        <v>5</v>
      </c>
      <c r="H6" s="191" t="s">
        <v>124</v>
      </c>
      <c r="I6" s="192">
        <v>11</v>
      </c>
      <c r="J6" s="193" t="s">
        <v>126</v>
      </c>
      <c r="L6" s="127" t="s">
        <v>21</v>
      </c>
      <c r="M6" s="155">
        <f>SUM(M3:M5)</f>
        <v>13</v>
      </c>
      <c r="N6" s="169" t="str">
        <f>CONCATENATE("Average Level: ",ROUND(AVERAGE(M3:M5),0))</f>
        <v>Average Level: 13</v>
      </c>
    </row>
    <row r="7" spans="1:14" x14ac:dyDescent="0.3">
      <c r="B7" s="43"/>
      <c r="C7" s="43"/>
      <c r="E7" s="43"/>
      <c r="F7" s="43"/>
      <c r="H7" s="71" t="s">
        <v>21</v>
      </c>
      <c r="I7" s="72">
        <f>SUM(I3:I6)</f>
        <v>44</v>
      </c>
      <c r="J7" s="168" t="str">
        <f>CONCATENATE("Average Level: ",ROUND(AVERAGE(I3:I6),0))</f>
        <v>Average Level: 11</v>
      </c>
      <c r="L7" s="127" t="s">
        <v>94</v>
      </c>
      <c r="M7" s="128">
        <f>AVERAGE(M3:M5)</f>
        <v>13</v>
      </c>
      <c r="N7" s="126"/>
    </row>
    <row r="8" spans="1:14" ht="16.2" thickBot="1" x14ac:dyDescent="0.35">
      <c r="D8" s="45">
        <f t="shared" ref="D8" ca="1" si="1">RANDBETWEEN(1,20)</f>
        <v>13</v>
      </c>
      <c r="H8" s="71" t="s">
        <v>22</v>
      </c>
      <c r="I8" s="72">
        <f>COUNT(I3:I6)</f>
        <v>4</v>
      </c>
      <c r="J8" s="73"/>
      <c r="L8" s="129" t="s">
        <v>22</v>
      </c>
      <c r="M8" s="130">
        <f>COUNT(M3:M5)</f>
        <v>1</v>
      </c>
      <c r="N8" s="131"/>
    </row>
    <row r="9" spans="1:14" ht="16.2" thickTop="1" x14ac:dyDescent="0.3">
      <c r="H9" s="71" t="s">
        <v>24</v>
      </c>
      <c r="I9" s="74">
        <f>I7/4</f>
        <v>11</v>
      </c>
      <c r="J9" s="70" t="s">
        <v>25</v>
      </c>
    </row>
    <row r="10" spans="1:14" ht="16.2" thickBot="1" x14ac:dyDescent="0.35">
      <c r="H10" s="75" t="s">
        <v>26</v>
      </c>
      <c r="I10" s="76">
        <f>I9*2</f>
        <v>22</v>
      </c>
      <c r="J10" s="77" t="s">
        <v>27</v>
      </c>
      <c r="N10" s="78"/>
    </row>
    <row r="11" spans="1:14" ht="16.2" thickTop="1" x14ac:dyDescent="0.3">
      <c r="L11" s="79" t="s">
        <v>28</v>
      </c>
      <c r="M11" s="80">
        <f>I9</f>
        <v>11</v>
      </c>
      <c r="N11" s="78"/>
    </row>
    <row r="12" spans="1:14" x14ac:dyDescent="0.3">
      <c r="L12" s="79" t="s">
        <v>29</v>
      </c>
      <c r="M12" s="80">
        <f>I10</f>
        <v>22</v>
      </c>
      <c r="N12" s="78"/>
    </row>
    <row r="13" spans="1:14" x14ac:dyDescent="0.3">
      <c r="L13" s="79" t="s">
        <v>30</v>
      </c>
      <c r="M13" s="80">
        <f>I7</f>
        <v>44</v>
      </c>
      <c r="N13" s="78"/>
    </row>
    <row r="15" spans="1:14" x14ac:dyDescent="0.3">
      <c r="L15" s="81" t="s">
        <v>31</v>
      </c>
      <c r="M15" s="80">
        <f>M6</f>
        <v>13</v>
      </c>
    </row>
  </sheetData>
  <sortState xmlns:xlrd2="http://schemas.microsoft.com/office/spreadsheetml/2017/richdata2" ref="A2:F8">
    <sortCondition descending="1" ref="E2:E8"/>
    <sortCondition descending="1" ref="C2:C8"/>
  </sortState>
  <conditionalFormatting sqref="M15">
    <cfRule type="cellIs" dxfId="23" priority="1434" operator="greaterThan">
      <formula>$M$13</formula>
    </cfRule>
    <cfRule type="cellIs" dxfId="22" priority="1435" operator="between">
      <formula>$M$12</formula>
      <formula>$M$13</formula>
    </cfRule>
    <cfRule type="cellIs" dxfId="21" priority="1436" operator="between">
      <formula>$M$11</formula>
      <formula>$M$12</formula>
    </cfRule>
    <cfRule type="cellIs" dxfId="20" priority="1437" operator="lessThan">
      <formula>$M$11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20"/>
  <sheetViews>
    <sheetView showGridLines="0" zoomScaleNormal="100" workbookViewId="0">
      <pane ySplit="1" topLeftCell="A2" activePane="bottomLeft" state="frozen"/>
      <selection pane="bottomLeft" activeCell="A2" sqref="A2"/>
    </sheetView>
  </sheetViews>
  <sheetFormatPr defaultRowHeight="15.6" x14ac:dyDescent="0.3"/>
  <cols>
    <col min="1" max="1" width="15.8984375" style="48" bestFit="1" customWidth="1"/>
    <col min="2" max="2" width="16.3984375" style="48" bestFit="1" customWidth="1"/>
    <col min="3" max="3" width="7.296875" style="48" bestFit="1" customWidth="1"/>
    <col min="4" max="4" width="3.59765625" style="48" bestFit="1" customWidth="1"/>
    <col min="5" max="5" width="7.796875" style="48" bestFit="1" customWidth="1"/>
    <col min="6" max="6" width="8" style="48" bestFit="1" customWidth="1"/>
    <col min="7" max="7" width="9" style="48" bestFit="1" customWidth="1"/>
    <col min="8" max="8" width="6.796875" style="48" bestFit="1" customWidth="1"/>
    <col min="9" max="9" width="7.5" style="48" bestFit="1" customWidth="1"/>
    <col min="10" max="10" width="8.5" style="48" bestFit="1" customWidth="1"/>
    <col min="11" max="11" width="8.796875" style="48" bestFit="1" customWidth="1"/>
    <col min="12" max="12" width="7.296875" style="56" bestFit="1" customWidth="1"/>
    <col min="13" max="13" width="7.5" style="56" bestFit="1" customWidth="1"/>
    <col min="14" max="14" width="2.296875" style="48" customWidth="1"/>
    <col min="15" max="15" width="7.59765625" style="48" bestFit="1" customWidth="1"/>
    <col min="16" max="16" width="6.3984375" style="48" bestFit="1" customWidth="1"/>
    <col min="17" max="17" width="7.796875" style="48" bestFit="1" customWidth="1"/>
    <col min="18" max="18" width="9" style="48" bestFit="1" customWidth="1"/>
    <col min="19" max="19" width="7.59765625" style="48" bestFit="1" customWidth="1"/>
    <col min="20" max="20" width="9" style="48" bestFit="1" customWidth="1"/>
    <col min="21" max="16384" width="8.796875" style="48"/>
  </cols>
  <sheetData>
    <row r="1" spans="1:20" s="52" customFormat="1" ht="31.8" thickBot="1" x14ac:dyDescent="0.35">
      <c r="A1" s="161" t="s">
        <v>70</v>
      </c>
      <c r="B1" s="161" t="s">
        <v>71</v>
      </c>
      <c r="C1" s="161" t="s">
        <v>72</v>
      </c>
      <c r="D1" s="161" t="s">
        <v>73</v>
      </c>
      <c r="E1" s="161" t="s">
        <v>92</v>
      </c>
      <c r="F1" s="161" t="s">
        <v>91</v>
      </c>
      <c r="G1" s="161" t="s">
        <v>90</v>
      </c>
      <c r="H1" s="161" t="s">
        <v>89</v>
      </c>
      <c r="I1" s="161" t="s">
        <v>93</v>
      </c>
      <c r="J1" s="161" t="s">
        <v>74</v>
      </c>
      <c r="K1" s="161" t="s">
        <v>75</v>
      </c>
      <c r="L1" s="161" t="s">
        <v>76</v>
      </c>
      <c r="M1" s="161" t="s">
        <v>77</v>
      </c>
      <c r="O1" s="146" t="s">
        <v>78</v>
      </c>
      <c r="P1" s="62">
        <v>1</v>
      </c>
      <c r="Q1" s="147" t="s">
        <v>100</v>
      </c>
      <c r="R1" s="148">
        <v>0.5</v>
      </c>
      <c r="S1" s="149" t="s">
        <v>101</v>
      </c>
      <c r="T1" s="148">
        <f>R1+((P1)/(24*60*10))</f>
        <v>0.50006944444444446</v>
      </c>
    </row>
    <row r="2" spans="1:20" ht="16.8" x14ac:dyDescent="0.3">
      <c r="A2" s="160" t="s">
        <v>104</v>
      </c>
      <c r="B2" s="87" t="s">
        <v>118</v>
      </c>
      <c r="C2" s="87"/>
      <c r="D2" s="53">
        <v>8</v>
      </c>
      <c r="E2" s="158" t="s">
        <v>79</v>
      </c>
      <c r="F2" s="158" t="s">
        <v>114</v>
      </c>
      <c r="G2" s="158" t="s">
        <v>79</v>
      </c>
      <c r="H2" s="158" t="s">
        <v>79</v>
      </c>
      <c r="I2" s="87"/>
      <c r="J2" s="87">
        <f t="shared" ref="J2:J20" si="0">IF($E2="þ",$D2,IF($F2="þ",($D2*10),IF($G2="þ",($D2*100),IF($H2="þ",($D2*600),$I2))))</f>
        <v>80</v>
      </c>
      <c r="K2" s="87">
        <f t="shared" ref="K2" si="1">J2+C2</f>
        <v>80</v>
      </c>
      <c r="L2" s="54" t="s">
        <v>79</v>
      </c>
      <c r="M2" s="159" t="str">
        <f t="shared" ref="M2:M8" si="2">IF(C2="","",IF(K2&lt;=$P$1,"þ","q"))</f>
        <v/>
      </c>
    </row>
    <row r="3" spans="1:20" ht="16.8" x14ac:dyDescent="0.3">
      <c r="A3" s="137" t="s">
        <v>104</v>
      </c>
      <c r="B3" s="53" t="s">
        <v>119</v>
      </c>
      <c r="C3" s="53">
        <v>126</v>
      </c>
      <c r="D3" s="53">
        <v>8</v>
      </c>
      <c r="E3" s="54" t="s">
        <v>114</v>
      </c>
      <c r="F3" s="158" t="s">
        <v>79</v>
      </c>
      <c r="G3" s="54" t="s">
        <v>79</v>
      </c>
      <c r="H3" s="54" t="s">
        <v>79</v>
      </c>
      <c r="I3" s="53"/>
      <c r="J3" s="53">
        <f>IF($E3="þ",$D3,IF($F3="þ",($D3*10),IF($G3="þ",($D3*100),IF($H3="þ",($D3*600),$I3))))</f>
        <v>8</v>
      </c>
      <c r="K3" s="53">
        <f t="shared" ref="K3:K4" si="3">J3+C3</f>
        <v>134</v>
      </c>
      <c r="L3" s="54" t="s">
        <v>114</v>
      </c>
      <c r="M3" s="55" t="str">
        <f t="shared" si="2"/>
        <v>q</v>
      </c>
    </row>
    <row r="4" spans="1:20" ht="16.8" x14ac:dyDescent="0.3">
      <c r="A4" s="137" t="s">
        <v>104</v>
      </c>
      <c r="B4" s="163" t="s">
        <v>141</v>
      </c>
      <c r="C4" s="53">
        <v>94</v>
      </c>
      <c r="D4" s="53">
        <v>8</v>
      </c>
      <c r="E4" s="54" t="s">
        <v>79</v>
      </c>
      <c r="F4" s="54" t="s">
        <v>114</v>
      </c>
      <c r="G4" s="54" t="s">
        <v>79</v>
      </c>
      <c r="H4" s="54" t="s">
        <v>79</v>
      </c>
      <c r="I4" s="53"/>
      <c r="J4" s="53">
        <f t="shared" si="0"/>
        <v>80</v>
      </c>
      <c r="K4" s="53">
        <f t="shared" si="3"/>
        <v>174</v>
      </c>
      <c r="L4" s="54" t="s">
        <v>114</v>
      </c>
      <c r="M4" s="55" t="str">
        <f t="shared" si="2"/>
        <v>q</v>
      </c>
    </row>
    <row r="5" spans="1:20" ht="16.8" x14ac:dyDescent="0.3">
      <c r="A5" s="137" t="s">
        <v>104</v>
      </c>
      <c r="B5" s="163" t="s">
        <v>147</v>
      </c>
      <c r="C5" s="53">
        <v>189</v>
      </c>
      <c r="D5" s="53">
        <v>8</v>
      </c>
      <c r="E5" s="54" t="s">
        <v>79</v>
      </c>
      <c r="F5" s="54" t="s">
        <v>114</v>
      </c>
      <c r="G5" s="54" t="s">
        <v>79</v>
      </c>
      <c r="H5" s="54" t="s">
        <v>79</v>
      </c>
      <c r="I5" s="53"/>
      <c r="J5" s="53">
        <f t="shared" si="0"/>
        <v>80</v>
      </c>
      <c r="K5" s="53">
        <f t="shared" ref="K5:K6" si="4">J5+C5</f>
        <v>269</v>
      </c>
      <c r="L5" s="54" t="s">
        <v>114</v>
      </c>
      <c r="M5" s="55" t="str">
        <f t="shared" ref="M5" si="5">IF(C5="","",IF(K5&lt;=$P$1,"þ","q"))</f>
        <v>q</v>
      </c>
      <c r="O5" s="64"/>
      <c r="Q5" s="64"/>
    </row>
    <row r="6" spans="1:20" ht="16.8" x14ac:dyDescent="0.3">
      <c r="A6" s="57" t="s">
        <v>97</v>
      </c>
      <c r="B6" s="53" t="s">
        <v>140</v>
      </c>
      <c r="C6" s="53"/>
      <c r="D6" s="53">
        <v>5</v>
      </c>
      <c r="E6" s="54" t="s">
        <v>79</v>
      </c>
      <c r="F6" s="54" t="s">
        <v>79</v>
      </c>
      <c r="G6" s="54" t="s">
        <v>79</v>
      </c>
      <c r="H6" s="54" t="s">
        <v>79</v>
      </c>
      <c r="I6" s="53"/>
      <c r="J6" s="53">
        <f t="shared" si="0"/>
        <v>0</v>
      </c>
      <c r="K6" s="53">
        <f t="shared" si="4"/>
        <v>0</v>
      </c>
      <c r="L6" s="54" t="s">
        <v>114</v>
      </c>
      <c r="M6" s="55" t="str">
        <f t="shared" si="2"/>
        <v/>
      </c>
      <c r="O6" s="64"/>
      <c r="Q6" s="64"/>
    </row>
    <row r="7" spans="1:20" ht="16.8" x14ac:dyDescent="0.3">
      <c r="A7" s="57" t="s">
        <v>97</v>
      </c>
      <c r="B7" s="53"/>
      <c r="C7" s="53"/>
      <c r="D7" s="53"/>
      <c r="E7" s="54" t="s">
        <v>79</v>
      </c>
      <c r="F7" s="54" t="s">
        <v>114</v>
      </c>
      <c r="G7" s="54" t="s">
        <v>79</v>
      </c>
      <c r="H7" s="54" t="s">
        <v>79</v>
      </c>
      <c r="I7" s="53"/>
      <c r="J7" s="53">
        <f t="shared" si="0"/>
        <v>0</v>
      </c>
      <c r="K7" s="53">
        <f t="shared" ref="K7" si="6">J7+C7</f>
        <v>0</v>
      </c>
      <c r="L7" s="54" t="s">
        <v>114</v>
      </c>
      <c r="M7" s="55" t="str">
        <f t="shared" si="2"/>
        <v/>
      </c>
      <c r="O7" s="64"/>
      <c r="Q7" s="64"/>
    </row>
    <row r="8" spans="1:20" ht="16.8" x14ac:dyDescent="0.3">
      <c r="A8" s="171" t="s">
        <v>122</v>
      </c>
      <c r="B8" s="154" t="s">
        <v>123</v>
      </c>
      <c r="C8" s="53"/>
      <c r="D8" s="53">
        <v>11</v>
      </c>
      <c r="E8" s="54" t="s">
        <v>114</v>
      </c>
      <c r="F8" s="54" t="s">
        <v>79</v>
      </c>
      <c r="G8" s="54" t="s">
        <v>79</v>
      </c>
      <c r="H8" s="54" t="s">
        <v>79</v>
      </c>
      <c r="I8" s="53"/>
      <c r="J8" s="53">
        <f t="shared" si="0"/>
        <v>11</v>
      </c>
      <c r="K8" s="53">
        <f t="shared" ref="K8" si="7">J8+C8</f>
        <v>11</v>
      </c>
      <c r="L8" s="54" t="s">
        <v>114</v>
      </c>
      <c r="M8" s="55" t="str">
        <f t="shared" si="2"/>
        <v/>
      </c>
      <c r="O8" s="64"/>
      <c r="Q8" s="64"/>
    </row>
    <row r="9" spans="1:20" ht="16.8" x14ac:dyDescent="0.3">
      <c r="A9" s="171" t="s">
        <v>122</v>
      </c>
      <c r="B9" s="154" t="s">
        <v>132</v>
      </c>
      <c r="C9" s="53">
        <v>1</v>
      </c>
      <c r="D9" s="53">
        <v>11</v>
      </c>
      <c r="E9" s="54" t="s">
        <v>79</v>
      </c>
      <c r="F9" s="54" t="s">
        <v>114</v>
      </c>
      <c r="G9" s="54" t="s">
        <v>79</v>
      </c>
      <c r="H9" s="54" t="s">
        <v>79</v>
      </c>
      <c r="I9" s="53"/>
      <c r="J9" s="53">
        <f t="shared" si="0"/>
        <v>110</v>
      </c>
      <c r="K9" s="53">
        <f t="shared" ref="K9" si="8">J9+C9</f>
        <v>111</v>
      </c>
      <c r="L9" s="54" t="s">
        <v>114</v>
      </c>
      <c r="M9" s="55" t="str">
        <f t="shared" ref="M9" si="9">IF(C9="","",IF(K9&lt;=$P$1,"þ","q"))</f>
        <v>q</v>
      </c>
    </row>
    <row r="10" spans="1:20" ht="16.8" x14ac:dyDescent="0.3">
      <c r="A10" s="171" t="s">
        <v>122</v>
      </c>
      <c r="B10" s="154" t="s">
        <v>144</v>
      </c>
      <c r="C10" s="53">
        <v>124</v>
      </c>
      <c r="D10" s="53">
        <v>11</v>
      </c>
      <c r="E10" s="54" t="s">
        <v>114</v>
      </c>
      <c r="F10" s="54" t="s">
        <v>79</v>
      </c>
      <c r="G10" s="54" t="s">
        <v>79</v>
      </c>
      <c r="H10" s="54" t="s">
        <v>79</v>
      </c>
      <c r="I10" s="53"/>
      <c r="J10" s="53">
        <f t="shared" si="0"/>
        <v>11</v>
      </c>
      <c r="K10" s="53">
        <f t="shared" ref="K10" si="10">J10+C10</f>
        <v>135</v>
      </c>
      <c r="L10" s="54" t="s">
        <v>114</v>
      </c>
      <c r="M10" s="55" t="str">
        <f t="shared" ref="M10" si="11">IF(C10="","",IF(K10&lt;=$P$1,"þ","q"))</f>
        <v>q</v>
      </c>
    </row>
    <row r="11" spans="1:20" ht="16.8" x14ac:dyDescent="0.3">
      <c r="A11" s="172" t="s">
        <v>124</v>
      </c>
      <c r="B11" s="163"/>
      <c r="C11" s="53"/>
      <c r="D11" s="53"/>
      <c r="E11" s="54" t="s">
        <v>79</v>
      </c>
      <c r="F11" s="54" t="s">
        <v>79</v>
      </c>
      <c r="G11" s="54" t="s">
        <v>79</v>
      </c>
      <c r="H11" s="54" t="s">
        <v>79</v>
      </c>
      <c r="I11" s="53"/>
      <c r="J11" s="53">
        <f t="shared" si="0"/>
        <v>0</v>
      </c>
      <c r="K11" s="53">
        <f t="shared" ref="K11" si="12">J11+C11</f>
        <v>0</v>
      </c>
      <c r="L11" s="54" t="s">
        <v>79</v>
      </c>
      <c r="M11" s="55" t="str">
        <f t="shared" ref="M11" si="13">IF(C11="","",IF(K11&lt;=$P$1,"þ","q"))</f>
        <v/>
      </c>
    </row>
    <row r="12" spans="1:20" ht="16.8" x14ac:dyDescent="0.3">
      <c r="A12" s="172" t="s">
        <v>124</v>
      </c>
      <c r="B12" s="163"/>
      <c r="C12" s="53"/>
      <c r="D12" s="53"/>
      <c r="E12" s="54" t="s">
        <v>79</v>
      </c>
      <c r="F12" s="54" t="s">
        <v>79</v>
      </c>
      <c r="G12" s="54" t="s">
        <v>79</v>
      </c>
      <c r="H12" s="54" t="s">
        <v>79</v>
      </c>
      <c r="I12" s="53"/>
      <c r="J12" s="53">
        <f t="shared" si="0"/>
        <v>0</v>
      </c>
      <c r="K12" s="53">
        <f t="shared" ref="K12:K13" si="14">J12+C12</f>
        <v>0</v>
      </c>
      <c r="L12" s="54" t="s">
        <v>79</v>
      </c>
      <c r="M12" s="55" t="str">
        <f t="shared" ref="M12:M13" si="15">IF(C12="","",IF(K12&lt;=$P$1,"þ","q"))</f>
        <v/>
      </c>
    </row>
    <row r="13" spans="1:20" ht="16.8" x14ac:dyDescent="0.3">
      <c r="A13" s="172" t="s">
        <v>124</v>
      </c>
      <c r="B13" s="163"/>
      <c r="C13" s="53"/>
      <c r="D13" s="53"/>
      <c r="E13" s="54" t="s">
        <v>79</v>
      </c>
      <c r="F13" s="54" t="s">
        <v>79</v>
      </c>
      <c r="G13" s="54" t="s">
        <v>79</v>
      </c>
      <c r="H13" s="54" t="s">
        <v>79</v>
      </c>
      <c r="I13" s="53"/>
      <c r="J13" s="53">
        <f t="shared" si="0"/>
        <v>0</v>
      </c>
      <c r="K13" s="53">
        <f t="shared" si="14"/>
        <v>0</v>
      </c>
      <c r="L13" s="54" t="s">
        <v>79</v>
      </c>
      <c r="M13" s="55" t="str">
        <f t="shared" si="15"/>
        <v/>
      </c>
    </row>
    <row r="14" spans="1:20" ht="16.8" x14ac:dyDescent="0.3">
      <c r="A14" s="167"/>
      <c r="B14" s="154"/>
      <c r="C14" s="53"/>
      <c r="D14" s="53">
        <v>10</v>
      </c>
      <c r="E14" s="54" t="s">
        <v>79</v>
      </c>
      <c r="F14" s="54" t="s">
        <v>79</v>
      </c>
      <c r="G14" s="54" t="s">
        <v>79</v>
      </c>
      <c r="H14" s="54" t="s">
        <v>79</v>
      </c>
      <c r="I14" s="53"/>
      <c r="J14" s="53">
        <f t="shared" si="0"/>
        <v>0</v>
      </c>
      <c r="K14" s="53">
        <f t="shared" ref="K14:K15" si="16">J14+C14</f>
        <v>0</v>
      </c>
      <c r="L14" s="54" t="s">
        <v>79</v>
      </c>
      <c r="M14" s="55" t="str">
        <f t="shared" ref="M14:M15" si="17">IF(C14="","",IF(K14&lt;=$P$1,"þ","q"))</f>
        <v/>
      </c>
    </row>
    <row r="15" spans="1:20" ht="16.8" x14ac:dyDescent="0.3">
      <c r="A15" s="167"/>
      <c r="B15" s="154"/>
      <c r="C15" s="53"/>
      <c r="D15" s="53">
        <v>10</v>
      </c>
      <c r="E15" s="54" t="s">
        <v>79</v>
      </c>
      <c r="F15" s="54" t="s">
        <v>79</v>
      </c>
      <c r="G15" s="54" t="s">
        <v>79</v>
      </c>
      <c r="H15" s="54" t="s">
        <v>79</v>
      </c>
      <c r="I15" s="53"/>
      <c r="J15" s="53">
        <f t="shared" si="0"/>
        <v>0</v>
      </c>
      <c r="K15" s="53">
        <f t="shared" si="16"/>
        <v>0</v>
      </c>
      <c r="L15" s="54" t="s">
        <v>79</v>
      </c>
      <c r="M15" s="55" t="str">
        <f t="shared" si="17"/>
        <v/>
      </c>
    </row>
    <row r="16" spans="1:20" ht="16.8" x14ac:dyDescent="0.3">
      <c r="A16" s="167"/>
      <c r="B16" s="154"/>
      <c r="C16" s="53"/>
      <c r="D16" s="53">
        <v>10</v>
      </c>
      <c r="E16" s="54" t="s">
        <v>79</v>
      </c>
      <c r="F16" s="54" t="s">
        <v>79</v>
      </c>
      <c r="G16" s="54" t="s">
        <v>79</v>
      </c>
      <c r="H16" s="54" t="s">
        <v>79</v>
      </c>
      <c r="I16" s="53"/>
      <c r="J16" s="53">
        <f t="shared" si="0"/>
        <v>0</v>
      </c>
      <c r="K16" s="53">
        <f t="shared" ref="K16" si="18">J16+C16</f>
        <v>0</v>
      </c>
      <c r="L16" s="54" t="s">
        <v>79</v>
      </c>
      <c r="M16" s="55" t="str">
        <f t="shared" ref="M16" si="19">IF(C16="","",IF(K16&lt;=$P$1,"þ","q"))</f>
        <v/>
      </c>
    </row>
    <row r="17" spans="1:13" ht="16.8" x14ac:dyDescent="0.3">
      <c r="A17" s="194"/>
      <c r="B17" s="154"/>
      <c r="C17" s="53"/>
      <c r="D17" s="53">
        <v>10</v>
      </c>
      <c r="E17" s="54" t="s">
        <v>79</v>
      </c>
      <c r="F17" s="54" t="s">
        <v>79</v>
      </c>
      <c r="G17" s="54" t="s">
        <v>79</v>
      </c>
      <c r="H17" s="54" t="s">
        <v>79</v>
      </c>
      <c r="I17" s="53"/>
      <c r="J17" s="53">
        <f t="shared" si="0"/>
        <v>0</v>
      </c>
      <c r="K17" s="53">
        <f t="shared" ref="K17:K20" si="20">J17+C17</f>
        <v>0</v>
      </c>
      <c r="L17" s="54" t="s">
        <v>79</v>
      </c>
      <c r="M17" s="55" t="str">
        <f t="shared" ref="M17:M20" si="21">IF(C17="","",IF(K17&lt;=$P$1,"þ","q"))</f>
        <v/>
      </c>
    </row>
    <row r="18" spans="1:13" ht="16.8" x14ac:dyDescent="0.3">
      <c r="A18" s="194"/>
      <c r="B18" s="154"/>
      <c r="C18" s="53"/>
      <c r="D18" s="53">
        <v>10</v>
      </c>
      <c r="E18" s="54" t="s">
        <v>79</v>
      </c>
      <c r="F18" s="54" t="s">
        <v>79</v>
      </c>
      <c r="G18" s="54" t="s">
        <v>79</v>
      </c>
      <c r="H18" s="54" t="s">
        <v>79</v>
      </c>
      <c r="I18" s="53"/>
      <c r="J18" s="53">
        <f t="shared" si="0"/>
        <v>0</v>
      </c>
      <c r="K18" s="53">
        <f t="shared" si="20"/>
        <v>0</v>
      </c>
      <c r="L18" s="54" t="s">
        <v>79</v>
      </c>
      <c r="M18" s="55" t="str">
        <f t="shared" si="21"/>
        <v/>
      </c>
    </row>
    <row r="19" spans="1:13" ht="16.8" x14ac:dyDescent="0.3">
      <c r="A19" s="194"/>
      <c r="B19" s="154"/>
      <c r="C19" s="53"/>
      <c r="D19" s="53">
        <v>10</v>
      </c>
      <c r="E19" s="54" t="s">
        <v>79</v>
      </c>
      <c r="F19" s="54" t="s">
        <v>79</v>
      </c>
      <c r="G19" s="54" t="s">
        <v>79</v>
      </c>
      <c r="H19" s="54" t="s">
        <v>79</v>
      </c>
      <c r="I19" s="53"/>
      <c r="J19" s="53">
        <f t="shared" si="0"/>
        <v>0</v>
      </c>
      <c r="K19" s="53">
        <f t="shared" si="20"/>
        <v>0</v>
      </c>
      <c r="L19" s="54" t="s">
        <v>79</v>
      </c>
      <c r="M19" s="55" t="str">
        <f t="shared" si="21"/>
        <v/>
      </c>
    </row>
    <row r="20" spans="1:13" ht="16.8" x14ac:dyDescent="0.3">
      <c r="A20" s="194"/>
      <c r="B20" s="154"/>
      <c r="C20" s="53"/>
      <c r="D20" s="53">
        <v>10</v>
      </c>
      <c r="E20" s="54" t="s">
        <v>79</v>
      </c>
      <c r="F20" s="54" t="s">
        <v>79</v>
      </c>
      <c r="G20" s="54" t="s">
        <v>79</v>
      </c>
      <c r="H20" s="54" t="s">
        <v>79</v>
      </c>
      <c r="I20" s="53"/>
      <c r="J20" s="53">
        <f t="shared" si="0"/>
        <v>0</v>
      </c>
      <c r="K20" s="53">
        <f t="shared" si="20"/>
        <v>0</v>
      </c>
      <c r="L20" s="54" t="s">
        <v>79</v>
      </c>
      <c r="M20" s="55" t="str">
        <f t="shared" si="21"/>
        <v/>
      </c>
    </row>
  </sheetData>
  <sortState xmlns:xlrd2="http://schemas.microsoft.com/office/spreadsheetml/2017/richdata2" ref="A2:M8">
    <sortCondition ref="A2:A8"/>
    <sortCondition ref="C2:C8"/>
  </sortState>
  <conditionalFormatting sqref="E7:E20">
    <cfRule type="cellIs" dxfId="19" priority="1" stopIfTrue="1" operator="equal">
      <formula>"þ"</formula>
    </cfRule>
  </conditionalFormatting>
  <conditionalFormatting sqref="E15:G15">
    <cfRule type="cellIs" dxfId="18" priority="54" stopIfTrue="1" operator="equal">
      <formula>"þ"</formula>
    </cfRule>
  </conditionalFormatting>
  <conditionalFormatting sqref="E2:H6">
    <cfRule type="cellIs" dxfId="17" priority="25" stopIfTrue="1" operator="equal">
      <formula>"þ"</formula>
    </cfRule>
  </conditionalFormatting>
  <conditionalFormatting sqref="F8">
    <cfRule type="cellIs" dxfId="16" priority="18" stopIfTrue="1" operator="equal">
      <formula>"þ"</formula>
    </cfRule>
  </conditionalFormatting>
  <conditionalFormatting sqref="F16:G20">
    <cfRule type="cellIs" dxfId="15" priority="36" stopIfTrue="1" operator="equal">
      <formula>"þ"</formula>
    </cfRule>
  </conditionalFormatting>
  <conditionalFormatting sqref="F7:H14">
    <cfRule type="cellIs" dxfId="14" priority="68" stopIfTrue="1" operator="equal">
      <formula>"þ"</formula>
    </cfRule>
  </conditionalFormatting>
  <conditionalFormatting sqref="H15:H20">
    <cfRule type="cellIs" dxfId="13" priority="116" stopIfTrue="1" operator="equal">
      <formula>"þ"</formula>
    </cfRule>
  </conditionalFormatting>
  <conditionalFormatting sqref="K2:K20">
    <cfRule type="cellIs" dxfId="12" priority="33" operator="lessThan">
      <formula>$P$1</formula>
    </cfRule>
  </conditionalFormatting>
  <conditionalFormatting sqref="L3:L5">
    <cfRule type="cellIs" dxfId="11" priority="22" stopIfTrue="1" operator="equal">
      <formula>"þ"</formula>
    </cfRule>
  </conditionalFormatting>
  <conditionalFormatting sqref="L7:L20">
    <cfRule type="cellIs" dxfId="10" priority="34" stopIfTrue="1" operator="equal">
      <formula>"þ"</formula>
    </cfRule>
  </conditionalFormatting>
  <conditionalFormatting sqref="L2:M20">
    <cfRule type="cellIs" dxfId="9" priority="171" stopIfTrue="1" operator="equal">
      <formula>"þ"</formula>
    </cfRule>
  </conditionalFormatting>
  <conditionalFormatting sqref="M16:M20">
    <cfRule type="cellIs" dxfId="8" priority="152" stopIfTrue="1" operator="equal">
      <formula>"þ"</formula>
    </cfRule>
  </conditionalFormatting>
  <conditionalFormatting sqref="P1">
    <cfRule type="cellIs" dxfId="7" priority="1042" operator="equal">
      <formula>0</formula>
    </cfRule>
  </conditionalFormatting>
  <conditionalFormatting sqref="R1">
    <cfRule type="cellIs" dxfId="6" priority="1041" operator="equal">
      <formula>0</formula>
    </cfRule>
  </conditionalFormatting>
  <conditionalFormatting sqref="T1">
    <cfRule type="cellIs" dxfId="5" priority="1040" operator="equal">
      <formula>0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21"/>
  <sheetViews>
    <sheetView showGridLines="0" zoomScaleNormal="100" workbookViewId="0">
      <pane ySplit="1" topLeftCell="A2" activePane="bottomLeft" state="frozen"/>
      <selection pane="bottomLeft" activeCell="A2" sqref="A2"/>
    </sheetView>
  </sheetViews>
  <sheetFormatPr defaultRowHeight="15.6" x14ac:dyDescent="0.3"/>
  <cols>
    <col min="1" max="1" width="16.69921875" style="48" bestFit="1" customWidth="1"/>
    <col min="2" max="2" width="17.8984375" style="48" bestFit="1" customWidth="1"/>
    <col min="3" max="3" width="16.296875" style="48" bestFit="1" customWidth="1"/>
    <col min="4" max="4" width="7.296875" style="48" bestFit="1" customWidth="1"/>
    <col min="5" max="5" width="4.8984375" style="48" bestFit="1" customWidth="1"/>
    <col min="6" max="6" width="5.796875" style="48" bestFit="1" customWidth="1"/>
    <col min="7" max="7" width="5.796875" style="48" customWidth="1"/>
    <col min="8" max="8" width="3.8984375" style="48" bestFit="1" customWidth="1"/>
    <col min="9" max="9" width="7.09765625" style="48" bestFit="1" customWidth="1"/>
    <col min="10" max="10" width="5.69921875" style="48" bestFit="1" customWidth="1"/>
    <col min="11" max="11" width="4.296875" style="48" bestFit="1" customWidth="1"/>
    <col min="12" max="12" width="5.3984375" style="48" bestFit="1" customWidth="1"/>
    <col min="13" max="13" width="4.296875" style="48" bestFit="1" customWidth="1"/>
    <col min="14" max="14" width="6.69921875" style="48" bestFit="1" customWidth="1"/>
    <col min="15" max="15" width="24" style="183" customWidth="1"/>
    <col min="16" max="16384" width="8.796875" style="43"/>
  </cols>
  <sheetData>
    <row r="1" spans="1:15" ht="31.8" thickBot="1" x14ac:dyDescent="0.35">
      <c r="A1" s="121" t="s">
        <v>0</v>
      </c>
      <c r="B1" s="117" t="s">
        <v>32</v>
      </c>
      <c r="C1" s="117" t="s">
        <v>33</v>
      </c>
      <c r="D1" s="118" t="s">
        <v>88</v>
      </c>
      <c r="E1" s="120" t="s">
        <v>34</v>
      </c>
      <c r="F1" s="119" t="s">
        <v>87</v>
      </c>
      <c r="G1" s="118" t="s">
        <v>86</v>
      </c>
      <c r="H1" s="117" t="s">
        <v>35</v>
      </c>
      <c r="I1" s="117" t="s">
        <v>36</v>
      </c>
      <c r="J1" s="114" t="s">
        <v>85</v>
      </c>
      <c r="K1" s="116" t="s">
        <v>3</v>
      </c>
      <c r="L1" s="114" t="s">
        <v>23</v>
      </c>
      <c r="M1" s="115" t="s">
        <v>83</v>
      </c>
      <c r="N1" s="114" t="s">
        <v>82</v>
      </c>
      <c r="O1" s="114" t="s">
        <v>84</v>
      </c>
    </row>
    <row r="2" spans="1:15" x14ac:dyDescent="0.3">
      <c r="A2" s="112"/>
      <c r="B2" s="63"/>
      <c r="C2" s="44"/>
      <c r="D2" s="113" t="s">
        <v>79</v>
      </c>
      <c r="E2" s="112"/>
      <c r="F2" s="111"/>
      <c r="G2" s="110"/>
      <c r="H2" s="44"/>
      <c r="I2" s="44"/>
      <c r="J2" s="44">
        <f t="shared" ref="J2:J5" si="0">IF(D2="þ",SUM(E2,G2:I2),SUM(E2,F2,H2,I2))</f>
        <v>0</v>
      </c>
      <c r="K2" s="45">
        <f t="shared" ref="K2:K21" ca="1" si="1">RANDBETWEEN(1,20)</f>
        <v>2</v>
      </c>
      <c r="L2" s="44">
        <f t="shared" ref="L2:L5" ca="1" si="2">SUM(J2:K2)</f>
        <v>2</v>
      </c>
      <c r="M2" s="58">
        <v>20</v>
      </c>
      <c r="N2" s="61" t="str">
        <f t="shared" ref="N2:N5" ca="1" si="3">IF(K2&gt;(M2-1),"þ","ý")</f>
        <v>ý</v>
      </c>
      <c r="O2" s="162"/>
    </row>
    <row r="3" spans="1:15" x14ac:dyDescent="0.3">
      <c r="A3" s="112"/>
      <c r="B3" s="63"/>
      <c r="C3" s="44"/>
      <c r="D3" s="113" t="s">
        <v>79</v>
      </c>
      <c r="E3" s="112"/>
      <c r="F3" s="111"/>
      <c r="G3" s="110"/>
      <c r="H3" s="44"/>
      <c r="I3" s="44"/>
      <c r="J3" s="44">
        <f t="shared" ref="J3:J4" si="4">IF(D3="þ",SUM(E3,G3:I3),SUM(E3,F3,H3,I3))</f>
        <v>0</v>
      </c>
      <c r="K3" s="45">
        <f t="shared" ca="1" si="1"/>
        <v>12</v>
      </c>
      <c r="L3" s="44">
        <f t="shared" ref="L3:L4" ca="1" si="5">SUM(J3:K3)</f>
        <v>12</v>
      </c>
      <c r="M3" s="58">
        <v>20</v>
      </c>
      <c r="N3" s="61" t="str">
        <f t="shared" ref="N3:N4" ca="1" si="6">IF(K3&gt;(M3-1),"þ","ý")</f>
        <v>ý</v>
      </c>
      <c r="O3" s="162"/>
    </row>
    <row r="4" spans="1:15" x14ac:dyDescent="0.3">
      <c r="A4" s="112"/>
      <c r="B4" s="44"/>
      <c r="C4" s="44"/>
      <c r="D4" s="113" t="s">
        <v>79</v>
      </c>
      <c r="E4" s="112"/>
      <c r="F4" s="111"/>
      <c r="G4" s="110"/>
      <c r="H4" s="44"/>
      <c r="I4" s="44"/>
      <c r="J4" s="44">
        <f t="shared" si="4"/>
        <v>0</v>
      </c>
      <c r="K4" s="45">
        <f t="shared" ca="1" si="1"/>
        <v>7</v>
      </c>
      <c r="L4" s="44">
        <f t="shared" ca="1" si="5"/>
        <v>7</v>
      </c>
      <c r="M4" s="58">
        <v>20</v>
      </c>
      <c r="N4" s="61" t="str">
        <f t="shared" ca="1" si="6"/>
        <v>ý</v>
      </c>
      <c r="O4" s="162"/>
    </row>
    <row r="5" spans="1:15" x14ac:dyDescent="0.3">
      <c r="A5" s="108"/>
      <c r="B5" s="46"/>
      <c r="C5" s="46"/>
      <c r="D5" s="109" t="s">
        <v>79</v>
      </c>
      <c r="E5" s="108"/>
      <c r="F5" s="107"/>
      <c r="G5" s="106"/>
      <c r="H5" s="46"/>
      <c r="I5" s="46"/>
      <c r="J5" s="46">
        <f t="shared" si="0"/>
        <v>0</v>
      </c>
      <c r="K5" s="47">
        <f t="shared" ca="1" si="1"/>
        <v>1</v>
      </c>
      <c r="L5" s="46">
        <f t="shared" ca="1" si="2"/>
        <v>1</v>
      </c>
      <c r="M5" s="59">
        <v>20</v>
      </c>
      <c r="N5" s="60" t="str">
        <f t="shared" ca="1" si="3"/>
        <v>ý</v>
      </c>
      <c r="O5" s="182"/>
    </row>
    <row r="6" spans="1:15" x14ac:dyDescent="0.3">
      <c r="A6" s="112"/>
      <c r="B6" s="63"/>
      <c r="C6" s="44"/>
      <c r="D6" s="113" t="s">
        <v>79</v>
      </c>
      <c r="E6" s="112"/>
      <c r="F6" s="111"/>
      <c r="G6" s="110"/>
      <c r="H6" s="44"/>
      <c r="I6" s="44"/>
      <c r="J6" s="44">
        <f t="shared" ref="J6:J8" si="7">IF(D6="þ",SUM(E6,G6:I6),SUM(E6,F6,H6,I6))</f>
        <v>0</v>
      </c>
      <c r="K6" s="45">
        <f t="shared" ca="1" si="1"/>
        <v>16</v>
      </c>
      <c r="L6" s="44">
        <f t="shared" ref="L6:L8" ca="1" si="8">SUM(J6:K6)</f>
        <v>16</v>
      </c>
      <c r="M6" s="58">
        <v>20</v>
      </c>
      <c r="N6" s="61" t="str">
        <f t="shared" ref="N6:N8" ca="1" si="9">IF(K6&gt;(M6-1),"þ","ý")</f>
        <v>ý</v>
      </c>
      <c r="O6" s="162"/>
    </row>
    <row r="7" spans="1:15" x14ac:dyDescent="0.3">
      <c r="A7" s="112"/>
      <c r="B7" s="63"/>
      <c r="C7" s="44"/>
      <c r="D7" s="113" t="s">
        <v>79</v>
      </c>
      <c r="E7" s="112"/>
      <c r="F7" s="111"/>
      <c r="G7" s="110"/>
      <c r="H7" s="44"/>
      <c r="I7" s="44"/>
      <c r="J7" s="44">
        <f t="shared" si="7"/>
        <v>0</v>
      </c>
      <c r="K7" s="45">
        <f t="shared" ca="1" si="1"/>
        <v>19</v>
      </c>
      <c r="L7" s="44">
        <f t="shared" ca="1" si="8"/>
        <v>19</v>
      </c>
      <c r="M7" s="58">
        <v>20</v>
      </c>
      <c r="N7" s="61" t="str">
        <f t="shared" ca="1" si="9"/>
        <v>ý</v>
      </c>
      <c r="O7" s="162"/>
    </row>
    <row r="8" spans="1:15" x14ac:dyDescent="0.3">
      <c r="A8" s="108"/>
      <c r="B8" s="46"/>
      <c r="C8" s="46"/>
      <c r="D8" s="109" t="s">
        <v>79</v>
      </c>
      <c r="E8" s="108"/>
      <c r="F8" s="107"/>
      <c r="G8" s="106"/>
      <c r="H8" s="46"/>
      <c r="I8" s="46"/>
      <c r="J8" s="46">
        <f t="shared" si="7"/>
        <v>0</v>
      </c>
      <c r="K8" s="47">
        <f t="shared" ca="1" si="1"/>
        <v>13</v>
      </c>
      <c r="L8" s="46">
        <f t="shared" ca="1" si="8"/>
        <v>13</v>
      </c>
      <c r="M8" s="59">
        <v>20</v>
      </c>
      <c r="N8" s="60" t="str">
        <f t="shared" ca="1" si="9"/>
        <v>ý</v>
      </c>
      <c r="O8" s="182"/>
    </row>
    <row r="9" spans="1:15" x14ac:dyDescent="0.3">
      <c r="A9" s="184" t="s">
        <v>120</v>
      </c>
      <c r="B9" s="63" t="s">
        <v>117</v>
      </c>
      <c r="C9" s="44" t="s">
        <v>121</v>
      </c>
      <c r="D9" s="113" t="s">
        <v>79</v>
      </c>
      <c r="E9" s="112">
        <v>1</v>
      </c>
      <c r="F9" s="111">
        <v>2</v>
      </c>
      <c r="G9" s="110">
        <v>2</v>
      </c>
      <c r="H9" s="44">
        <v>0</v>
      </c>
      <c r="I9" s="44">
        <v>0</v>
      </c>
      <c r="J9" s="44">
        <f t="shared" ref="J9:J10" si="10">IF(D9="þ",SUM(E9,G9:I9),SUM(E9,F9,H9,I9))</f>
        <v>3</v>
      </c>
      <c r="K9" s="45">
        <f t="shared" ca="1" si="1"/>
        <v>19</v>
      </c>
      <c r="L9" s="44">
        <f t="shared" ref="L9:L10" ca="1" si="11">SUM(J9:K9)</f>
        <v>22</v>
      </c>
      <c r="M9" s="58">
        <v>20</v>
      </c>
      <c r="N9" s="61" t="str">
        <f t="shared" ref="N9:N10" ca="1" si="12">IF(K9&gt;(M9-1),"þ","ý")</f>
        <v>ý</v>
      </c>
      <c r="O9" s="162"/>
    </row>
    <row r="10" spans="1:15" x14ac:dyDescent="0.3">
      <c r="A10" s="185" t="s">
        <v>120</v>
      </c>
      <c r="B10" s="46" t="s">
        <v>115</v>
      </c>
      <c r="C10" s="46" t="s">
        <v>115</v>
      </c>
      <c r="D10" s="109" t="s">
        <v>79</v>
      </c>
      <c r="E10" s="108">
        <v>1</v>
      </c>
      <c r="F10" s="107">
        <v>2</v>
      </c>
      <c r="G10" s="106">
        <v>2</v>
      </c>
      <c r="H10" s="46">
        <v>0</v>
      </c>
      <c r="I10" s="46">
        <v>0</v>
      </c>
      <c r="J10" s="46">
        <f t="shared" si="10"/>
        <v>3</v>
      </c>
      <c r="K10" s="47">
        <f t="shared" ca="1" si="1"/>
        <v>16</v>
      </c>
      <c r="L10" s="46">
        <f t="shared" ca="1" si="11"/>
        <v>19</v>
      </c>
      <c r="M10" s="59">
        <v>20</v>
      </c>
      <c r="N10" s="60" t="str">
        <f t="shared" ca="1" si="12"/>
        <v>ý</v>
      </c>
      <c r="O10" s="182"/>
    </row>
    <row r="11" spans="1:15" ht="31.2" x14ac:dyDescent="0.3">
      <c r="A11" s="184" t="s">
        <v>136</v>
      </c>
      <c r="B11" s="63" t="s">
        <v>137</v>
      </c>
      <c r="C11" s="44" t="s">
        <v>138</v>
      </c>
      <c r="D11" s="113" t="s">
        <v>79</v>
      </c>
      <c r="E11" s="112">
        <v>2</v>
      </c>
      <c r="F11" s="111">
        <v>2</v>
      </c>
      <c r="G11" s="110">
        <v>2</v>
      </c>
      <c r="H11" s="44">
        <v>0</v>
      </c>
      <c r="I11" s="44">
        <v>0</v>
      </c>
      <c r="J11" s="44">
        <f t="shared" ref="J11:J12" si="13">IF(D11="þ",SUM(E11,G11:I11),SUM(E11,F11,H11,I11))</f>
        <v>4</v>
      </c>
      <c r="K11" s="45">
        <f t="shared" ca="1" si="1"/>
        <v>10</v>
      </c>
      <c r="L11" s="44">
        <f t="shared" ref="L11:L12" ca="1" si="14">SUM(J11:K11)</f>
        <v>14</v>
      </c>
      <c r="M11" s="58">
        <v>20</v>
      </c>
      <c r="N11" s="61" t="str">
        <f t="shared" ref="N11:N12" ca="1" si="15">IF(K11&gt;(M11-1),"þ","ý")</f>
        <v>ý</v>
      </c>
      <c r="O11" s="162" t="s">
        <v>142</v>
      </c>
    </row>
    <row r="12" spans="1:15" x14ac:dyDescent="0.3">
      <c r="A12" s="185" t="s">
        <v>136</v>
      </c>
      <c r="B12" s="46" t="s">
        <v>115</v>
      </c>
      <c r="C12" s="46" t="s">
        <v>115</v>
      </c>
      <c r="D12" s="109" t="s">
        <v>79</v>
      </c>
      <c r="E12" s="108">
        <v>2</v>
      </c>
      <c r="F12" s="107">
        <v>2</v>
      </c>
      <c r="G12" s="106">
        <v>2</v>
      </c>
      <c r="H12" s="46">
        <v>0</v>
      </c>
      <c r="I12" s="46">
        <v>0</v>
      </c>
      <c r="J12" s="46">
        <f t="shared" si="13"/>
        <v>4</v>
      </c>
      <c r="K12" s="47">
        <f t="shared" ca="1" si="1"/>
        <v>5</v>
      </c>
      <c r="L12" s="46">
        <f t="shared" ca="1" si="14"/>
        <v>9</v>
      </c>
      <c r="M12" s="59">
        <v>20</v>
      </c>
      <c r="N12" s="60" t="str">
        <f t="shared" ca="1" si="15"/>
        <v>ý</v>
      </c>
      <c r="O12" s="182"/>
    </row>
    <row r="13" spans="1:15" x14ac:dyDescent="0.3">
      <c r="A13" s="184" t="s">
        <v>122</v>
      </c>
      <c r="B13" s="63" t="s">
        <v>130</v>
      </c>
      <c r="C13" s="44" t="s">
        <v>131</v>
      </c>
      <c r="D13" s="113" t="s">
        <v>79</v>
      </c>
      <c r="E13" s="112">
        <f>5</f>
        <v>5</v>
      </c>
      <c r="F13" s="197">
        <f>3-1</f>
        <v>2</v>
      </c>
      <c r="G13" s="110">
        <v>2</v>
      </c>
      <c r="H13" s="44">
        <v>1</v>
      </c>
      <c r="I13" s="44">
        <v>0</v>
      </c>
      <c r="J13" s="44">
        <f t="shared" ref="J13:J16" si="16">IF(D13="þ",SUM(E13,G13:I13),SUM(E13,F13,H13,I13))</f>
        <v>8</v>
      </c>
      <c r="K13" s="45">
        <f t="shared" ca="1" si="1"/>
        <v>8</v>
      </c>
      <c r="L13" s="44">
        <f t="shared" ref="L13:L16" ca="1" si="17">SUM(J13:K13)</f>
        <v>16</v>
      </c>
      <c r="M13" s="58">
        <v>20</v>
      </c>
      <c r="N13" s="61" t="str">
        <f t="shared" ref="N13:N16" ca="1" si="18">IF(K13&gt;(M13-1),"þ","ý")</f>
        <v>ý</v>
      </c>
      <c r="O13" s="162"/>
    </row>
    <row r="14" spans="1:15" x14ac:dyDescent="0.3">
      <c r="A14" s="184" t="s">
        <v>122</v>
      </c>
      <c r="B14" s="63" t="s">
        <v>133</v>
      </c>
      <c r="C14" s="44" t="s">
        <v>127</v>
      </c>
      <c r="D14" s="113" t="s">
        <v>114</v>
      </c>
      <c r="E14" s="112">
        <f>5</f>
        <v>5</v>
      </c>
      <c r="F14" s="197">
        <f>3-1</f>
        <v>2</v>
      </c>
      <c r="G14" s="110">
        <v>2</v>
      </c>
      <c r="H14" s="44">
        <v>1</v>
      </c>
      <c r="I14" s="44">
        <v>0</v>
      </c>
      <c r="J14" s="44">
        <f t="shared" ref="J14" si="19">IF(D14="þ",SUM(E14,G14:I14),SUM(E14,F14,H14,I14))</f>
        <v>8</v>
      </c>
      <c r="K14" s="45">
        <f t="shared" ca="1" si="1"/>
        <v>16</v>
      </c>
      <c r="L14" s="44">
        <f t="shared" ref="L14" ca="1" si="20">SUM(J14:K14)</f>
        <v>24</v>
      </c>
      <c r="M14" s="58">
        <v>20</v>
      </c>
      <c r="N14" s="61" t="str">
        <f t="shared" ref="N14" ca="1" si="21">IF(K14&gt;(M14-1),"þ","ý")</f>
        <v>ý</v>
      </c>
      <c r="O14" s="162"/>
    </row>
    <row r="15" spans="1:15" x14ac:dyDescent="0.3">
      <c r="A15" s="184" t="s">
        <v>122</v>
      </c>
      <c r="B15" s="200" t="s">
        <v>143</v>
      </c>
      <c r="C15" s="44" t="s">
        <v>121</v>
      </c>
      <c r="D15" s="113" t="s">
        <v>79</v>
      </c>
      <c r="E15" s="203">
        <f>5</f>
        <v>5</v>
      </c>
      <c r="F15" s="111">
        <v>4</v>
      </c>
      <c r="G15" s="110">
        <v>2</v>
      </c>
      <c r="H15" s="44">
        <v>0</v>
      </c>
      <c r="I15" s="44">
        <v>0</v>
      </c>
      <c r="J15" s="44">
        <f t="shared" ref="J15" si="22">IF(D15="þ",SUM(E15,G15:I15),SUM(E15,F15,H15,I15))</f>
        <v>9</v>
      </c>
      <c r="K15" s="45">
        <f t="shared" ca="1" si="1"/>
        <v>15</v>
      </c>
      <c r="L15" s="44">
        <f t="shared" ref="L15" ca="1" si="23">SUM(J15:K15)</f>
        <v>24</v>
      </c>
      <c r="M15" s="58">
        <v>20</v>
      </c>
      <c r="N15" s="61" t="str">
        <f t="shared" ref="N15" ca="1" si="24">IF(K15&gt;(M15-1),"þ","ý")</f>
        <v>ý</v>
      </c>
      <c r="O15" s="162"/>
    </row>
    <row r="16" spans="1:15" x14ac:dyDescent="0.3">
      <c r="A16" s="185" t="s">
        <v>122</v>
      </c>
      <c r="B16" s="46" t="s">
        <v>115</v>
      </c>
      <c r="C16" s="46" t="s">
        <v>115</v>
      </c>
      <c r="D16" s="109" t="s">
        <v>79</v>
      </c>
      <c r="E16" s="108">
        <f>5</f>
        <v>5</v>
      </c>
      <c r="F16" s="198">
        <f>3-1</f>
        <v>2</v>
      </c>
      <c r="G16" s="106">
        <v>2</v>
      </c>
      <c r="H16" s="46">
        <v>0</v>
      </c>
      <c r="I16" s="46">
        <v>0</v>
      </c>
      <c r="J16" s="46">
        <f t="shared" si="16"/>
        <v>7</v>
      </c>
      <c r="K16" s="47">
        <f t="shared" ca="1" si="1"/>
        <v>20</v>
      </c>
      <c r="L16" s="46">
        <f t="shared" ca="1" si="17"/>
        <v>27</v>
      </c>
      <c r="M16" s="59">
        <v>20</v>
      </c>
      <c r="N16" s="60" t="str">
        <f t="shared" ca="1" si="18"/>
        <v>þ</v>
      </c>
      <c r="O16" s="182"/>
    </row>
    <row r="17" spans="1:15" x14ac:dyDescent="0.3">
      <c r="A17" s="184" t="s">
        <v>124</v>
      </c>
      <c r="B17" s="63" t="s">
        <v>128</v>
      </c>
      <c r="C17" s="44" t="s">
        <v>129</v>
      </c>
      <c r="D17" s="113" t="s">
        <v>114</v>
      </c>
      <c r="E17" s="112">
        <f>6</f>
        <v>6</v>
      </c>
      <c r="F17" s="111">
        <v>1</v>
      </c>
      <c r="G17" s="110">
        <v>4</v>
      </c>
      <c r="H17" s="44">
        <v>2</v>
      </c>
      <c r="I17" s="44">
        <v>0</v>
      </c>
      <c r="J17" s="44">
        <f t="shared" ref="J17:J21" si="25">IF(D17="þ",SUM(E17,G17:I17),SUM(E17,F17,H17,I17))</f>
        <v>12</v>
      </c>
      <c r="K17" s="45">
        <f t="shared" ca="1" si="1"/>
        <v>19</v>
      </c>
      <c r="L17" s="44">
        <f t="shared" ref="L17:L21" ca="1" si="26">SUM(J17:K17)</f>
        <v>31</v>
      </c>
      <c r="M17" s="58">
        <v>20</v>
      </c>
      <c r="N17" s="61" t="str">
        <f t="shared" ref="N17:N21" ca="1" si="27">IF(K17&gt;(M17-1),"þ","ý")</f>
        <v>ý</v>
      </c>
      <c r="O17" s="162"/>
    </row>
    <row r="18" spans="1:15" x14ac:dyDescent="0.3">
      <c r="A18" s="184" t="s">
        <v>124</v>
      </c>
      <c r="B18" s="63" t="s">
        <v>139</v>
      </c>
      <c r="C18" s="44" t="s">
        <v>135</v>
      </c>
      <c r="D18" s="113" t="s">
        <v>79</v>
      </c>
      <c r="E18" s="112">
        <f>6</f>
        <v>6</v>
      </c>
      <c r="F18" s="111">
        <v>1</v>
      </c>
      <c r="G18" s="110">
        <v>4</v>
      </c>
      <c r="H18" s="44">
        <v>0</v>
      </c>
      <c r="I18" s="44">
        <v>0</v>
      </c>
      <c r="J18" s="44">
        <f t="shared" ref="J18" si="28">IF(D18="þ",SUM(E18,G18:I18),SUM(E18,F18,H18,I18))</f>
        <v>7</v>
      </c>
      <c r="K18" s="45">
        <f t="shared" ca="1" si="1"/>
        <v>7</v>
      </c>
      <c r="L18" s="44">
        <f t="shared" ref="L18" ca="1" si="29">SUM(J18:K18)</f>
        <v>14</v>
      </c>
      <c r="M18" s="58">
        <v>20</v>
      </c>
      <c r="N18" s="61" t="str">
        <f t="shared" ref="N18" ca="1" si="30">IF(K18&gt;(M18-1),"þ","ý")</f>
        <v>ý</v>
      </c>
      <c r="O18" s="162"/>
    </row>
    <row r="19" spans="1:15" x14ac:dyDescent="0.3">
      <c r="A19" s="185" t="s">
        <v>124</v>
      </c>
      <c r="B19" s="46" t="s">
        <v>115</v>
      </c>
      <c r="C19" s="46" t="s">
        <v>115</v>
      </c>
      <c r="D19" s="109" t="s">
        <v>79</v>
      </c>
      <c r="E19" s="108">
        <f>6</f>
        <v>6</v>
      </c>
      <c r="F19" s="107">
        <v>1</v>
      </c>
      <c r="G19" s="106">
        <v>4</v>
      </c>
      <c r="H19" s="46">
        <v>0</v>
      </c>
      <c r="I19" s="46">
        <v>0</v>
      </c>
      <c r="J19" s="46">
        <f t="shared" si="25"/>
        <v>7</v>
      </c>
      <c r="K19" s="47">
        <f t="shared" ca="1" si="1"/>
        <v>9</v>
      </c>
      <c r="L19" s="46">
        <f t="shared" ca="1" si="26"/>
        <v>16</v>
      </c>
      <c r="M19" s="59">
        <v>20</v>
      </c>
      <c r="N19" s="60" t="str">
        <f t="shared" ca="1" si="27"/>
        <v>ý</v>
      </c>
      <c r="O19" s="182"/>
    </row>
    <row r="20" spans="1:15" x14ac:dyDescent="0.3">
      <c r="A20" s="184" t="s">
        <v>145</v>
      </c>
      <c r="B20" s="63" t="s">
        <v>117</v>
      </c>
      <c r="C20" s="44" t="s">
        <v>134</v>
      </c>
      <c r="D20" s="113" t="s">
        <v>79</v>
      </c>
      <c r="E20" s="112">
        <v>1</v>
      </c>
      <c r="F20" s="111">
        <v>1</v>
      </c>
      <c r="G20" s="110">
        <v>1</v>
      </c>
      <c r="H20" s="44">
        <v>0</v>
      </c>
      <c r="I20" s="44">
        <v>0</v>
      </c>
      <c r="J20" s="44">
        <f t="shared" si="25"/>
        <v>2</v>
      </c>
      <c r="K20" s="45">
        <f t="shared" ca="1" si="1"/>
        <v>3</v>
      </c>
      <c r="L20" s="44">
        <f t="shared" ca="1" si="26"/>
        <v>5</v>
      </c>
      <c r="M20" s="58">
        <v>20</v>
      </c>
      <c r="N20" s="61" t="str">
        <f t="shared" ca="1" si="27"/>
        <v>ý</v>
      </c>
      <c r="O20" s="162"/>
    </row>
    <row r="21" spans="1:15" x14ac:dyDescent="0.3">
      <c r="A21" s="185" t="s">
        <v>145</v>
      </c>
      <c r="B21" s="46" t="s">
        <v>115</v>
      </c>
      <c r="C21" s="46" t="s">
        <v>115</v>
      </c>
      <c r="D21" s="109" t="s">
        <v>79</v>
      </c>
      <c r="E21" s="108">
        <v>1</v>
      </c>
      <c r="F21" s="107">
        <v>1</v>
      </c>
      <c r="G21" s="106">
        <v>1</v>
      </c>
      <c r="H21" s="46">
        <v>0</v>
      </c>
      <c r="I21" s="46">
        <v>0</v>
      </c>
      <c r="J21" s="46">
        <f t="shared" si="25"/>
        <v>2</v>
      </c>
      <c r="K21" s="47">
        <f t="shared" ca="1" si="1"/>
        <v>17</v>
      </c>
      <c r="L21" s="46">
        <f t="shared" ca="1" si="26"/>
        <v>19</v>
      </c>
      <c r="M21" s="59">
        <v>20</v>
      </c>
      <c r="N21" s="60" t="str">
        <f t="shared" ca="1" si="27"/>
        <v>ý</v>
      </c>
      <c r="O21" s="182"/>
    </row>
  </sheetData>
  <conditionalFormatting sqref="D2:D21">
    <cfRule type="cellIs" dxfId="4" priority="1" operator="equal">
      <formula>"þ"</formula>
    </cfRule>
  </conditionalFormatting>
  <conditionalFormatting sqref="K2:K21">
    <cfRule type="cellIs" dxfId="3" priority="3" operator="greaterThanOrEqual">
      <formula>$M2</formula>
    </cfRule>
  </conditionalFormatting>
  <conditionalFormatting sqref="N2:N21">
    <cfRule type="cellIs" dxfId="2" priority="2" operator="equal">
      <formula>"þ"</formula>
    </cfRule>
  </conditionalFormatting>
  <pageMargins left="0.7" right="0.7" top="0.75" bottom="0.75" header="0.3" footer="0.3"/>
  <pageSetup orientation="portrait" horizontalDpi="300" verticalDpi="3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13"/>
  <sheetViews>
    <sheetView showGridLines="0" zoomScaleNormal="100" workbookViewId="0">
      <pane ySplit="1" topLeftCell="A2" activePane="bottomLeft" state="frozen"/>
      <selection pane="bottomLeft" activeCell="A2" sqref="A2"/>
    </sheetView>
  </sheetViews>
  <sheetFormatPr defaultColWidth="4" defaultRowHeight="15.6" x14ac:dyDescent="0.3"/>
  <cols>
    <col min="1" max="1" width="12.5" style="18" bestFit="1" customWidth="1"/>
    <col min="2" max="2" width="8.09765625" style="18" bestFit="1" customWidth="1"/>
    <col min="3" max="3" width="6.19921875" style="18" bestFit="1" customWidth="1"/>
    <col min="4" max="4" width="4.296875" style="18" bestFit="1" customWidth="1"/>
    <col min="5" max="5" width="6.296875" style="18" bestFit="1" customWidth="1"/>
    <col min="6" max="6" width="4" style="18"/>
    <col min="7" max="7" width="16.69921875" style="18" bestFit="1" customWidth="1"/>
    <col min="8" max="8" width="8.09765625" style="18" bestFit="1" customWidth="1"/>
    <col min="9" max="9" width="6.19921875" style="18" bestFit="1" customWidth="1"/>
    <col min="10" max="10" width="4.296875" style="18" bestFit="1" customWidth="1"/>
    <col min="11" max="11" width="6.296875" style="18" bestFit="1" customWidth="1"/>
    <col min="12" max="12" width="19.3984375" style="18" bestFit="1" customWidth="1"/>
    <col min="13" max="16384" width="4" style="18"/>
  </cols>
  <sheetData>
    <row r="1" spans="1:11" s="19" customFormat="1" x14ac:dyDescent="0.3">
      <c r="A1" s="82" t="s">
        <v>0</v>
      </c>
      <c r="B1" s="82" t="s">
        <v>62</v>
      </c>
      <c r="C1" s="82" t="s">
        <v>37</v>
      </c>
      <c r="D1" s="83" t="s">
        <v>3</v>
      </c>
      <c r="E1" s="82" t="s">
        <v>102</v>
      </c>
      <c r="F1" s="18"/>
      <c r="G1" s="82" t="s">
        <v>0</v>
      </c>
      <c r="H1" s="82" t="s">
        <v>98</v>
      </c>
      <c r="I1" s="82" t="s">
        <v>37</v>
      </c>
      <c r="J1" s="83" t="s">
        <v>3</v>
      </c>
      <c r="K1" s="82" t="s">
        <v>102</v>
      </c>
    </row>
    <row r="2" spans="1:11" x14ac:dyDescent="0.3">
      <c r="A2" s="142"/>
      <c r="B2" s="5" t="s">
        <v>38</v>
      </c>
      <c r="C2" s="150"/>
      <c r="D2" s="45">
        <f t="shared" ref="D2:D13" ca="1" si="0">RANDBETWEEN(1,20)</f>
        <v>9</v>
      </c>
      <c r="E2" s="44">
        <f t="shared" ref="E2:E4" ca="1" si="1">D2+C2</f>
        <v>9</v>
      </c>
      <c r="G2" s="144" t="s">
        <v>120</v>
      </c>
      <c r="H2" s="5" t="s">
        <v>38</v>
      </c>
      <c r="I2" s="180">
        <v>5</v>
      </c>
      <c r="J2" s="45">
        <f t="shared" ref="J2:J10" ca="1" si="2">RANDBETWEEN(1,20)</f>
        <v>5</v>
      </c>
      <c r="K2" s="44">
        <f t="shared" ref="K2:K4" ca="1" si="3">J2+I2</f>
        <v>10</v>
      </c>
    </row>
    <row r="3" spans="1:11" x14ac:dyDescent="0.3">
      <c r="A3" s="142"/>
      <c r="B3" s="5" t="s">
        <v>39</v>
      </c>
      <c r="C3" s="150"/>
      <c r="D3" s="45">
        <f t="shared" ca="1" si="0"/>
        <v>18</v>
      </c>
      <c r="E3" s="44">
        <f t="shared" ca="1" si="1"/>
        <v>18</v>
      </c>
      <c r="G3" s="144" t="s">
        <v>120</v>
      </c>
      <c r="H3" s="5" t="s">
        <v>39</v>
      </c>
      <c r="I3" s="180">
        <v>5</v>
      </c>
      <c r="J3" s="45">
        <f t="shared" ca="1" si="2"/>
        <v>9</v>
      </c>
      <c r="K3" s="44">
        <f t="shared" ca="1" si="3"/>
        <v>14</v>
      </c>
    </row>
    <row r="4" spans="1:11" x14ac:dyDescent="0.3">
      <c r="A4" s="143"/>
      <c r="B4" s="84" t="s">
        <v>40</v>
      </c>
      <c r="C4" s="151"/>
      <c r="D4" s="47">
        <f t="shared" ca="1" si="0"/>
        <v>15</v>
      </c>
      <c r="E4" s="46">
        <f t="shared" ca="1" si="1"/>
        <v>15</v>
      </c>
      <c r="G4" s="145" t="s">
        <v>120</v>
      </c>
      <c r="H4" s="84" t="s">
        <v>40</v>
      </c>
      <c r="I4" s="181">
        <v>1</v>
      </c>
      <c r="J4" s="47">
        <f t="shared" ca="1" si="2"/>
        <v>2</v>
      </c>
      <c r="K4" s="46">
        <f t="shared" ca="1" si="3"/>
        <v>3</v>
      </c>
    </row>
    <row r="5" spans="1:11" x14ac:dyDescent="0.3">
      <c r="A5" s="142"/>
      <c r="B5" s="5" t="s">
        <v>38</v>
      </c>
      <c r="C5" s="150"/>
      <c r="D5" s="45">
        <f t="shared" ca="1" si="0"/>
        <v>11</v>
      </c>
      <c r="E5" s="44">
        <f t="shared" ref="E5:E7" ca="1" si="4">D5+C5</f>
        <v>11</v>
      </c>
      <c r="G5" s="144" t="s">
        <v>136</v>
      </c>
      <c r="H5" s="5" t="s">
        <v>38</v>
      </c>
      <c r="I5" s="180">
        <v>4</v>
      </c>
      <c r="J5" s="45">
        <f ca="1">RANDBETWEEN(1,20)</f>
        <v>13</v>
      </c>
      <c r="K5" s="44">
        <f t="shared" ref="K5:K7" ca="1" si="5">J5+I5</f>
        <v>17</v>
      </c>
    </row>
    <row r="6" spans="1:11" x14ac:dyDescent="0.3">
      <c r="A6" s="142"/>
      <c r="B6" s="5" t="s">
        <v>39</v>
      </c>
      <c r="C6" s="150"/>
      <c r="D6" s="45">
        <f t="shared" ca="1" si="0"/>
        <v>6</v>
      </c>
      <c r="E6" s="44">
        <f t="shared" ca="1" si="4"/>
        <v>6</v>
      </c>
      <c r="G6" s="144" t="s">
        <v>136</v>
      </c>
      <c r="H6" s="5" t="s">
        <v>39</v>
      </c>
      <c r="I6" s="180">
        <v>4</v>
      </c>
      <c r="J6" s="45">
        <f ca="1">RANDBETWEEN(1,20)</f>
        <v>14</v>
      </c>
      <c r="K6" s="44">
        <f t="shared" ca="1" si="5"/>
        <v>18</v>
      </c>
    </row>
    <row r="7" spans="1:11" x14ac:dyDescent="0.3">
      <c r="A7" s="143"/>
      <c r="B7" s="84" t="s">
        <v>40</v>
      </c>
      <c r="C7" s="151"/>
      <c r="D7" s="47">
        <f t="shared" ca="1" si="0"/>
        <v>1</v>
      </c>
      <c r="E7" s="46">
        <f t="shared" ca="1" si="4"/>
        <v>1</v>
      </c>
      <c r="G7" s="145" t="s">
        <v>136</v>
      </c>
      <c r="H7" s="84" t="s">
        <v>40</v>
      </c>
      <c r="I7" s="181">
        <v>3</v>
      </c>
      <c r="J7" s="47">
        <f ca="1">RANDBETWEEN(1,20)</f>
        <v>2</v>
      </c>
      <c r="K7" s="46">
        <f t="shared" ca="1" si="5"/>
        <v>5</v>
      </c>
    </row>
    <row r="8" spans="1:11" x14ac:dyDescent="0.3">
      <c r="A8" s="142"/>
      <c r="B8" s="5" t="s">
        <v>38</v>
      </c>
      <c r="C8" s="150"/>
      <c r="D8" s="45">
        <f t="shared" ca="1" si="0"/>
        <v>19</v>
      </c>
      <c r="E8" s="44">
        <f t="shared" ref="E8:E10" ca="1" si="6">D8+C8</f>
        <v>19</v>
      </c>
      <c r="G8" s="144" t="s">
        <v>124</v>
      </c>
      <c r="H8" s="5" t="s">
        <v>38</v>
      </c>
      <c r="I8" s="195">
        <f>2-2</f>
        <v>0</v>
      </c>
      <c r="J8" s="45">
        <f t="shared" ca="1" si="2"/>
        <v>20</v>
      </c>
      <c r="K8" s="44">
        <f t="shared" ref="K8:K10" ca="1" si="7">J8+I8</f>
        <v>20</v>
      </c>
    </row>
    <row r="9" spans="1:11" x14ac:dyDescent="0.3">
      <c r="A9" s="142"/>
      <c r="B9" s="5" t="s">
        <v>39</v>
      </c>
      <c r="C9" s="150"/>
      <c r="D9" s="45">
        <f t="shared" ca="1" si="0"/>
        <v>13</v>
      </c>
      <c r="E9" s="44">
        <f t="shared" ca="1" si="6"/>
        <v>13</v>
      </c>
      <c r="G9" s="144" t="s">
        <v>124</v>
      </c>
      <c r="H9" s="5" t="s">
        <v>39</v>
      </c>
      <c r="I9" s="195">
        <f>5-2</f>
        <v>3</v>
      </c>
      <c r="J9" s="45">
        <f t="shared" ca="1" si="2"/>
        <v>20</v>
      </c>
      <c r="K9" s="44">
        <f t="shared" ca="1" si="7"/>
        <v>23</v>
      </c>
    </row>
    <row r="10" spans="1:11" x14ac:dyDescent="0.3">
      <c r="A10" s="143"/>
      <c r="B10" s="84" t="s">
        <v>40</v>
      </c>
      <c r="C10" s="151"/>
      <c r="D10" s="47">
        <f t="shared" ca="1" si="0"/>
        <v>11</v>
      </c>
      <c r="E10" s="46">
        <f t="shared" ca="1" si="6"/>
        <v>11</v>
      </c>
      <c r="G10" s="145" t="s">
        <v>124</v>
      </c>
      <c r="H10" s="84" t="s">
        <v>40</v>
      </c>
      <c r="I10" s="196">
        <f>8-2</f>
        <v>6</v>
      </c>
      <c r="J10" s="47">
        <f t="shared" ca="1" si="2"/>
        <v>3</v>
      </c>
      <c r="K10" s="46">
        <f t="shared" ca="1" si="7"/>
        <v>9</v>
      </c>
    </row>
    <row r="11" spans="1:11" x14ac:dyDescent="0.3">
      <c r="A11" s="142"/>
      <c r="B11" s="5" t="s">
        <v>38</v>
      </c>
      <c r="C11" s="150"/>
      <c r="D11" s="45">
        <f t="shared" ca="1" si="0"/>
        <v>3</v>
      </c>
      <c r="E11" s="44">
        <f t="shared" ref="E11:E13" ca="1" si="8">D11+C11</f>
        <v>3</v>
      </c>
      <c r="G11" s="144" t="s">
        <v>122</v>
      </c>
      <c r="H11" s="5" t="s">
        <v>38</v>
      </c>
      <c r="I11" s="195">
        <f>7-2</f>
        <v>5</v>
      </c>
      <c r="J11" s="45">
        <f ca="1">RANDBETWEEN(1,20)</f>
        <v>5</v>
      </c>
      <c r="K11" s="44">
        <f ca="1">J11+I11</f>
        <v>10</v>
      </c>
    </row>
    <row r="12" spans="1:11" x14ac:dyDescent="0.3">
      <c r="A12" s="142"/>
      <c r="B12" s="5" t="s">
        <v>39</v>
      </c>
      <c r="C12" s="150"/>
      <c r="D12" s="45">
        <f t="shared" ca="1" si="0"/>
        <v>2</v>
      </c>
      <c r="E12" s="44">
        <f t="shared" ca="1" si="8"/>
        <v>2</v>
      </c>
      <c r="G12" s="144" t="s">
        <v>122</v>
      </c>
      <c r="H12" s="5" t="s">
        <v>39</v>
      </c>
      <c r="I12" s="195">
        <f>4-2</f>
        <v>2</v>
      </c>
      <c r="J12" s="45">
        <f ca="1">RANDBETWEEN(1,20)</f>
        <v>1</v>
      </c>
      <c r="K12" s="44">
        <f ca="1">J12+I12</f>
        <v>3</v>
      </c>
    </row>
    <row r="13" spans="1:11" x14ac:dyDescent="0.3">
      <c r="A13" s="143"/>
      <c r="B13" s="84" t="s">
        <v>40</v>
      </c>
      <c r="C13" s="151"/>
      <c r="D13" s="47">
        <f t="shared" ca="1" si="0"/>
        <v>5</v>
      </c>
      <c r="E13" s="46">
        <f t="shared" ca="1" si="8"/>
        <v>5</v>
      </c>
      <c r="G13" s="145" t="s">
        <v>122</v>
      </c>
      <c r="H13" s="84" t="s">
        <v>40</v>
      </c>
      <c r="I13" s="196">
        <f>5-2</f>
        <v>3</v>
      </c>
      <c r="J13" s="47">
        <f ca="1">RANDBETWEEN(1,20)</f>
        <v>5</v>
      </c>
      <c r="K13" s="46">
        <f ca="1">J13+I13</f>
        <v>8</v>
      </c>
    </row>
  </sheetData>
  <pageMargins left="0.7" right="0.7" top="0.75" bottom="0.75" header="0.3" footer="0.3"/>
  <pageSetup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C11"/>
  <sheetViews>
    <sheetView showGridLines="0" zoomScaleNormal="100" workbookViewId="0">
      <pane xSplit="1" ySplit="1" topLeftCell="C2" activePane="bottomRight" state="frozen"/>
      <selection pane="topRight"/>
      <selection pane="bottomLeft"/>
      <selection pane="bottomRight" activeCell="C2" sqref="C2"/>
    </sheetView>
  </sheetViews>
  <sheetFormatPr defaultColWidth="9.69921875" defaultRowHeight="15.6" x14ac:dyDescent="0.3"/>
  <cols>
    <col min="1" max="1" width="17.296875" style="1" bestFit="1" customWidth="1"/>
    <col min="2" max="2" width="3.3984375" style="1" hidden="1" customWidth="1"/>
    <col min="3" max="3" width="5.796875" style="1" customWidth="1"/>
    <col min="4" max="4" width="5.8984375" style="1" bestFit="1" customWidth="1"/>
    <col min="5" max="5" width="9.796875" style="1" bestFit="1" customWidth="1"/>
    <col min="6" max="6" width="6.09765625" style="1" bestFit="1" customWidth="1"/>
    <col min="7" max="7" width="12.59765625" style="48" bestFit="1" customWidth="1"/>
    <col min="8" max="8" width="2.8984375" style="48" bestFit="1" customWidth="1"/>
    <col min="9" max="9" width="6.19921875" style="48" bestFit="1" customWidth="1"/>
    <col min="10" max="10" width="7.296875" style="48" bestFit="1" customWidth="1"/>
    <col min="11" max="11" width="4.296875" style="48" bestFit="1" customWidth="1"/>
    <col min="12" max="12" width="4.796875" style="48" bestFit="1" customWidth="1"/>
    <col min="13" max="13" width="4.69921875" style="48" bestFit="1" customWidth="1"/>
    <col min="14" max="14" width="8" style="5" bestFit="1" customWidth="1"/>
    <col min="15" max="15" width="5.3984375" style="48" bestFit="1" customWidth="1"/>
    <col min="16" max="16" width="5" style="48" bestFit="1" customWidth="1"/>
    <col min="17" max="18" width="6.09765625" style="48" bestFit="1" customWidth="1"/>
    <col min="19" max="19" width="5" style="48" bestFit="1" customWidth="1"/>
    <col min="20" max="20" width="5.796875" style="48" bestFit="1" customWidth="1"/>
    <col min="21" max="21" width="6.69921875" style="48" bestFit="1" customWidth="1"/>
    <col min="22" max="22" width="9" style="48" bestFit="1" customWidth="1"/>
    <col min="23" max="23" width="7.796875" style="48" bestFit="1" customWidth="1"/>
    <col min="24" max="24" width="8.796875" style="48" bestFit="1" customWidth="1"/>
    <col min="25" max="25" width="5.69921875" style="48" bestFit="1" customWidth="1"/>
    <col min="26" max="26" width="7.3984375" style="48" bestFit="1" customWidth="1"/>
    <col min="27" max="27" width="4.3984375" style="48" bestFit="1" customWidth="1"/>
    <col min="28" max="28" width="6.69921875" style="48" hidden="1" customWidth="1"/>
    <col min="29" max="29" width="7.59765625" style="48" bestFit="1" customWidth="1"/>
    <col min="30" max="16384" width="9.69921875" style="48"/>
  </cols>
  <sheetData>
    <row r="1" spans="1:29" s="16" customFormat="1" ht="32.4" thickTop="1" thickBot="1" x14ac:dyDescent="0.35">
      <c r="A1" s="30" t="s">
        <v>0</v>
      </c>
      <c r="B1" s="140" t="s">
        <v>99</v>
      </c>
      <c r="C1" s="186" t="s">
        <v>42</v>
      </c>
      <c r="D1" s="187" t="s">
        <v>41</v>
      </c>
      <c r="E1" s="188" t="s">
        <v>43</v>
      </c>
      <c r="F1" s="42" t="s">
        <v>64</v>
      </c>
      <c r="G1" s="40" t="s">
        <v>44</v>
      </c>
      <c r="H1" s="41"/>
      <c r="I1" s="29" t="s">
        <v>45</v>
      </c>
      <c r="J1" s="15" t="s">
        <v>46</v>
      </c>
      <c r="K1" s="17" t="s">
        <v>47</v>
      </c>
      <c r="L1" s="20" t="s">
        <v>48</v>
      </c>
      <c r="M1" s="21" t="s">
        <v>49</v>
      </c>
      <c r="N1" s="22" t="s">
        <v>50</v>
      </c>
      <c r="O1" s="24" t="s">
        <v>51</v>
      </c>
      <c r="P1" s="25" t="s">
        <v>68</v>
      </c>
      <c r="Q1" s="49" t="s">
        <v>65</v>
      </c>
      <c r="R1" s="26" t="s">
        <v>52</v>
      </c>
      <c r="S1" s="27" t="s">
        <v>53</v>
      </c>
      <c r="T1" s="28" t="s">
        <v>66</v>
      </c>
      <c r="U1" s="23" t="s">
        <v>69</v>
      </c>
      <c r="V1" s="31" t="s">
        <v>54</v>
      </c>
      <c r="W1" s="32" t="s">
        <v>55</v>
      </c>
      <c r="X1" s="35" t="s">
        <v>56</v>
      </c>
      <c r="Y1" s="50" t="s">
        <v>67</v>
      </c>
      <c r="Z1" s="36" t="s">
        <v>57</v>
      </c>
      <c r="AA1" s="34" t="s">
        <v>58</v>
      </c>
      <c r="AB1" s="32" t="s">
        <v>59</v>
      </c>
      <c r="AC1" s="33" t="s">
        <v>60</v>
      </c>
    </row>
    <row r="2" spans="1:29" ht="16.2" thickTop="1" x14ac:dyDescent="0.3">
      <c r="A2" s="89" t="s">
        <v>97</v>
      </c>
      <c r="B2" s="141">
        <v>1</v>
      </c>
      <c r="C2" s="85">
        <v>16</v>
      </c>
      <c r="D2" s="152">
        <f>15+4</f>
        <v>19</v>
      </c>
      <c r="E2" s="199">
        <f>18+4</f>
        <v>22</v>
      </c>
      <c r="F2" s="91">
        <v>0</v>
      </c>
      <c r="G2" s="132" t="s">
        <v>61</v>
      </c>
      <c r="H2" s="92">
        <v>0</v>
      </c>
      <c r="I2" s="93"/>
      <c r="J2" s="94"/>
      <c r="K2" s="95"/>
      <c r="L2" s="135"/>
      <c r="M2" s="139"/>
      <c r="N2" s="134" t="s">
        <v>113</v>
      </c>
      <c r="O2" s="97"/>
      <c r="P2" s="98"/>
      <c r="Q2" s="138" t="s">
        <v>96</v>
      </c>
      <c r="R2" s="136" t="s">
        <v>96</v>
      </c>
      <c r="S2" s="99"/>
      <c r="T2" s="100"/>
      <c r="U2" s="101"/>
      <c r="V2" s="86"/>
      <c r="W2" s="87">
        <f t="shared" ref="W2:W7" si="0">SUM(I2:U2)</f>
        <v>0</v>
      </c>
      <c r="X2" s="102"/>
      <c r="Y2" s="103"/>
      <c r="Z2" s="104"/>
      <c r="AA2" s="88">
        <v>53</v>
      </c>
      <c r="AB2" s="53">
        <f t="shared" ref="AB2:AB3" si="1">SUM(Z2:AA2)-(W2+X2)</f>
        <v>53</v>
      </c>
      <c r="AC2" s="133">
        <f t="shared" ref="AC2:AC3" si="2">SMALL(AA2:AB2,1)+Y2</f>
        <v>53</v>
      </c>
    </row>
    <row r="3" spans="1:29" x14ac:dyDescent="0.3">
      <c r="A3" s="89" t="s">
        <v>104</v>
      </c>
      <c r="B3" s="141">
        <v>1</v>
      </c>
      <c r="C3" s="199">
        <f>13+3</f>
        <v>16</v>
      </c>
      <c r="D3" s="105">
        <v>21</v>
      </c>
      <c r="E3" s="199">
        <f>23+3</f>
        <v>26</v>
      </c>
      <c r="F3" s="91">
        <v>0</v>
      </c>
      <c r="G3" s="132" t="s">
        <v>61</v>
      </c>
      <c r="H3" s="92">
        <v>0</v>
      </c>
      <c r="I3" s="93">
        <v>34</v>
      </c>
      <c r="J3" s="94"/>
      <c r="K3" s="95"/>
      <c r="L3" s="135"/>
      <c r="M3" s="139"/>
      <c r="N3" s="134" t="s">
        <v>112</v>
      </c>
      <c r="O3" s="97"/>
      <c r="P3" s="98">
        <v>3</v>
      </c>
      <c r="Q3" s="138" t="s">
        <v>96</v>
      </c>
      <c r="R3" s="136" t="s">
        <v>96</v>
      </c>
      <c r="S3" s="99"/>
      <c r="T3" s="100"/>
      <c r="U3" s="101"/>
      <c r="V3" s="86"/>
      <c r="W3" s="87">
        <f t="shared" si="0"/>
        <v>37</v>
      </c>
      <c r="X3" s="102"/>
      <c r="Y3" s="103"/>
      <c r="Z3" s="104"/>
      <c r="AA3" s="88">
        <v>79</v>
      </c>
      <c r="AB3" s="53">
        <f t="shared" si="1"/>
        <v>42</v>
      </c>
      <c r="AC3" s="133">
        <f t="shared" si="2"/>
        <v>42</v>
      </c>
    </row>
    <row r="4" spans="1:29" x14ac:dyDescent="0.3">
      <c r="A4" s="177" t="s">
        <v>122</v>
      </c>
      <c r="B4" s="141"/>
      <c r="C4" s="85">
        <f>13</f>
        <v>13</v>
      </c>
      <c r="D4" s="105">
        <v>21</v>
      </c>
      <c r="E4" s="90">
        <f>23</f>
        <v>23</v>
      </c>
      <c r="F4" s="91">
        <v>0</v>
      </c>
      <c r="G4" s="132" t="s">
        <v>61</v>
      </c>
      <c r="H4" s="92">
        <v>0</v>
      </c>
      <c r="I4" s="93">
        <v>50</v>
      </c>
      <c r="J4" s="94"/>
      <c r="K4" s="95"/>
      <c r="L4" s="135"/>
      <c r="M4" s="139"/>
      <c r="N4" s="134" t="s">
        <v>149</v>
      </c>
      <c r="O4" s="97"/>
      <c r="P4" s="98">
        <v>11</v>
      </c>
      <c r="Q4" s="138" t="s">
        <v>96</v>
      </c>
      <c r="R4" s="190"/>
      <c r="S4" s="99"/>
      <c r="T4" s="100"/>
      <c r="U4" s="101"/>
      <c r="V4" s="86"/>
      <c r="W4" s="87">
        <f t="shared" si="0"/>
        <v>61</v>
      </c>
      <c r="X4" s="102"/>
      <c r="Y4" s="103"/>
      <c r="Z4" s="104">
        <v>19</v>
      </c>
      <c r="AA4" s="88">
        <v>70</v>
      </c>
      <c r="AB4" s="53">
        <f t="shared" ref="AB4:AB5" si="3">SUM(Z4:AA4)-(W4+X4)</f>
        <v>28</v>
      </c>
      <c r="AC4" s="133">
        <f t="shared" ref="AC4:AC5" si="4">SMALL(AA4:AB4,1)+Y4</f>
        <v>28</v>
      </c>
    </row>
    <row r="5" spans="1:29" x14ac:dyDescent="0.3">
      <c r="A5" s="177" t="s">
        <v>124</v>
      </c>
      <c r="B5" s="141"/>
      <c r="C5" s="85">
        <v>14</v>
      </c>
      <c r="D5" s="105">
        <v>17</v>
      </c>
      <c r="E5" s="90">
        <v>21</v>
      </c>
      <c r="F5" s="91">
        <v>0</v>
      </c>
      <c r="G5" s="132" t="s">
        <v>61</v>
      </c>
      <c r="H5" s="92">
        <v>0</v>
      </c>
      <c r="I5" s="93"/>
      <c r="J5" s="94"/>
      <c r="K5" s="95"/>
      <c r="L5" s="135"/>
      <c r="M5" s="201" t="s">
        <v>96</v>
      </c>
      <c r="N5" s="134"/>
      <c r="O5" s="202" t="s">
        <v>96</v>
      </c>
      <c r="P5" s="98"/>
      <c r="Q5" s="138" t="s">
        <v>96</v>
      </c>
      <c r="R5" s="136" t="s">
        <v>96</v>
      </c>
      <c r="S5" s="99"/>
      <c r="T5" s="100"/>
      <c r="U5" s="101"/>
      <c r="V5" s="86"/>
      <c r="W5" s="87">
        <f t="shared" si="0"/>
        <v>0</v>
      </c>
      <c r="X5" s="102"/>
      <c r="Y5" s="103"/>
      <c r="Z5" s="104"/>
      <c r="AA5" s="88">
        <v>55</v>
      </c>
      <c r="AB5" s="53">
        <f t="shared" si="3"/>
        <v>55</v>
      </c>
      <c r="AC5" s="133">
        <f t="shared" si="4"/>
        <v>55</v>
      </c>
    </row>
    <row r="6" spans="1:29" x14ac:dyDescent="0.3">
      <c r="A6" s="177" t="s">
        <v>136</v>
      </c>
      <c r="B6" s="179">
        <v>1</v>
      </c>
      <c r="C6" s="85">
        <v>12</v>
      </c>
      <c r="D6" s="105">
        <v>14</v>
      </c>
      <c r="E6" s="90">
        <v>16</v>
      </c>
      <c r="F6" s="91">
        <v>0</v>
      </c>
      <c r="G6" s="132" t="s">
        <v>61</v>
      </c>
      <c r="H6" s="92">
        <v>0</v>
      </c>
      <c r="I6" s="93"/>
      <c r="J6" s="94"/>
      <c r="K6" s="95"/>
      <c r="L6" s="135"/>
      <c r="M6" s="139"/>
      <c r="N6" s="96"/>
      <c r="O6" s="97"/>
      <c r="P6" s="98"/>
      <c r="Q6" s="138" t="s">
        <v>96</v>
      </c>
      <c r="R6" s="190"/>
      <c r="S6" s="99"/>
      <c r="T6" s="100"/>
      <c r="U6" s="101"/>
      <c r="V6" s="86"/>
      <c r="W6" s="87">
        <f t="shared" si="0"/>
        <v>0</v>
      </c>
      <c r="X6" s="102"/>
      <c r="Y6" s="103"/>
      <c r="Z6" s="104"/>
      <c r="AA6" s="88">
        <v>13</v>
      </c>
      <c r="AB6" s="53">
        <f t="shared" ref="AB6" si="5">SUM(Z6:AA6)-(W6+X6)</f>
        <v>13</v>
      </c>
      <c r="AC6" s="133">
        <f t="shared" ref="AC6" si="6">SMALL(AA6:AB6,1)+Y6</f>
        <v>13</v>
      </c>
    </row>
    <row r="7" spans="1:29" x14ac:dyDescent="0.3">
      <c r="A7" s="153" t="s">
        <v>148</v>
      </c>
      <c r="B7" s="179"/>
      <c r="C7" s="85">
        <v>11</v>
      </c>
      <c r="D7" s="105">
        <v>21</v>
      </c>
      <c r="E7" s="90">
        <v>22</v>
      </c>
      <c r="F7" s="91">
        <v>15</v>
      </c>
      <c r="G7" s="132" t="s">
        <v>146</v>
      </c>
      <c r="H7" s="92">
        <v>5</v>
      </c>
      <c r="I7" s="93">
        <v>17</v>
      </c>
      <c r="J7" s="94">
        <v>21</v>
      </c>
      <c r="K7" s="95"/>
      <c r="L7" s="135">
        <v>8</v>
      </c>
      <c r="M7" s="139"/>
      <c r="N7" s="96">
        <v>47</v>
      </c>
      <c r="O7" s="97"/>
      <c r="P7" s="98"/>
      <c r="Q7" s="189">
        <v>15</v>
      </c>
      <c r="R7" s="190"/>
      <c r="S7" s="99"/>
      <c r="T7" s="100"/>
      <c r="U7" s="101"/>
      <c r="V7" s="86"/>
      <c r="W7" s="87">
        <f t="shared" si="0"/>
        <v>108</v>
      </c>
      <c r="X7" s="102"/>
      <c r="Y7" s="103"/>
      <c r="Z7" s="104"/>
      <c r="AA7" s="88">
        <v>133</v>
      </c>
      <c r="AB7" s="53">
        <f t="shared" ref="AB7" si="7">SUM(Z7:AA7)-(W7+X7)</f>
        <v>25</v>
      </c>
      <c r="AC7" s="133">
        <f t="shared" ref="AC7" si="8">SMALL(AA7:AB7,1)+Y7</f>
        <v>25</v>
      </c>
    </row>
    <row r="8" spans="1:29" x14ac:dyDescent="0.3">
      <c r="A8" s="153"/>
      <c r="B8" s="179"/>
      <c r="C8" s="85"/>
      <c r="D8" s="105"/>
      <c r="E8" s="90"/>
      <c r="F8" s="91">
        <v>0</v>
      </c>
      <c r="G8" s="132" t="s">
        <v>61</v>
      </c>
      <c r="H8" s="92">
        <v>0</v>
      </c>
      <c r="I8" s="93"/>
      <c r="J8" s="94"/>
      <c r="K8" s="95"/>
      <c r="L8" s="135"/>
      <c r="M8" s="139"/>
      <c r="N8" s="96"/>
      <c r="O8" s="97"/>
      <c r="P8" s="98"/>
      <c r="Q8" s="189"/>
      <c r="R8" s="190"/>
      <c r="S8" s="99"/>
      <c r="T8" s="100"/>
      <c r="U8" s="101"/>
      <c r="V8" s="86"/>
      <c r="W8" s="87">
        <f t="shared" ref="W8" si="9">SUM(I8:U8)</f>
        <v>0</v>
      </c>
      <c r="X8" s="102"/>
      <c r="Y8" s="103"/>
      <c r="Z8" s="104"/>
      <c r="AA8" s="88"/>
      <c r="AB8" s="53">
        <f t="shared" ref="AB8" si="10">SUM(Z8:AA8)-(W8+X8)</f>
        <v>0</v>
      </c>
      <c r="AC8" s="133">
        <f t="shared" ref="AC8" si="11">SMALL(AA8:AB8,1)+Y8</f>
        <v>0</v>
      </c>
    </row>
    <row r="9" spans="1:29" x14ac:dyDescent="0.3">
      <c r="A9" s="153"/>
      <c r="B9" s="179"/>
      <c r="C9" s="85"/>
      <c r="D9" s="105"/>
      <c r="E9" s="90"/>
      <c r="F9" s="91">
        <v>0</v>
      </c>
      <c r="G9" s="132" t="s">
        <v>61</v>
      </c>
      <c r="H9" s="92">
        <v>0</v>
      </c>
      <c r="I9" s="93"/>
      <c r="J9" s="94"/>
      <c r="K9" s="95"/>
      <c r="L9" s="135"/>
      <c r="M9" s="139"/>
      <c r="N9" s="96"/>
      <c r="O9" s="97"/>
      <c r="P9" s="98"/>
      <c r="Q9" s="189"/>
      <c r="R9" s="190"/>
      <c r="S9" s="99"/>
      <c r="T9" s="100"/>
      <c r="U9" s="101"/>
      <c r="V9" s="86"/>
      <c r="W9" s="87">
        <f t="shared" ref="W9" si="12">SUM(I9:U9)</f>
        <v>0</v>
      </c>
      <c r="X9" s="102"/>
      <c r="Y9" s="103"/>
      <c r="Z9" s="104"/>
      <c r="AA9" s="88"/>
      <c r="AB9" s="53">
        <f t="shared" ref="AB9" si="13">SUM(Z9:AA9)-(W9+X9)</f>
        <v>0</v>
      </c>
      <c r="AC9" s="133">
        <f t="shared" ref="AC9" si="14">SMALL(AA9:AB9,1)+Y9</f>
        <v>0</v>
      </c>
    </row>
    <row r="10" spans="1:29" x14ac:dyDescent="0.3">
      <c r="A10" s="153"/>
      <c r="B10" s="179"/>
      <c r="C10" s="85"/>
      <c r="D10" s="105"/>
      <c r="E10" s="90"/>
      <c r="F10" s="91">
        <v>0</v>
      </c>
      <c r="G10" s="132" t="s">
        <v>61</v>
      </c>
      <c r="H10" s="92">
        <v>0</v>
      </c>
      <c r="I10" s="93"/>
      <c r="J10" s="94"/>
      <c r="K10" s="95"/>
      <c r="L10" s="135"/>
      <c r="M10" s="139"/>
      <c r="N10" s="96"/>
      <c r="O10" s="97"/>
      <c r="P10" s="98"/>
      <c r="Q10" s="189"/>
      <c r="R10" s="190"/>
      <c r="S10" s="99"/>
      <c r="T10" s="100"/>
      <c r="U10" s="101"/>
      <c r="V10" s="86"/>
      <c r="W10" s="87">
        <f t="shared" ref="W10:W11" si="15">SUM(I10:U10)</f>
        <v>0</v>
      </c>
      <c r="X10" s="102"/>
      <c r="Y10" s="103"/>
      <c r="Z10" s="104"/>
      <c r="AA10" s="88"/>
      <c r="AB10" s="53">
        <f t="shared" ref="AB10:AB11" si="16">SUM(Z10:AA10)-(W10+X10)</f>
        <v>0</v>
      </c>
      <c r="AC10" s="133">
        <f t="shared" ref="AC10:AC11" si="17">SMALL(AA10:AB10,1)+Y10</f>
        <v>0</v>
      </c>
    </row>
    <row r="11" spans="1:29" x14ac:dyDescent="0.3">
      <c r="A11" s="153"/>
      <c r="B11" s="179"/>
      <c r="C11" s="85"/>
      <c r="D11" s="105"/>
      <c r="E11" s="90"/>
      <c r="F11" s="91">
        <v>0</v>
      </c>
      <c r="G11" s="132" t="s">
        <v>61</v>
      </c>
      <c r="H11" s="92">
        <v>0</v>
      </c>
      <c r="I11" s="93"/>
      <c r="J11" s="94"/>
      <c r="K11" s="95"/>
      <c r="L11" s="135"/>
      <c r="M11" s="139"/>
      <c r="N11" s="96"/>
      <c r="O11" s="97"/>
      <c r="P11" s="98"/>
      <c r="Q11" s="189"/>
      <c r="R11" s="190"/>
      <c r="S11" s="99"/>
      <c r="T11" s="100"/>
      <c r="U11" s="101"/>
      <c r="V11" s="86"/>
      <c r="W11" s="87">
        <f t="shared" si="15"/>
        <v>0</v>
      </c>
      <c r="X11" s="102"/>
      <c r="Y11" s="103"/>
      <c r="Z11" s="104"/>
      <c r="AA11" s="88"/>
      <c r="AB11" s="53">
        <f t="shared" si="16"/>
        <v>0</v>
      </c>
      <c r="AC11" s="133">
        <f t="shared" si="17"/>
        <v>0</v>
      </c>
    </row>
  </sheetData>
  <sortState xmlns:xlrd2="http://schemas.microsoft.com/office/spreadsheetml/2017/richdata2" ref="A2:AC3">
    <sortCondition ref="A2:A3"/>
  </sortState>
  <conditionalFormatting sqref="AC2:AC11">
    <cfRule type="cellIs" dxfId="1" priority="1" stopIfTrue="1" operator="lessThan">
      <formula>0.5</formula>
    </cfRule>
    <cfRule type="cellIs" dxfId="0" priority="2" operator="lessThan">
      <formula>0.5*AA2</formula>
    </cfRule>
  </conditionalFormatting>
  <pageMargins left="0.7" right="0.7" top="0.75" bottom="0.75" header="0.3" footer="0.3"/>
  <pageSetup orientation="portrait" horizontalDpi="300" verticalDpi="300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Z34"/>
  <sheetViews>
    <sheetView showGridLines="0" zoomScaleNormal="100" workbookViewId="0"/>
  </sheetViews>
  <sheetFormatPr defaultColWidth="9" defaultRowHeight="15.6" x14ac:dyDescent="0.3"/>
  <cols>
    <col min="1" max="1" width="1.8984375" style="5" customWidth="1"/>
    <col min="2" max="2" width="8.59765625" style="1" bestFit="1" customWidth="1"/>
    <col min="3" max="3" width="3.8984375" style="5" customWidth="1"/>
    <col min="4" max="7" width="3.8984375" style="5" bestFit="1" customWidth="1"/>
    <col min="8" max="11" width="3.8984375" style="5" customWidth="1"/>
    <col min="12" max="12" width="3.8984375" style="5" bestFit="1" customWidth="1"/>
    <col min="13" max="18" width="8.69921875" style="5" customWidth="1"/>
    <col min="19" max="16384" width="9" style="5"/>
  </cols>
  <sheetData>
    <row r="1" spans="1:20" s="1" customFormat="1" ht="16.8" thickTop="1" thickBot="1" x14ac:dyDescent="0.35">
      <c r="A1" s="5"/>
      <c r="B1" s="2"/>
      <c r="C1" s="3" t="s">
        <v>6</v>
      </c>
      <c r="D1" s="3" t="s">
        <v>7</v>
      </c>
      <c r="E1" s="3" t="s">
        <v>8</v>
      </c>
      <c r="F1" s="3" t="s">
        <v>9</v>
      </c>
      <c r="G1" s="3" t="s">
        <v>10</v>
      </c>
      <c r="H1" s="173" t="s">
        <v>11</v>
      </c>
      <c r="I1" s="173" t="s">
        <v>108</v>
      </c>
      <c r="J1" s="173" t="s">
        <v>109</v>
      </c>
      <c r="K1" s="173" t="s">
        <v>110</v>
      </c>
      <c r="L1" s="4" t="s">
        <v>111</v>
      </c>
    </row>
    <row r="2" spans="1:20" x14ac:dyDescent="0.3">
      <c r="B2" s="6" t="s">
        <v>12</v>
      </c>
      <c r="C2" s="7">
        <f ca="1">RANDBETWEEN(1,3)</f>
        <v>1</v>
      </c>
      <c r="D2" s="7">
        <f ca="1">RANDBETWEEN(1,3)+RANDBETWEEN(1,3)</f>
        <v>3</v>
      </c>
      <c r="E2" s="7">
        <f ca="1">RANDBETWEEN(1,3)+RANDBETWEEN(1,3)+RANDBETWEEN(1,3)</f>
        <v>8</v>
      </c>
      <c r="F2" s="7">
        <f ca="1">RANDBETWEEN(1,3)+RANDBETWEEN(1,3)+RANDBETWEEN(1,3)+RANDBETWEEN(1,3)</f>
        <v>6</v>
      </c>
      <c r="G2" s="7">
        <f ca="1">RANDBETWEEN(1,3)+RANDBETWEEN(1,3)+RANDBETWEEN(1,3)+RANDBETWEEN(1,3)+RANDBETWEEN(1,3)</f>
        <v>9</v>
      </c>
      <c r="H2" s="174">
        <f ca="1">RANDBETWEEN(1,3)+RANDBETWEEN(1,3)+RANDBETWEEN(1,3)+RANDBETWEEN(1,3)+RANDBETWEEN(1,3)+RANDBETWEEN(1,3)</f>
        <v>15</v>
      </c>
      <c r="I2" s="174">
        <f ca="1">RANDBETWEEN(1,3)+RANDBETWEEN(1,3)+RANDBETWEEN(1,3)+RANDBETWEEN(1,3)+RANDBETWEEN(1,3)+RANDBETWEEN(1,3)+RANDBETWEEN(1,3)</f>
        <v>16</v>
      </c>
      <c r="J2" s="174">
        <f ca="1">RANDBETWEEN(1,3)+RANDBETWEEN(1,3)+RANDBETWEEN(1,3)+RANDBETWEEN(1,3)+RANDBETWEEN(1,3)+RANDBETWEEN(1,3)+RANDBETWEEN(1,3)+RANDBETWEEN(1,3)</f>
        <v>16</v>
      </c>
      <c r="K2" s="174">
        <f ca="1">RANDBETWEEN(1,3)+RANDBETWEEN(1,3)+RANDBETWEEN(1,3)+RANDBETWEEN(1,3)+RANDBETWEEN(1,3)+RANDBETWEEN(1,3)+RANDBETWEEN(1,3)+RANDBETWEEN(1,3)+RANDBETWEEN(1,3)</f>
        <v>17</v>
      </c>
      <c r="L2" s="8">
        <f ca="1">RANDBETWEEN(1,3)+RANDBETWEEN(1,3)+RANDBETWEEN(1,3)+RANDBETWEEN(1,3)+RANDBETWEEN(1,3)+RANDBETWEEN(1,3)+RANDBETWEEN(1,3)+RANDBETWEEN(1,3)+RANDBETWEEN(1,3)+RANDBETWEEN(1,3)</f>
        <v>22</v>
      </c>
      <c r="P2" s="1"/>
      <c r="Q2" s="1"/>
      <c r="R2" s="1"/>
      <c r="S2" s="1"/>
      <c r="T2" s="1"/>
    </row>
    <row r="3" spans="1:20" x14ac:dyDescent="0.3">
      <c r="B3" s="9" t="s">
        <v>13</v>
      </c>
      <c r="C3" s="10">
        <f ca="1">RANDBETWEEN(1,4)</f>
        <v>4</v>
      </c>
      <c r="D3" s="10">
        <f ca="1">RANDBETWEEN(1,4)+RANDBETWEEN(1,4)</f>
        <v>5</v>
      </c>
      <c r="E3" s="10">
        <f ca="1">RANDBETWEEN(1,4)+RANDBETWEEN(1,4)+RANDBETWEEN(1,4)</f>
        <v>7</v>
      </c>
      <c r="F3" s="10">
        <f ca="1">RANDBETWEEN(1,4)+RANDBETWEEN(1,4)+RANDBETWEEN(1,4)+RANDBETWEEN(1,4)</f>
        <v>10</v>
      </c>
      <c r="G3" s="10">
        <f ca="1">RANDBETWEEN(1,4)+RANDBETWEEN(1,4)+RANDBETWEEN(1,4)+RANDBETWEEN(1,4)+RANDBETWEEN(1,4)</f>
        <v>12</v>
      </c>
      <c r="H3" s="175">
        <f ca="1">RANDBETWEEN(1,4)+RANDBETWEEN(1,4)+RANDBETWEEN(1,4)+RANDBETWEEN(1,4)+RANDBETWEEN(1,4)+RANDBETWEEN(1,4)</f>
        <v>21</v>
      </c>
      <c r="I3" s="175">
        <f ca="1">RANDBETWEEN(1,4)+RANDBETWEEN(1,4)+RANDBETWEEN(1,4)+RANDBETWEEN(1,4)+RANDBETWEEN(1,4)+RANDBETWEEN(1,4)+RANDBETWEEN(1,4)</f>
        <v>22</v>
      </c>
      <c r="J3" s="175">
        <f ca="1">RANDBETWEEN(1,4)+RANDBETWEEN(1,4)+RANDBETWEEN(1,4)+RANDBETWEEN(1,4)+RANDBETWEEN(1,4)+RANDBETWEEN(1,4)+RANDBETWEEN(1,4)+RANDBETWEEN(1,4)</f>
        <v>23</v>
      </c>
      <c r="K3" s="175">
        <f ca="1">RANDBETWEEN(1,4)+RANDBETWEEN(1,4)+RANDBETWEEN(1,4)+RANDBETWEEN(1,4)+RANDBETWEEN(1,4)+RANDBETWEEN(1,4)+RANDBETWEEN(1,4)+RANDBETWEEN(1,4)+RANDBETWEEN(1,4)</f>
        <v>22</v>
      </c>
      <c r="L3" s="11">
        <f ca="1">RANDBETWEEN(1,4)+RANDBETWEEN(1,4)+RANDBETWEEN(1,4)+RANDBETWEEN(1,4)+RANDBETWEEN(1,4)+RANDBETWEEN(1,4)+RANDBETWEEN(1,4)+RANDBETWEEN(1,4)+RANDBETWEEN(1,4)+RANDBETWEEN(1,4)</f>
        <v>26</v>
      </c>
      <c r="P3" s="1"/>
      <c r="Q3" s="1"/>
      <c r="R3" s="1"/>
      <c r="S3" s="1"/>
      <c r="T3" s="1"/>
    </row>
    <row r="4" spans="1:20" x14ac:dyDescent="0.3">
      <c r="B4" s="9" t="s">
        <v>14</v>
      </c>
      <c r="C4" s="10">
        <f ca="1">RANDBETWEEN(1,6)</f>
        <v>2</v>
      </c>
      <c r="D4" s="10">
        <f ca="1">RANDBETWEEN(1,6)+RANDBETWEEN(1,6)</f>
        <v>11</v>
      </c>
      <c r="E4" s="10">
        <f ca="1">RANDBETWEEN(1,6)+RANDBETWEEN(1,6)+RANDBETWEEN(1,6)</f>
        <v>6</v>
      </c>
      <c r="F4" s="10">
        <f ca="1">RANDBETWEEN(1,6)+RANDBETWEEN(1,6)+RANDBETWEEN(1,6)+RANDBETWEEN(1,6)</f>
        <v>17</v>
      </c>
      <c r="G4" s="10">
        <f ca="1">RANDBETWEEN(1,6)+RANDBETWEEN(1,6)+RANDBETWEEN(1,6)+RANDBETWEEN(1,6)+RANDBETWEEN(1,6)</f>
        <v>20</v>
      </c>
      <c r="H4" s="175">
        <f ca="1">RANDBETWEEN(1,6)+RANDBETWEEN(1,6)+RANDBETWEEN(1,6)+RANDBETWEEN(1,6)+RANDBETWEEN(1,6)+RANDBETWEEN(1,6)</f>
        <v>21</v>
      </c>
      <c r="I4" s="175">
        <f ca="1">RANDBETWEEN(1,6)+RANDBETWEEN(1,6)+RANDBETWEEN(1,6)+RANDBETWEEN(1,6)+RANDBETWEEN(1,6)+RANDBETWEEN(1,6)+RANDBETWEEN(1,6)</f>
        <v>25</v>
      </c>
      <c r="J4" s="175">
        <f ca="1">RANDBETWEEN(1,6)+RANDBETWEEN(1,6)+RANDBETWEEN(1,6)+RANDBETWEEN(1,6)+RANDBETWEEN(1,6)+RANDBETWEEN(1,6)+RANDBETWEEN(1,6)+RANDBETWEEN(1,6)</f>
        <v>33</v>
      </c>
      <c r="K4" s="175">
        <f ca="1">RANDBETWEEN(1,6)+RANDBETWEEN(1,6)+RANDBETWEEN(1,6)+RANDBETWEEN(1,6)+RANDBETWEEN(1,6)+RANDBETWEEN(1,6)+RANDBETWEEN(1,6)+RANDBETWEEN(1,6)+RANDBETWEEN(1,6)</f>
        <v>26</v>
      </c>
      <c r="L4" s="11">
        <f ca="1">RANDBETWEEN(1,6)+RANDBETWEEN(1,6)+RANDBETWEEN(1,6)+RANDBETWEEN(1,6)+RANDBETWEEN(1,6)+RANDBETWEEN(1,6)+RANDBETWEEN(1,6)+RANDBETWEEN(1,6)+RANDBETWEEN(1,6)+RANDBETWEEN(1,6)</f>
        <v>41</v>
      </c>
      <c r="P4" s="1"/>
      <c r="Q4" s="1"/>
      <c r="R4" s="1"/>
      <c r="S4" s="1"/>
      <c r="T4" s="1"/>
    </row>
    <row r="5" spans="1:20" x14ac:dyDescent="0.3">
      <c r="B5" s="9" t="s">
        <v>15</v>
      </c>
      <c r="C5" s="10">
        <f ca="1">RANDBETWEEN(1,8)</f>
        <v>6</v>
      </c>
      <c r="D5" s="10">
        <f ca="1">RANDBETWEEN(1,8)+RANDBETWEEN(1,8)</f>
        <v>13</v>
      </c>
      <c r="E5" s="10">
        <f ca="1">RANDBETWEEN(1,8)+RANDBETWEEN(1,8)+RANDBETWEEN(1,8)</f>
        <v>11</v>
      </c>
      <c r="F5" s="10">
        <f ca="1">RANDBETWEEN(1,8)+RANDBETWEEN(1,8)+RANDBETWEEN(1,8)+RANDBETWEEN(1,8)</f>
        <v>24</v>
      </c>
      <c r="G5" s="10">
        <f ca="1">RANDBETWEEN(1,8)+RANDBETWEEN(1,8)+RANDBETWEEN(1,8)+RANDBETWEEN(1,8)+RANDBETWEEN(1,8)</f>
        <v>20</v>
      </c>
      <c r="H5" s="175">
        <f ca="1">RANDBETWEEN(1,8)+RANDBETWEEN(1,8)+RANDBETWEEN(1,8)+RANDBETWEEN(1,8)+RANDBETWEEN(1,8)+RANDBETWEEN(1,8)</f>
        <v>36</v>
      </c>
      <c r="I5" s="175">
        <f ca="1">RANDBETWEEN(1,8)+RANDBETWEEN(1,8)+RANDBETWEEN(1,8)+RANDBETWEEN(1,8)+RANDBETWEEN(1,8)+RANDBETWEEN(1,8)+RANDBETWEEN(1,8)</f>
        <v>25</v>
      </c>
      <c r="J5" s="175">
        <f ca="1">RANDBETWEEN(1,8)+RANDBETWEEN(1,8)+RANDBETWEEN(1,8)+RANDBETWEEN(1,8)+RANDBETWEEN(1,8)+RANDBETWEEN(1,8)+RANDBETWEEN(1,8)+RANDBETWEEN(1,8)</f>
        <v>40</v>
      </c>
      <c r="K5" s="175">
        <f ca="1">RANDBETWEEN(1,8)+RANDBETWEEN(1,8)+RANDBETWEEN(1,8)+RANDBETWEEN(1,8)+RANDBETWEEN(1,8)+RANDBETWEEN(1,8)+RANDBETWEEN(1,8)+RANDBETWEEN(1,8)+RANDBETWEEN(1,8)</f>
        <v>54</v>
      </c>
      <c r="L5" s="11">
        <f ca="1">RANDBETWEEN(1,8)+RANDBETWEEN(1,8)+RANDBETWEEN(1,8)+RANDBETWEEN(1,8)+RANDBETWEEN(1,8)+RANDBETWEEN(1,8)+RANDBETWEEN(1,8)+RANDBETWEEN(1,8)+RANDBETWEEN(1,8)+RANDBETWEEN(1,8)</f>
        <v>48</v>
      </c>
      <c r="P5" s="1"/>
      <c r="Q5" s="1"/>
      <c r="R5" s="1"/>
      <c r="S5" s="1"/>
      <c r="T5" s="1"/>
    </row>
    <row r="6" spans="1:20" x14ac:dyDescent="0.3">
      <c r="B6" s="9" t="s">
        <v>16</v>
      </c>
      <c r="C6" s="10">
        <f ca="1">RANDBETWEEN(1,10)</f>
        <v>4</v>
      </c>
      <c r="D6" s="10">
        <f ca="1">RANDBETWEEN(1,10)+RANDBETWEEN(1,10)</f>
        <v>10</v>
      </c>
      <c r="E6" s="10">
        <f ca="1">RANDBETWEEN(1,10)+RANDBETWEEN(1,10)+RANDBETWEEN(1,10)</f>
        <v>9</v>
      </c>
      <c r="F6" s="10">
        <f ca="1">RANDBETWEEN(1,10)+RANDBETWEEN(1,10)+RANDBETWEEN(1,10)+RANDBETWEEN(1,10)</f>
        <v>32</v>
      </c>
      <c r="G6" s="10">
        <f ca="1">RANDBETWEEN(1,10)+RANDBETWEEN(1,10)+RANDBETWEEN(1,10)+RANDBETWEEN(1,10)+RANDBETWEEN(1,10)</f>
        <v>28</v>
      </c>
      <c r="H6" s="175">
        <f ca="1">RANDBETWEEN(1,10)+RANDBETWEEN(1,10)+RANDBETWEEN(1,10)+RANDBETWEEN(1,10)+RANDBETWEEN(1,10)+RANDBETWEEN(1,10)</f>
        <v>31</v>
      </c>
      <c r="I6" s="175">
        <f ca="1">RANDBETWEEN(1,10)+RANDBETWEEN(1,10)+RANDBETWEEN(1,10)+RANDBETWEEN(1,10)+RANDBETWEEN(1,10)+RANDBETWEEN(1,10)+RANDBETWEEN(1,10)</f>
        <v>43</v>
      </c>
      <c r="J6" s="175">
        <f ca="1">RANDBETWEEN(1,10)+RANDBETWEEN(1,10)+RANDBETWEEN(1,10)+RANDBETWEEN(1,10)+RANDBETWEEN(1,10)+RANDBETWEEN(1,10)+RANDBETWEEN(1,10)+RANDBETWEEN(1,10)</f>
        <v>63</v>
      </c>
      <c r="K6" s="175">
        <f ca="1">RANDBETWEEN(1,10)+RANDBETWEEN(1,10)+RANDBETWEEN(1,10)+RANDBETWEEN(1,10)+RANDBETWEEN(1,10)+RANDBETWEEN(1,10)+RANDBETWEEN(1,10)+RANDBETWEEN(1,10)+RANDBETWEEN(1,10)</f>
        <v>64</v>
      </c>
      <c r="L6" s="11">
        <f ca="1">RANDBETWEEN(1,10)+RANDBETWEEN(1,10)+RANDBETWEEN(1,10)+RANDBETWEEN(1,10)+RANDBETWEEN(1,10)+RANDBETWEEN(1,10)+RANDBETWEEN(1,10)+RANDBETWEEN(1,10)+RANDBETWEEN(1,10)+RANDBETWEEN(1,10)</f>
        <v>72</v>
      </c>
      <c r="P6" s="1"/>
      <c r="Q6" s="1"/>
      <c r="R6" s="1"/>
      <c r="S6" s="1"/>
      <c r="T6" s="1"/>
    </row>
    <row r="7" spans="1:20" x14ac:dyDescent="0.3">
      <c r="B7" s="9" t="s">
        <v>17</v>
      </c>
      <c r="C7" s="10">
        <f ca="1">RANDBETWEEN(1,12)</f>
        <v>2</v>
      </c>
      <c r="D7" s="10">
        <f ca="1">RANDBETWEEN(1,12)+RANDBETWEEN(1,12)</f>
        <v>9</v>
      </c>
      <c r="E7" s="10">
        <f ca="1">RANDBETWEEN(1,12)+RANDBETWEEN(1,12)+RANDBETWEEN(1,12)</f>
        <v>27</v>
      </c>
      <c r="F7" s="10">
        <f ca="1">RANDBETWEEN(1,12)+RANDBETWEEN(1,12)+RANDBETWEEN(1,12)+RANDBETWEEN(1,12)</f>
        <v>31</v>
      </c>
      <c r="G7" s="10">
        <f ca="1">RANDBETWEEN(1,12)+RANDBETWEEN(1,12)+RANDBETWEEN(1,12)+RANDBETWEEN(1,12)+RANDBETWEEN(1,12)</f>
        <v>26</v>
      </c>
      <c r="H7" s="175">
        <f ca="1">RANDBETWEEN(1,12)+RANDBETWEEN(1,12)+RANDBETWEEN(1,12)+RANDBETWEEN(1,12)+RANDBETWEEN(1,12)+RANDBETWEEN(1,12)</f>
        <v>29</v>
      </c>
      <c r="I7" s="175">
        <f ca="1">RANDBETWEEN(1,12)+RANDBETWEEN(1,12)+RANDBETWEEN(1,12)+RANDBETWEEN(1,12)+RANDBETWEEN(1,12)+RANDBETWEEN(1,12)+RANDBETWEEN(1,12)</f>
        <v>37</v>
      </c>
      <c r="J7" s="175">
        <f ca="1">RANDBETWEEN(1,12)+RANDBETWEEN(1,12)+RANDBETWEEN(1,12)+RANDBETWEEN(1,12)+RANDBETWEEN(1,12)+RANDBETWEEN(1,12)+RANDBETWEEN(1,12)+RANDBETWEEN(1,12)</f>
        <v>39</v>
      </c>
      <c r="K7" s="175">
        <f ca="1">RANDBETWEEN(1,12)+RANDBETWEEN(1,12)+RANDBETWEEN(1,12)+RANDBETWEEN(1,12)+RANDBETWEEN(1,12)+RANDBETWEEN(1,12)+RANDBETWEEN(1,12)+RANDBETWEEN(1,12)+RANDBETWEEN(1,12)</f>
        <v>42</v>
      </c>
      <c r="L7" s="11">
        <f ca="1">RANDBETWEEN(1,12)+RANDBETWEEN(1,12)+RANDBETWEEN(1,12)+RANDBETWEEN(1,12)+RANDBETWEEN(1,12)+RANDBETWEEN(1,12)+RANDBETWEEN(1,12)+RANDBETWEEN(1,12)+RANDBETWEEN(1,12)+RANDBETWEEN(1,12)</f>
        <v>74</v>
      </c>
      <c r="P7" s="1"/>
      <c r="Q7" s="1"/>
      <c r="R7" s="1"/>
      <c r="S7" s="1"/>
      <c r="T7" s="1"/>
    </row>
    <row r="8" spans="1:20" x14ac:dyDescent="0.3">
      <c r="B8" s="9" t="s">
        <v>18</v>
      </c>
      <c r="C8" s="10">
        <f ca="1">RANDBETWEEN(1,20)</f>
        <v>12</v>
      </c>
      <c r="D8" s="10">
        <f ca="1">RANDBETWEEN(1,20)+RANDBETWEEN(1,20)</f>
        <v>30</v>
      </c>
      <c r="E8" s="10">
        <f ca="1">RANDBETWEEN(1,20)+RANDBETWEEN(1,20)+RANDBETWEEN(1,20)</f>
        <v>28</v>
      </c>
      <c r="F8" s="10">
        <f ca="1">RANDBETWEEN(1,20)+RANDBETWEEN(1,20)+RANDBETWEEN(1,20)+RANDBETWEEN(1,20)</f>
        <v>53</v>
      </c>
      <c r="G8" s="10">
        <f ca="1">RANDBETWEEN(1,20)+RANDBETWEEN(1,20)+RANDBETWEEN(1,20)+RANDBETWEEN(1,20)+RANDBETWEEN(1,20)</f>
        <v>38</v>
      </c>
      <c r="H8" s="175">
        <f ca="1">RANDBETWEEN(1,20)+RANDBETWEEN(1,20)+RANDBETWEEN(1,20)+RANDBETWEEN(1,20)+RANDBETWEEN(1,20)+RANDBETWEEN(1,20)</f>
        <v>60</v>
      </c>
      <c r="I8" s="175">
        <f ca="1">RANDBETWEEN(1,20)+RANDBETWEEN(1,20)+RANDBETWEEN(1,20)+RANDBETWEEN(1,20)+RANDBETWEEN(1,20)+RANDBETWEEN(1,20)+RANDBETWEEN(1,20)</f>
        <v>75</v>
      </c>
      <c r="J8" s="175">
        <f ca="1">RANDBETWEEN(1,20)+RANDBETWEEN(1,20)+RANDBETWEEN(1,20)+RANDBETWEEN(1,20)+RANDBETWEEN(1,20)+RANDBETWEEN(1,20)+RANDBETWEEN(1,20)+RANDBETWEEN(1,20)</f>
        <v>75</v>
      </c>
      <c r="K8" s="175">
        <f ca="1">RANDBETWEEN(1,20)+RANDBETWEEN(1,20)+RANDBETWEEN(1,20)+RANDBETWEEN(1,20)+RANDBETWEEN(1,20)+RANDBETWEEN(1,20)+RANDBETWEEN(1,20)+RANDBETWEEN(1,20)+RANDBETWEEN(1,20)</f>
        <v>106</v>
      </c>
      <c r="L8" s="11">
        <f ca="1">RANDBETWEEN(1,20)+RANDBETWEEN(1,20)+RANDBETWEEN(1,20)+RANDBETWEEN(1,20)+RANDBETWEEN(1,20)+RANDBETWEEN(1,20)+RANDBETWEEN(1,20)+RANDBETWEEN(1,20)+RANDBETWEEN(1,20)+RANDBETWEEN(1,20)</f>
        <v>97</v>
      </c>
      <c r="P8" s="1"/>
      <c r="Q8" s="1"/>
      <c r="R8" s="1"/>
      <c r="S8" s="1"/>
      <c r="T8" s="1"/>
    </row>
    <row r="9" spans="1:20" ht="16.2" thickBot="1" x14ac:dyDescent="0.35">
      <c r="B9" s="12" t="s">
        <v>19</v>
      </c>
      <c r="C9" s="13">
        <f ca="1">RANDBETWEEN(1,100)</f>
        <v>47</v>
      </c>
      <c r="D9" s="13">
        <f ca="1">RANDBETWEEN(1,100)+RANDBETWEEN(1,100)</f>
        <v>82</v>
      </c>
      <c r="E9" s="13">
        <f ca="1">RANDBETWEEN(1,100)+RANDBETWEEN(1,100)+RANDBETWEEN(1,100)</f>
        <v>161</v>
      </c>
      <c r="F9" s="13">
        <f ca="1">RANDBETWEEN(1,100)+RANDBETWEEN(1,100)+RANDBETWEEN(1,100)+RANDBETWEEN(1,100)</f>
        <v>237</v>
      </c>
      <c r="G9" s="13">
        <f ca="1">RANDBETWEEN(1,100)+RANDBETWEEN(1,100)+RANDBETWEEN(1,100)+RANDBETWEEN(1,100)+RANDBETWEEN(1,100)</f>
        <v>308</v>
      </c>
      <c r="H9" s="176">
        <f ca="1">RANDBETWEEN(1,100)+RANDBETWEEN(1,100)+RANDBETWEEN(1,100)+RANDBETWEEN(1,100)+RANDBETWEEN(1,100)+RANDBETWEEN(1,100)</f>
        <v>185</v>
      </c>
      <c r="I9" s="176">
        <f ca="1">RANDBETWEEN(1,100)+RANDBETWEEN(1,100)+RANDBETWEEN(1,100)+RANDBETWEEN(1,100)+RANDBETWEEN(1,100)+RANDBETWEEN(1,100)+RANDBETWEEN(1,100)</f>
        <v>355</v>
      </c>
      <c r="J9" s="176">
        <f ca="1">RANDBETWEEN(1,100)+RANDBETWEEN(1,100)+RANDBETWEEN(1,100)+RANDBETWEEN(1,100)+RANDBETWEEN(1,100)+RANDBETWEEN(1,100)+RANDBETWEEN(1,100)+RANDBETWEEN(1,100)</f>
        <v>315</v>
      </c>
      <c r="K9" s="176">
        <f ca="1">RANDBETWEEN(1,100)+RANDBETWEEN(1,100)+RANDBETWEEN(1,100)+RANDBETWEEN(1,100)+RANDBETWEEN(1,100)+RANDBETWEEN(1,100)+RANDBETWEEN(1,100)+RANDBETWEEN(1,100)+RANDBETWEEN(1,100)</f>
        <v>521</v>
      </c>
      <c r="L9" s="14">
        <f ca="1">RANDBETWEEN(1,100)+RANDBETWEEN(1,100)+RANDBETWEEN(1,100)+RANDBETWEEN(1,100)+RANDBETWEEN(1,100)+RANDBETWEEN(1,100)+RANDBETWEEN(1,100)+RANDBETWEEN(1,100)+RANDBETWEEN(1,100)+RANDBETWEEN(1,100)</f>
        <v>616</v>
      </c>
      <c r="P9" s="1"/>
      <c r="Q9" s="1"/>
      <c r="R9" s="1"/>
      <c r="S9" s="1"/>
      <c r="T9" s="1"/>
    </row>
    <row r="10" spans="1:20" ht="16.2" thickTop="1" x14ac:dyDescent="0.3">
      <c r="A10" s="1"/>
      <c r="C10" s="1"/>
      <c r="D10" s="1"/>
      <c r="E10" s="1"/>
      <c r="F10" s="1"/>
    </row>
    <row r="11" spans="1:20" x14ac:dyDescent="0.3">
      <c r="A11" s="1"/>
      <c r="C11" s="1"/>
      <c r="D11" s="1"/>
      <c r="E11" s="1"/>
      <c r="F11" s="1"/>
    </row>
    <row r="12" spans="1:20" x14ac:dyDescent="0.3">
      <c r="A12" s="1"/>
      <c r="C12" s="1"/>
      <c r="D12" s="1"/>
      <c r="E12" s="1"/>
      <c r="F12" s="1"/>
    </row>
    <row r="13" spans="1:20" x14ac:dyDescent="0.3">
      <c r="A13" s="1"/>
      <c r="C13" s="1"/>
      <c r="D13" s="1"/>
      <c r="E13" s="1"/>
      <c r="F13" s="1"/>
    </row>
    <row r="14" spans="1:20" x14ac:dyDescent="0.3">
      <c r="A14" s="1"/>
      <c r="C14" s="1"/>
      <c r="D14" s="1"/>
      <c r="E14" s="1"/>
      <c r="F14" s="1"/>
    </row>
    <row r="15" spans="1:20" x14ac:dyDescent="0.3">
      <c r="A15" s="1"/>
      <c r="C15" s="1"/>
      <c r="D15" s="1"/>
      <c r="E15" s="1"/>
      <c r="F15" s="1"/>
    </row>
    <row r="16" spans="1:20" x14ac:dyDescent="0.3">
      <c r="A16" s="1"/>
      <c r="C16" s="1"/>
      <c r="D16" s="1"/>
      <c r="E16" s="1"/>
      <c r="F16" s="1"/>
    </row>
    <row r="17" spans="1:26" x14ac:dyDescent="0.3">
      <c r="A17" s="1"/>
      <c r="C17" s="1"/>
      <c r="D17" s="1"/>
      <c r="E17" s="1"/>
      <c r="F17" s="1"/>
    </row>
    <row r="18" spans="1:26" x14ac:dyDescent="0.3">
      <c r="A18" s="1"/>
      <c r="C18" s="1"/>
      <c r="D18" s="1"/>
      <c r="E18" s="1"/>
      <c r="F18" s="1"/>
    </row>
    <row r="19" spans="1:26" x14ac:dyDescent="0.3">
      <c r="A19" s="1"/>
      <c r="C19" s="1"/>
      <c r="D19" s="1"/>
      <c r="E19" s="1"/>
      <c r="F19" s="1"/>
    </row>
    <row r="20" spans="1:26" x14ac:dyDescent="0.3">
      <c r="A20" s="1"/>
      <c r="C20" s="1"/>
      <c r="D20" s="1"/>
      <c r="E20" s="1"/>
      <c r="F20" s="1"/>
    </row>
    <row r="21" spans="1:26" x14ac:dyDescent="0.3">
      <c r="A21" s="1"/>
      <c r="C21" s="1"/>
      <c r="D21" s="1"/>
      <c r="E21" s="1"/>
      <c r="F21" s="1"/>
    </row>
    <row r="22" spans="1:26" x14ac:dyDescent="0.3">
      <c r="A22" s="1"/>
      <c r="C22" s="1"/>
      <c r="D22" s="1"/>
      <c r="E22" s="1"/>
      <c r="F22" s="1"/>
    </row>
    <row r="23" spans="1:26" x14ac:dyDescent="0.3">
      <c r="A23" s="1"/>
      <c r="C23" s="1"/>
      <c r="D23" s="1"/>
      <c r="E23" s="1"/>
      <c r="F23" s="1"/>
    </row>
    <row r="24" spans="1:26" x14ac:dyDescent="0.3">
      <c r="A24" s="1"/>
      <c r="C24" s="1"/>
      <c r="D24" s="1"/>
      <c r="E24" s="1"/>
      <c r="F24" s="1"/>
    </row>
    <row r="25" spans="1:26" x14ac:dyDescent="0.3">
      <c r="A25" s="1"/>
      <c r="C25" s="1"/>
      <c r="D25" s="1"/>
      <c r="E25" s="1"/>
      <c r="F25" s="1"/>
    </row>
    <row r="26" spans="1:26" x14ac:dyDescent="0.3">
      <c r="A26" s="1"/>
      <c r="C26" s="1"/>
      <c r="D26" s="1"/>
      <c r="E26" s="1"/>
      <c r="F26" s="1"/>
    </row>
    <row r="27" spans="1:26" x14ac:dyDescent="0.3">
      <c r="A27" s="1"/>
      <c r="C27" s="1"/>
      <c r="D27" s="1"/>
      <c r="E27" s="1"/>
      <c r="F27" s="1"/>
      <c r="X27" s="51"/>
      <c r="Y27" s="51"/>
      <c r="Z27" s="51"/>
    </row>
    <row r="28" spans="1:26" x14ac:dyDescent="0.3">
      <c r="A28" s="1"/>
      <c r="C28" s="1"/>
      <c r="D28" s="1"/>
      <c r="E28" s="1"/>
      <c r="F28" s="1"/>
      <c r="X28" s="51"/>
      <c r="Y28" s="51"/>
      <c r="Z28" s="51"/>
    </row>
    <row r="29" spans="1:26" x14ac:dyDescent="0.3">
      <c r="A29" s="1"/>
      <c r="C29" s="1"/>
      <c r="D29" s="1"/>
      <c r="E29" s="1"/>
      <c r="F29" s="1"/>
      <c r="U29" s="51"/>
      <c r="V29" s="51"/>
      <c r="W29" s="51"/>
      <c r="X29" s="51"/>
      <c r="Y29" s="51"/>
      <c r="Z29" s="51"/>
    </row>
    <row r="30" spans="1:26" x14ac:dyDescent="0.3">
      <c r="A30" s="1"/>
      <c r="C30" s="1"/>
      <c r="D30" s="1"/>
      <c r="E30" s="1"/>
      <c r="F30" s="1"/>
    </row>
    <row r="31" spans="1:26" x14ac:dyDescent="0.3">
      <c r="C31" s="1"/>
      <c r="D31" s="1"/>
      <c r="E31" s="1"/>
      <c r="F31" s="1"/>
      <c r="G31" s="1"/>
      <c r="H31" s="1"/>
      <c r="I31" s="1"/>
      <c r="J31" s="1"/>
      <c r="K31" s="1"/>
    </row>
    <row r="32" spans="1:26" x14ac:dyDescent="0.3">
      <c r="C32" s="1"/>
      <c r="D32" s="1"/>
      <c r="E32" s="1"/>
      <c r="F32" s="1"/>
      <c r="G32" s="1"/>
      <c r="H32" s="1"/>
      <c r="I32" s="1"/>
      <c r="J32" s="1"/>
      <c r="K32" s="1"/>
    </row>
    <row r="33" spans="3:11" x14ac:dyDescent="0.3">
      <c r="C33" s="1"/>
      <c r="D33" s="1"/>
      <c r="E33" s="1"/>
      <c r="F33" s="1"/>
      <c r="G33" s="1"/>
      <c r="H33" s="1"/>
      <c r="I33" s="1"/>
      <c r="J33" s="1"/>
      <c r="K33" s="1"/>
    </row>
    <row r="34" spans="3:11" x14ac:dyDescent="0.3">
      <c r="C34" s="1"/>
      <c r="D34" s="1"/>
      <c r="E34" s="1"/>
      <c r="F34" s="1"/>
      <c r="G34" s="1"/>
      <c r="H34" s="1"/>
      <c r="I34" s="1"/>
      <c r="J34" s="1"/>
      <c r="K34" s="1"/>
    </row>
  </sheetData>
  <pageMargins left="0.7" right="0.7" top="0.75" bottom="0.75" header="0.3" footer="0.3"/>
  <pageSetup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Initiative</vt:lpstr>
      <vt:lpstr>Spells</vt:lpstr>
      <vt:lpstr>Attacks</vt:lpstr>
      <vt:lpstr>Saves</vt:lpstr>
      <vt:lpstr>hps</vt:lpstr>
      <vt:lpstr>Rolls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D&amp;D Battle Tally</dc:title>
  <dc:creator>Alexis Álvarez</dc:creator>
  <cp:lastModifiedBy>Alexis Álvarez</cp:lastModifiedBy>
  <cp:lastPrinted>2020-03-11T08:04:14Z</cp:lastPrinted>
  <dcterms:created xsi:type="dcterms:W3CDTF">2014-01-30T16:13:23Z</dcterms:created>
  <dcterms:modified xsi:type="dcterms:W3CDTF">2023-10-28T20:12:18Z</dcterms:modified>
</cp:coreProperties>
</file>