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1E6BBEC7-B83D-48AF-A741-219E0B9307E8}" xr6:coauthVersionLast="47" xr6:coauthVersionMax="47" xr10:uidLastSave="{00000000-0000-0000-0000-000000000000}"/>
  <bookViews>
    <workbookView xWindow="-108" yWindow="-108" windowWidth="23256" windowHeight="13176" tabRatio="498" activeTab="6" xr2:uid="{00000000-000D-0000-FFFF-FFFF00000000}"/>
  </bookViews>
  <sheets>
    <sheet name="Initiative" sheetId="1" r:id="rId1"/>
    <sheet name="Members" sheetId="11" r:id="rId2"/>
    <sheet name="Skills" sheetId="12" r:id="rId3"/>
    <sheet name="Spells" sheetId="10" r:id="rId4"/>
    <sheet name="Attacks" sheetId="9" r:id="rId5"/>
    <sheet name="Saves" sheetId="7" r:id="rId6"/>
    <sheet name="hps" sheetId="5" r:id="rId7"/>
    <sheet name="Rolls" sheetId="4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9" l="1"/>
  <c r="E8" i="9"/>
  <c r="E11" i="9"/>
  <c r="AP8" i="11"/>
  <c r="K15" i="9" l="1"/>
  <c r="N15" i="9" s="1"/>
  <c r="E15" i="9"/>
  <c r="J15" i="9" s="1"/>
  <c r="K14" i="9"/>
  <c r="N14" i="9" s="1"/>
  <c r="E14" i="9"/>
  <c r="J14" i="9" s="1"/>
  <c r="K13" i="9"/>
  <c r="N13" i="9" s="1"/>
  <c r="J13" i="9"/>
  <c r="E13" i="9"/>
  <c r="L13" i="9" l="1"/>
  <c r="L14" i="9"/>
  <c r="L15" i="9"/>
  <c r="X27" i="5"/>
  <c r="D7" i="7"/>
  <c r="E7" i="7" s="1"/>
  <c r="D6" i="7"/>
  <c r="E6" i="7" s="1"/>
  <c r="D5" i="7"/>
  <c r="E5" i="7" s="1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S2" i="12"/>
  <c r="AJ14" i="11"/>
  <c r="AI15" i="11"/>
  <c r="AJ15" i="11"/>
  <c r="AI16" i="11"/>
  <c r="AC16" i="11"/>
  <c r="AA16" i="11"/>
  <c r="Y16" i="11"/>
  <c r="AJ16" i="11"/>
  <c r="AI17" i="11"/>
  <c r="AI14" i="11"/>
  <c r="AI13" i="11"/>
  <c r="AI12" i="11"/>
  <c r="AI11" i="11"/>
  <c r="AI10" i="11"/>
  <c r="AJ11" i="11"/>
  <c r="AJ12" i="11"/>
  <c r="AJ13" i="11"/>
  <c r="AJ10" i="11"/>
  <c r="AE11" i="1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K48" i="9"/>
  <c r="J48" i="9"/>
  <c r="K47" i="9"/>
  <c r="N47" i="9" s="1"/>
  <c r="J47" i="9"/>
  <c r="K46" i="9"/>
  <c r="N46" i="9" s="1"/>
  <c r="J46" i="9"/>
  <c r="K51" i="9"/>
  <c r="N51" i="9" s="1"/>
  <c r="J51" i="9"/>
  <c r="K49" i="9"/>
  <c r="N49" i="9" s="1"/>
  <c r="J49" i="9"/>
  <c r="K45" i="9"/>
  <c r="N45" i="9" s="1"/>
  <c r="J45" i="9"/>
  <c r="K44" i="9"/>
  <c r="N44" i="9" s="1"/>
  <c r="J44" i="9"/>
  <c r="E7" i="1"/>
  <c r="A9" i="5"/>
  <c r="K3" i="9"/>
  <c r="N3" i="9" s="1"/>
  <c r="J3" i="9"/>
  <c r="K2" i="9"/>
  <c r="J2" i="9"/>
  <c r="K6" i="9"/>
  <c r="N6" i="9" s="1"/>
  <c r="J6" i="9"/>
  <c r="K5" i="9"/>
  <c r="N5" i="9" s="1"/>
  <c r="J5" i="9"/>
  <c r="K4" i="9"/>
  <c r="N4" i="9" s="1"/>
  <c r="J4" i="9"/>
  <c r="AC27" i="5"/>
  <c r="AD27" i="5" s="1"/>
  <c r="K11" i="11"/>
  <c r="M11" i="11"/>
  <c r="AE7" i="11"/>
  <c r="M7" i="11"/>
  <c r="K7" i="11"/>
  <c r="K12" i="9"/>
  <c r="N12" i="9" s="1"/>
  <c r="J12" i="9"/>
  <c r="K11" i="9"/>
  <c r="N11" i="9" s="1"/>
  <c r="J11" i="9"/>
  <c r="K10" i="9"/>
  <c r="J10" i="9"/>
  <c r="L48" i="9" l="1"/>
  <c r="L46" i="9"/>
  <c r="L47" i="9"/>
  <c r="N48" i="9"/>
  <c r="L51" i="9"/>
  <c r="L45" i="9"/>
  <c r="L49" i="9"/>
  <c r="L44" i="9"/>
  <c r="L2" i="9"/>
  <c r="L3" i="9"/>
  <c r="N2" i="9"/>
  <c r="L4" i="9"/>
  <c r="L5" i="9"/>
  <c r="L6" i="9"/>
  <c r="L10" i="9"/>
  <c r="L11" i="9"/>
  <c r="L12" i="9"/>
  <c r="N10" i="9"/>
  <c r="K9" i="9"/>
  <c r="N9" i="9" s="1"/>
  <c r="J9" i="9"/>
  <c r="K8" i="9"/>
  <c r="N8" i="9" s="1"/>
  <c r="J8" i="9"/>
  <c r="K7" i="9"/>
  <c r="N7" i="9" s="1"/>
  <c r="J7" i="9"/>
  <c r="F22" i="5"/>
  <c r="D22" i="5"/>
  <c r="D23" i="5"/>
  <c r="AB22" i="5"/>
  <c r="L9" i="9" l="1"/>
  <c r="L8" i="9"/>
  <c r="L7" i="9"/>
  <c r="K42" i="9"/>
  <c r="N42" i="9" s="1"/>
  <c r="J42" i="9"/>
  <c r="K41" i="9"/>
  <c r="N41" i="9" s="1"/>
  <c r="J41" i="9"/>
  <c r="K40" i="9"/>
  <c r="N40" i="9" s="1"/>
  <c r="J40" i="9"/>
  <c r="K39" i="9"/>
  <c r="J39" i="9"/>
  <c r="K38" i="9"/>
  <c r="N38" i="9" s="1"/>
  <c r="J38" i="9"/>
  <c r="K37" i="9"/>
  <c r="J37" i="9"/>
  <c r="K36" i="9"/>
  <c r="N36" i="9" s="1"/>
  <c r="J36" i="9"/>
  <c r="K35" i="9"/>
  <c r="J35" i="9"/>
  <c r="K34" i="9"/>
  <c r="N34" i="9" s="1"/>
  <c r="J34" i="9"/>
  <c r="K33" i="9"/>
  <c r="J33" i="9"/>
  <c r="K32" i="9"/>
  <c r="N32" i="9" s="1"/>
  <c r="J32" i="9"/>
  <c r="K31" i="9"/>
  <c r="J31" i="9"/>
  <c r="K30" i="9"/>
  <c r="N30" i="9" s="1"/>
  <c r="J30" i="9"/>
  <c r="K29" i="9"/>
  <c r="N29" i="9" s="1"/>
  <c r="J29" i="9"/>
  <c r="K28" i="9"/>
  <c r="N28" i="9" s="1"/>
  <c r="J28" i="9"/>
  <c r="K27" i="9"/>
  <c r="N27" i="9" s="1"/>
  <c r="J27" i="9"/>
  <c r="K26" i="9"/>
  <c r="N26" i="9" s="1"/>
  <c r="J26" i="9"/>
  <c r="K25" i="9"/>
  <c r="J25" i="9"/>
  <c r="K24" i="9"/>
  <c r="N24" i="9" s="1"/>
  <c r="J24" i="9"/>
  <c r="L25" i="9" l="1"/>
  <c r="L31" i="9"/>
  <c r="L35" i="9"/>
  <c r="L39" i="9"/>
  <c r="L37" i="9"/>
  <c r="L33" i="9"/>
  <c r="N25" i="9"/>
  <c r="N33" i="9"/>
  <c r="N39" i="9"/>
  <c r="N31" i="9"/>
  <c r="L29" i="9"/>
  <c r="N37" i="9"/>
  <c r="N35" i="9"/>
  <c r="L27" i="9"/>
  <c r="L41" i="9"/>
  <c r="L24" i="9"/>
  <c r="L26" i="9"/>
  <c r="L28" i="9"/>
  <c r="L30" i="9"/>
  <c r="L32" i="9"/>
  <c r="L34" i="9"/>
  <c r="L36" i="9"/>
  <c r="L38" i="9"/>
  <c r="L40" i="9"/>
  <c r="L42" i="9"/>
  <c r="M16" i="11"/>
  <c r="AC23" i="5" l="1"/>
  <c r="AC22" i="5"/>
  <c r="AC17" i="5"/>
  <c r="AC12" i="5"/>
  <c r="AC7" i="5"/>
  <c r="A4" i="5"/>
  <c r="K54" i="9"/>
  <c r="N54" i="9" s="1"/>
  <c r="J54" i="9"/>
  <c r="K53" i="9"/>
  <c r="N53" i="9" s="1"/>
  <c r="J53" i="9"/>
  <c r="E16" i="9"/>
  <c r="J16" i="9" s="1"/>
  <c r="K16" i="9"/>
  <c r="N16" i="9" s="1"/>
  <c r="E17" i="9"/>
  <c r="J17" i="9" s="1"/>
  <c r="K17" i="9"/>
  <c r="N17" i="9" s="1"/>
  <c r="E18" i="9"/>
  <c r="J18" i="9" s="1"/>
  <c r="K18" i="9"/>
  <c r="N18" i="9" s="1"/>
  <c r="E19" i="9"/>
  <c r="J19" i="9" s="1"/>
  <c r="K19" i="9"/>
  <c r="N19" i="9" s="1"/>
  <c r="E20" i="9"/>
  <c r="J20" i="9" s="1"/>
  <c r="K20" i="9"/>
  <c r="N20" i="9" s="1"/>
  <c r="E21" i="9"/>
  <c r="J21" i="9" s="1"/>
  <c r="K21" i="9"/>
  <c r="N21" i="9" s="1"/>
  <c r="J22" i="9"/>
  <c r="K22" i="9"/>
  <c r="N22" i="9" s="1"/>
  <c r="J23" i="9"/>
  <c r="K23" i="9"/>
  <c r="N23" i="9" s="1"/>
  <c r="J43" i="9"/>
  <c r="K43" i="9"/>
  <c r="N43" i="9" s="1"/>
  <c r="J52" i="9"/>
  <c r="K52" i="9"/>
  <c r="N52" i="9" s="1"/>
  <c r="K59" i="9"/>
  <c r="N59" i="9" s="1"/>
  <c r="J59" i="9"/>
  <c r="K58" i="9"/>
  <c r="N58" i="9" s="1"/>
  <c r="J58" i="9"/>
  <c r="K57" i="9"/>
  <c r="N57" i="9" s="1"/>
  <c r="J57" i="9"/>
  <c r="K56" i="9"/>
  <c r="N56" i="9" s="1"/>
  <c r="J56" i="9"/>
  <c r="S7" i="11"/>
  <c r="M2" i="11"/>
  <c r="L54" i="9" l="1"/>
  <c r="L53" i="9"/>
  <c r="L52" i="9"/>
  <c r="L21" i="9"/>
  <c r="L18" i="9"/>
  <c r="L23" i="9"/>
  <c r="L16" i="9"/>
  <c r="L19" i="9"/>
  <c r="L43" i="9"/>
  <c r="L20" i="9"/>
  <c r="L17" i="9"/>
  <c r="L22" i="9"/>
  <c r="L57" i="9"/>
  <c r="L58" i="9"/>
  <c r="L56" i="9"/>
  <c r="L59" i="9"/>
  <c r="U4" i="11"/>
  <c r="AD23" i="5"/>
  <c r="X23" i="5"/>
  <c r="F12" i="5"/>
  <c r="E12" i="5"/>
  <c r="AP10" i="11" l="1"/>
  <c r="X25" i="5" l="1"/>
  <c r="AC25" i="5" s="1"/>
  <c r="X24" i="5"/>
  <c r="AC24" i="5" s="1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D2" i="7"/>
  <c r="J4" i="7"/>
  <c r="K4" i="7" s="1"/>
  <c r="J3" i="7"/>
  <c r="K3" i="7" s="1"/>
  <c r="J2" i="7"/>
  <c r="K2" i="7" s="1"/>
  <c r="AD22" i="5"/>
  <c r="AB20" i="5"/>
  <c r="AB18" i="5"/>
  <c r="AB10" i="5"/>
  <c r="AB8" i="5"/>
  <c r="F19" i="5"/>
  <c r="E16" i="5"/>
  <c r="A21" i="5"/>
  <c r="F21" i="5" s="1"/>
  <c r="A20" i="5"/>
  <c r="A19" i="5"/>
  <c r="D19" i="5" s="1"/>
  <c r="A18" i="5"/>
  <c r="F18" i="5" s="1"/>
  <c r="A16" i="5"/>
  <c r="F16" i="5" s="1"/>
  <c r="A15" i="5"/>
  <c r="E15" i="5" s="1"/>
  <c r="A14" i="5"/>
  <c r="A13" i="5"/>
  <c r="AB13" i="5" s="1"/>
  <c r="A3" i="5"/>
  <c r="E3" i="5" s="1"/>
  <c r="F4" i="5"/>
  <c r="A5" i="5"/>
  <c r="E5" i="5" s="1"/>
  <c r="A6" i="5"/>
  <c r="F6" i="5" s="1"/>
  <c r="A8" i="5"/>
  <c r="F8" i="5" s="1"/>
  <c r="E9" i="5"/>
  <c r="A10" i="5"/>
  <c r="D10" i="5" s="1"/>
  <c r="A11" i="5"/>
  <c r="F11" i="5" s="1"/>
  <c r="B1" i="12"/>
  <c r="B4" i="12" s="1"/>
  <c r="C1" i="12"/>
  <c r="C2" i="12" s="1"/>
  <c r="D1" i="12"/>
  <c r="E1" i="12"/>
  <c r="F1" i="12"/>
  <c r="F4" i="12" s="1"/>
  <c r="G1" i="12"/>
  <c r="H1" i="12"/>
  <c r="I1" i="12"/>
  <c r="J1" i="12"/>
  <c r="J4" i="12" s="1"/>
  <c r="K1" i="12"/>
  <c r="L1" i="12"/>
  <c r="M1" i="12"/>
  <c r="N1" i="12"/>
  <c r="O1" i="12"/>
  <c r="P1" i="12"/>
  <c r="Q1" i="12"/>
  <c r="B2" i="12"/>
  <c r="D2" i="12"/>
  <c r="E2" i="12"/>
  <c r="F2" i="12"/>
  <c r="H2" i="12"/>
  <c r="I2" i="12"/>
  <c r="J2" i="12"/>
  <c r="W2" i="12"/>
  <c r="D3" i="12"/>
  <c r="E3" i="12"/>
  <c r="F3" i="12"/>
  <c r="H3" i="12"/>
  <c r="I3" i="12"/>
  <c r="J3" i="12"/>
  <c r="T3" i="12"/>
  <c r="W3" i="12"/>
  <c r="D4" i="12"/>
  <c r="E4" i="12"/>
  <c r="H4" i="12"/>
  <c r="I4" i="12"/>
  <c r="L4" i="12"/>
  <c r="T4" i="12"/>
  <c r="W4" i="12"/>
  <c r="T5" i="12"/>
  <c r="W5" i="12"/>
  <c r="V6" i="12"/>
  <c r="W6" i="12"/>
  <c r="T7" i="12"/>
  <c r="W7" i="12"/>
  <c r="T8" i="12"/>
  <c r="W8" i="12"/>
  <c r="T9" i="12"/>
  <c r="W9" i="12"/>
  <c r="V10" i="12"/>
  <c r="W10" i="12"/>
  <c r="T11" i="12"/>
  <c r="W11" i="12"/>
  <c r="T12" i="12"/>
  <c r="W12" i="12"/>
  <c r="T13" i="12"/>
  <c r="W13" i="12"/>
  <c r="V14" i="12"/>
  <c r="W14" i="12"/>
  <c r="T15" i="12"/>
  <c r="W15" i="12"/>
  <c r="T16" i="12"/>
  <c r="W16" i="12"/>
  <c r="T17" i="12"/>
  <c r="W17" i="12"/>
  <c r="V18" i="12"/>
  <c r="W18" i="12"/>
  <c r="T19" i="12"/>
  <c r="W19" i="12"/>
  <c r="T20" i="12"/>
  <c r="W20" i="12"/>
  <c r="V21" i="12"/>
  <c r="W21" i="12"/>
  <c r="V22" i="12"/>
  <c r="W22" i="12"/>
  <c r="T23" i="12"/>
  <c r="W23" i="12"/>
  <c r="T24" i="12"/>
  <c r="W24" i="12"/>
  <c r="T25" i="12"/>
  <c r="W25" i="12"/>
  <c r="V26" i="12"/>
  <c r="W26" i="12"/>
  <c r="T27" i="12"/>
  <c r="W27" i="12"/>
  <c r="T28" i="12"/>
  <c r="W28" i="12"/>
  <c r="T29" i="12"/>
  <c r="W29" i="12"/>
  <c r="V30" i="12"/>
  <c r="W30" i="12"/>
  <c r="T31" i="12"/>
  <c r="W31" i="12"/>
  <c r="T32" i="12"/>
  <c r="W32" i="12"/>
  <c r="T33" i="12"/>
  <c r="W33" i="12"/>
  <c r="V34" i="12"/>
  <c r="W34" i="12"/>
  <c r="T35" i="12"/>
  <c r="W35" i="12"/>
  <c r="T36" i="12"/>
  <c r="W36" i="12"/>
  <c r="T37" i="12"/>
  <c r="W37" i="12"/>
  <c r="V38" i="12"/>
  <c r="W38" i="12"/>
  <c r="T39" i="12"/>
  <c r="W39" i="12"/>
  <c r="T40" i="12"/>
  <c r="W40" i="12"/>
  <c r="T41" i="12"/>
  <c r="W41" i="12"/>
  <c r="V42" i="12"/>
  <c r="W42" i="12"/>
  <c r="T43" i="12"/>
  <c r="W43" i="12"/>
  <c r="T44" i="12"/>
  <c r="W44" i="12"/>
  <c r="T45" i="12"/>
  <c r="W45" i="12"/>
  <c r="V46" i="12"/>
  <c r="W46" i="12"/>
  <c r="T47" i="12"/>
  <c r="W47" i="12"/>
  <c r="T48" i="12"/>
  <c r="W48" i="12"/>
  <c r="T49" i="12"/>
  <c r="W49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B51" i="12"/>
  <c r="C51" i="12"/>
  <c r="D51" i="12"/>
  <c r="E51" i="12"/>
  <c r="F51" i="12"/>
  <c r="G51" i="12"/>
  <c r="H51" i="12"/>
  <c r="I51" i="12"/>
  <c r="J51" i="12"/>
  <c r="L51" i="12"/>
  <c r="M51" i="12"/>
  <c r="N51" i="12"/>
  <c r="O51" i="12"/>
  <c r="P51" i="12"/>
  <c r="Q51" i="12"/>
  <c r="L2" i="11"/>
  <c r="N2" i="11"/>
  <c r="AF2" i="11" s="1"/>
  <c r="AH2" i="11" s="1"/>
  <c r="F3" i="5" s="1"/>
  <c r="P2" i="11"/>
  <c r="AI2" i="11" s="1"/>
  <c r="R2" i="11"/>
  <c r="AJ2" i="11" s="1"/>
  <c r="T2" i="11"/>
  <c r="V2" i="11"/>
  <c r="W2" i="11"/>
  <c r="X2" i="11"/>
  <c r="AB2" i="11" s="1"/>
  <c r="B3" i="12" s="1"/>
  <c r="Z2" i="11"/>
  <c r="AD2" i="11"/>
  <c r="AP2" i="11"/>
  <c r="AG2" i="11" s="1"/>
  <c r="L3" i="11"/>
  <c r="N3" i="11"/>
  <c r="P3" i="11"/>
  <c r="AI3" i="11" s="1"/>
  <c r="R3" i="11"/>
  <c r="T3" i="11"/>
  <c r="V3" i="11"/>
  <c r="W3" i="11"/>
  <c r="X3" i="11"/>
  <c r="AB3" i="11" s="1"/>
  <c r="Z3" i="11"/>
  <c r="AD3" i="11"/>
  <c r="AF3" i="11"/>
  <c r="AH3" i="11"/>
  <c r="AJ3" i="11"/>
  <c r="AP3" i="11"/>
  <c r="AG3" i="11" s="1"/>
  <c r="L4" i="11"/>
  <c r="N4" i="11"/>
  <c r="AF4" i="11" s="1"/>
  <c r="AH4" i="11" s="1"/>
  <c r="P4" i="11"/>
  <c r="R4" i="11"/>
  <c r="T4" i="11"/>
  <c r="V4" i="11"/>
  <c r="W4" i="11"/>
  <c r="X4" i="11"/>
  <c r="Z4" i="11"/>
  <c r="AB4" i="11"/>
  <c r="AD4" i="11"/>
  <c r="AG4" i="11"/>
  <c r="AI4" i="11"/>
  <c r="AJ4" i="11"/>
  <c r="AP4" i="11"/>
  <c r="L5" i="11"/>
  <c r="N5" i="11"/>
  <c r="P5" i="11"/>
  <c r="R5" i="11"/>
  <c r="AJ5" i="11" s="1"/>
  <c r="T5" i="11"/>
  <c r="V5" i="11"/>
  <c r="W5" i="11"/>
  <c r="X5" i="11"/>
  <c r="Z5" i="11"/>
  <c r="AB5" i="11"/>
  <c r="AD5" i="11"/>
  <c r="AF5" i="11"/>
  <c r="AH5" i="11" s="1"/>
  <c r="AI5" i="11"/>
  <c r="AP5" i="11"/>
  <c r="AG5" i="11" s="1"/>
  <c r="L6" i="11"/>
  <c r="N6" i="11"/>
  <c r="AF6" i="11" s="1"/>
  <c r="AH6" i="11" s="1"/>
  <c r="P6" i="11"/>
  <c r="AI6" i="11" s="1"/>
  <c r="R6" i="11"/>
  <c r="T6" i="11"/>
  <c r="V6" i="11"/>
  <c r="W6" i="11"/>
  <c r="X6" i="11"/>
  <c r="AB6" i="11" s="1"/>
  <c r="Z6" i="11"/>
  <c r="AD6" i="11"/>
  <c r="AJ6" i="11"/>
  <c r="AP6" i="11"/>
  <c r="AG6" i="11" s="1"/>
  <c r="L7" i="11"/>
  <c r="N7" i="11"/>
  <c r="AF7" i="11" s="1"/>
  <c r="P7" i="11"/>
  <c r="R7" i="11"/>
  <c r="T7" i="11"/>
  <c r="V7" i="11"/>
  <c r="W7" i="11"/>
  <c r="X7" i="11"/>
  <c r="Z7" i="11"/>
  <c r="AB7" i="11"/>
  <c r="AD7" i="11"/>
  <c r="AG7" i="11"/>
  <c r="AI7" i="11"/>
  <c r="AJ7" i="11"/>
  <c r="AP7" i="11"/>
  <c r="L8" i="11"/>
  <c r="N8" i="11"/>
  <c r="P8" i="11"/>
  <c r="R8" i="11"/>
  <c r="AJ8" i="11" s="1"/>
  <c r="T8" i="11"/>
  <c r="V8" i="11"/>
  <c r="W8" i="11"/>
  <c r="X8" i="11"/>
  <c r="AB8" i="11" s="1"/>
  <c r="Z8" i="11"/>
  <c r="AD8" i="11"/>
  <c r="AF8" i="11"/>
  <c r="AI8" i="11"/>
  <c r="AH8" i="11"/>
  <c r="L9" i="11"/>
  <c r="N9" i="11"/>
  <c r="AF9" i="11" s="1"/>
  <c r="AH9" i="11" s="1"/>
  <c r="P9" i="11"/>
  <c r="AI9" i="11" s="1"/>
  <c r="R9" i="11"/>
  <c r="T9" i="11"/>
  <c r="V9" i="11"/>
  <c r="W9" i="11"/>
  <c r="X9" i="11"/>
  <c r="AB9" i="11" s="1"/>
  <c r="Z9" i="11"/>
  <c r="AD9" i="11"/>
  <c r="AG9" i="11"/>
  <c r="AJ9" i="11"/>
  <c r="AP9" i="11"/>
  <c r="L10" i="11"/>
  <c r="N10" i="11"/>
  <c r="AF10" i="11" s="1"/>
  <c r="AH10" i="11" s="1"/>
  <c r="P10" i="11"/>
  <c r="Q10" i="11"/>
  <c r="R10" i="11" s="1"/>
  <c r="T10" i="11"/>
  <c r="V10" i="11"/>
  <c r="X10" i="11"/>
  <c r="AB10" i="11" s="1"/>
  <c r="Z10" i="11"/>
  <c r="AD10" i="11"/>
  <c r="AG10" i="11"/>
  <c r="L11" i="11"/>
  <c r="N11" i="11"/>
  <c r="AF11" i="11" s="1"/>
  <c r="AH11" i="11" s="1"/>
  <c r="P11" i="11"/>
  <c r="R11" i="11"/>
  <c r="K51" i="12" s="1"/>
  <c r="T11" i="11"/>
  <c r="V11" i="11"/>
  <c r="W11" i="11"/>
  <c r="X11" i="11"/>
  <c r="AB11" i="11" s="1"/>
  <c r="Z11" i="11"/>
  <c r="AD11" i="11"/>
  <c r="AP11" i="11"/>
  <c r="AG11" i="11" s="1"/>
  <c r="L12" i="11"/>
  <c r="N12" i="11"/>
  <c r="AF12" i="11" s="1"/>
  <c r="AH12" i="11" s="1"/>
  <c r="P12" i="11"/>
  <c r="R12" i="11"/>
  <c r="T12" i="11"/>
  <c r="V12" i="11"/>
  <c r="W12" i="11"/>
  <c r="X12" i="11"/>
  <c r="Z12" i="11"/>
  <c r="L2" i="12" s="1"/>
  <c r="AB12" i="11"/>
  <c r="L3" i="12" s="1"/>
  <c r="AD12" i="11"/>
  <c r="AG12" i="11"/>
  <c r="AP12" i="11"/>
  <c r="L13" i="11"/>
  <c r="N13" i="11"/>
  <c r="P13" i="11"/>
  <c r="R13" i="11"/>
  <c r="T13" i="11"/>
  <c r="V13" i="11"/>
  <c r="W13" i="11"/>
  <c r="X13" i="11"/>
  <c r="Z13" i="11"/>
  <c r="M2" i="12" s="1"/>
  <c r="AB13" i="11"/>
  <c r="M3" i="12" s="1"/>
  <c r="AD13" i="11"/>
  <c r="M4" i="12" s="1"/>
  <c r="AF13" i="11"/>
  <c r="AH13" i="11" s="1"/>
  <c r="AP13" i="11"/>
  <c r="AG13" i="11" s="1"/>
  <c r="L14" i="11"/>
  <c r="N14" i="11"/>
  <c r="AF14" i="11" s="1"/>
  <c r="AH14" i="11" s="1"/>
  <c r="P14" i="11"/>
  <c r="R14" i="11"/>
  <c r="T14" i="11"/>
  <c r="V14" i="11"/>
  <c r="W14" i="11"/>
  <c r="X14" i="11"/>
  <c r="AB14" i="11" s="1"/>
  <c r="N3" i="12" s="1"/>
  <c r="Z14" i="11"/>
  <c r="AD14" i="11"/>
  <c r="AP14" i="11"/>
  <c r="AG14" i="11" s="1"/>
  <c r="L15" i="11"/>
  <c r="N15" i="11"/>
  <c r="AF15" i="11" s="1"/>
  <c r="AH15" i="11" s="1"/>
  <c r="P15" i="11"/>
  <c r="R15" i="11"/>
  <c r="T15" i="11"/>
  <c r="V15" i="11"/>
  <c r="W15" i="11"/>
  <c r="X15" i="11"/>
  <c r="Z15" i="11"/>
  <c r="AB15" i="11"/>
  <c r="AD15" i="11"/>
  <c r="AG15" i="11"/>
  <c r="AP15" i="11"/>
  <c r="L16" i="11"/>
  <c r="N16" i="11"/>
  <c r="AF16" i="11" s="1"/>
  <c r="P16" i="11"/>
  <c r="R16" i="11"/>
  <c r="T16" i="11"/>
  <c r="V16" i="11"/>
  <c r="W16" i="11"/>
  <c r="X16" i="11"/>
  <c r="AB16" i="11" s="1"/>
  <c r="P3" i="12" s="1"/>
  <c r="Z16" i="11"/>
  <c r="P2" i="12" s="1"/>
  <c r="AD16" i="11"/>
  <c r="P4" i="12" s="1"/>
  <c r="AP16" i="11"/>
  <c r="AG16" i="11" s="1"/>
  <c r="L17" i="11"/>
  <c r="N17" i="11"/>
  <c r="AF17" i="11" s="1"/>
  <c r="AH17" i="11" s="1"/>
  <c r="P17" i="11"/>
  <c r="R17" i="11"/>
  <c r="T17" i="11"/>
  <c r="V17" i="11"/>
  <c r="W17" i="11"/>
  <c r="X17" i="11"/>
  <c r="AB17" i="11" s="1"/>
  <c r="Q3" i="12" s="1"/>
  <c r="Z17" i="11"/>
  <c r="Q2" i="12" s="1"/>
  <c r="AD17" i="11"/>
  <c r="Q4" i="12" s="1"/>
  <c r="AG17" i="11"/>
  <c r="AJ17" i="11"/>
  <c r="AP17" i="11"/>
  <c r="J11" i="10"/>
  <c r="K11" i="10" s="1"/>
  <c r="M11" i="10" s="1"/>
  <c r="N2" i="12" l="1"/>
  <c r="O3" i="12"/>
  <c r="X21" i="12"/>
  <c r="X42" i="12"/>
  <c r="X38" i="12"/>
  <c r="X30" i="12"/>
  <c r="X18" i="12"/>
  <c r="X6" i="12"/>
  <c r="X46" i="12"/>
  <c r="X34" i="12"/>
  <c r="X26" i="12"/>
  <c r="X22" i="12"/>
  <c r="X14" i="12"/>
  <c r="X10" i="12"/>
  <c r="K4" i="12"/>
  <c r="F14" i="5"/>
  <c r="G3" i="12"/>
  <c r="V3" i="12" s="1"/>
  <c r="X3" i="12" s="1"/>
  <c r="AH7" i="11"/>
  <c r="D9" i="5"/>
  <c r="AC10" i="5"/>
  <c r="AD10" i="5" s="1"/>
  <c r="AC18" i="5"/>
  <c r="AD18" i="5" s="1"/>
  <c r="AC8" i="5"/>
  <c r="AD8" i="5" s="1"/>
  <c r="AC20" i="5"/>
  <c r="AD20" i="5" s="1"/>
  <c r="AC13" i="5"/>
  <c r="AD13" i="5" s="1"/>
  <c r="T38" i="12"/>
  <c r="T21" i="12"/>
  <c r="V45" i="12"/>
  <c r="X45" i="12" s="1"/>
  <c r="V29" i="12"/>
  <c r="X29" i="12" s="1"/>
  <c r="T42" i="12"/>
  <c r="T18" i="12"/>
  <c r="T6" i="12"/>
  <c r="T26" i="12"/>
  <c r="T14" i="12"/>
  <c r="T46" i="12"/>
  <c r="V37" i="12"/>
  <c r="X37" i="12" s="1"/>
  <c r="T22" i="12"/>
  <c r="T30" i="12"/>
  <c r="T2" i="12"/>
  <c r="T34" i="12"/>
  <c r="V13" i="12"/>
  <c r="X13" i="12" s="1"/>
  <c r="T10" i="12"/>
  <c r="F5" i="5"/>
  <c r="E19" i="5"/>
  <c r="AB9" i="5"/>
  <c r="AB19" i="5"/>
  <c r="D6" i="5"/>
  <c r="E6" i="5"/>
  <c r="D20" i="5"/>
  <c r="AB11" i="5"/>
  <c r="AB21" i="5"/>
  <c r="AB3" i="5"/>
  <c r="F9" i="5"/>
  <c r="AB4" i="5"/>
  <c r="AB14" i="5"/>
  <c r="D3" i="5"/>
  <c r="F15" i="5"/>
  <c r="AB5" i="5"/>
  <c r="AB15" i="5"/>
  <c r="D16" i="5"/>
  <c r="AB6" i="5"/>
  <c r="AB16" i="5"/>
  <c r="F13" i="5"/>
  <c r="D4" i="5"/>
  <c r="E10" i="5"/>
  <c r="D14" i="5"/>
  <c r="E20" i="5"/>
  <c r="E4" i="5"/>
  <c r="D8" i="5"/>
  <c r="F10" i="5"/>
  <c r="E14" i="5"/>
  <c r="D18" i="5"/>
  <c r="E8" i="5"/>
  <c r="D11" i="5"/>
  <c r="E18" i="5"/>
  <c r="D21" i="5"/>
  <c r="D13" i="5"/>
  <c r="D5" i="5"/>
  <c r="E11" i="5"/>
  <c r="D15" i="5"/>
  <c r="E21" i="5"/>
  <c r="E13" i="5"/>
  <c r="V48" i="12"/>
  <c r="X48" i="12" s="1"/>
  <c r="V40" i="12"/>
  <c r="X40" i="12" s="1"/>
  <c r="V32" i="12"/>
  <c r="X32" i="12" s="1"/>
  <c r="V24" i="12"/>
  <c r="X24" i="12" s="1"/>
  <c r="V16" i="12"/>
  <c r="X16" i="12" s="1"/>
  <c r="V8" i="12"/>
  <c r="X8" i="12" s="1"/>
  <c r="V43" i="12"/>
  <c r="X43" i="12" s="1"/>
  <c r="V35" i="12"/>
  <c r="X35" i="12" s="1"/>
  <c r="V27" i="12"/>
  <c r="X27" i="12" s="1"/>
  <c r="V19" i="12"/>
  <c r="X19" i="12" s="1"/>
  <c r="V11" i="12"/>
  <c r="X11" i="12" s="1"/>
  <c r="O4" i="12"/>
  <c r="G4" i="12"/>
  <c r="V4" i="12" s="1"/>
  <c r="X4" i="12" s="1"/>
  <c r="N4" i="12"/>
  <c r="K3" i="12"/>
  <c r="C3" i="12"/>
  <c r="V49" i="12"/>
  <c r="X49" i="12" s="1"/>
  <c r="V28" i="12"/>
  <c r="X28" i="12" s="1"/>
  <c r="K2" i="12"/>
  <c r="V25" i="12"/>
  <c r="X25" i="12" s="1"/>
  <c r="V9" i="12"/>
  <c r="X9" i="12" s="1"/>
  <c r="V36" i="12"/>
  <c r="X36" i="12" s="1"/>
  <c r="V20" i="12"/>
  <c r="X20" i="12" s="1"/>
  <c r="V47" i="12"/>
  <c r="X47" i="12" s="1"/>
  <c r="V39" i="12"/>
  <c r="X39" i="12" s="1"/>
  <c r="V31" i="12"/>
  <c r="X31" i="12" s="1"/>
  <c r="V23" i="12"/>
  <c r="X23" i="12" s="1"/>
  <c r="V15" i="12"/>
  <c r="X15" i="12" s="1"/>
  <c r="V7" i="12"/>
  <c r="X7" i="12" s="1"/>
  <c r="C4" i="12"/>
  <c r="V5" i="12"/>
  <c r="X5" i="12" s="1"/>
  <c r="V41" i="12"/>
  <c r="X41" i="12" s="1"/>
  <c r="V33" i="12"/>
  <c r="X33" i="12" s="1"/>
  <c r="V17" i="12"/>
  <c r="X17" i="12" s="1"/>
  <c r="O2" i="12"/>
  <c r="G2" i="12"/>
  <c r="V2" i="12" s="1"/>
  <c r="X2" i="12" s="1"/>
  <c r="V44" i="12"/>
  <c r="X44" i="12" s="1"/>
  <c r="V12" i="12"/>
  <c r="X12" i="12" s="1"/>
  <c r="AH16" i="11"/>
  <c r="F20" i="5" s="1"/>
  <c r="W10" i="11"/>
  <c r="AG8" i="11"/>
  <c r="E3" i="1"/>
  <c r="E5" i="1"/>
  <c r="AD7" i="5"/>
  <c r="F7" i="5"/>
  <c r="D7" i="5"/>
  <c r="AC2" i="5"/>
  <c r="AD2" i="5" s="1"/>
  <c r="F2" i="5"/>
  <c r="E2" i="5"/>
  <c r="K55" i="9"/>
  <c r="N55" i="9" s="1"/>
  <c r="J55" i="9"/>
  <c r="AC3" i="5" l="1"/>
  <c r="AD3" i="5" s="1"/>
  <c r="AC9" i="5"/>
  <c r="AD9" i="5" s="1"/>
  <c r="AC15" i="5"/>
  <c r="AD15" i="5" s="1"/>
  <c r="AC5" i="5"/>
  <c r="AD5" i="5" s="1"/>
  <c r="AC21" i="5"/>
  <c r="AD21" i="5" s="1"/>
  <c r="AC6" i="5"/>
  <c r="AD6" i="5" s="1"/>
  <c r="AC11" i="5"/>
  <c r="AD11" i="5" s="1"/>
  <c r="AC19" i="5"/>
  <c r="AD19" i="5" s="1"/>
  <c r="AC14" i="5"/>
  <c r="AD14" i="5" s="1"/>
  <c r="AC16" i="5"/>
  <c r="AD16" i="5" s="1"/>
  <c r="AC4" i="5"/>
  <c r="AD4" i="5" s="1"/>
  <c r="L55" i="9"/>
  <c r="D17" i="5" l="1"/>
  <c r="E6" i="1" l="1"/>
  <c r="E8" i="1"/>
  <c r="D10" i="1"/>
  <c r="AD24" i="5"/>
  <c r="AD25" i="5"/>
  <c r="E2" i="1" l="1"/>
  <c r="E4" i="1"/>
  <c r="X26" i="5"/>
  <c r="AD17" i="5"/>
  <c r="AC26" i="5" l="1"/>
  <c r="AD26" i="5" s="1"/>
  <c r="AD12" i="5"/>
  <c r="D4" i="7" l="1"/>
  <c r="E4" i="7" s="1"/>
  <c r="D3" i="7"/>
  <c r="E3" i="7" s="1"/>
  <c r="E2" i="7"/>
  <c r="J2" i="10" l="1"/>
  <c r="K2" i="10" s="1"/>
  <c r="M2" i="10" s="1"/>
  <c r="J17" i="10" l="1"/>
  <c r="K17" i="10" s="1"/>
  <c r="M17" i="10" s="1"/>
  <c r="J16" i="10"/>
  <c r="K16" i="10" s="1"/>
  <c r="M16" i="10" s="1"/>
  <c r="J15" i="10"/>
  <c r="K15" i="10" s="1"/>
  <c r="M15" i="10" s="1"/>
  <c r="J14" i="10"/>
  <c r="K14" i="10" s="1"/>
  <c r="M14" i="10" s="1"/>
  <c r="J3" i="10" l="1"/>
  <c r="K3" i="10" s="1"/>
  <c r="J13" i="10" l="1"/>
  <c r="K13" i="10" s="1"/>
  <c r="M13" i="10" s="1"/>
  <c r="J7" i="10" l="1"/>
  <c r="K7" i="10" s="1"/>
  <c r="M7" i="10"/>
  <c r="J6" i="10"/>
  <c r="K6" i="10" s="1"/>
  <c r="M6" i="10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 l="1"/>
  <c r="K5" i="10" s="1"/>
  <c r="M5" i="10" s="1"/>
  <c r="J9" i="10" l="1"/>
  <c r="K9" i="10" s="1"/>
  <c r="M9" i="10" s="1"/>
  <c r="J8" i="10"/>
  <c r="K8" i="10" s="1"/>
  <c r="M8" i="10" s="1"/>
  <c r="J7" i="1" l="1"/>
  <c r="N5" i="1"/>
  <c r="I7" i="1" l="1"/>
  <c r="I9" i="1" s="1"/>
  <c r="M10" i="1" s="1"/>
  <c r="I10" i="1" l="1"/>
  <c r="M12" i="1"/>
  <c r="M11" i="1" l="1"/>
  <c r="I8" i="1"/>
  <c r="J10" i="10"/>
  <c r="K10" i="10" s="1"/>
  <c r="M10" i="10" s="1"/>
  <c r="J12" i="10"/>
  <c r="K12" i="10" s="1"/>
  <c r="M12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7" i="1" l="1"/>
  <c r="M5" i="1"/>
  <c r="M6" i="1"/>
  <c r="M3" i="10" l="1"/>
  <c r="J4" i="10" l="1"/>
  <c r="K4" i="10" s="1"/>
  <c r="M4" i="10" s="1"/>
  <c r="T1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M2" authorId="0" shapeId="0" xr:uid="{7BCAFE36-F461-4EDE-B664-F77B4F181800}">
      <text>
        <r>
          <rPr>
            <i/>
            <sz val="12"/>
            <color indexed="81"/>
            <rFont val="Times New Roman"/>
            <family val="1"/>
          </rPr>
          <t>cat’s grace +4</t>
        </r>
      </text>
    </comment>
    <comment ref="U4" authorId="0" shapeId="0" xr:uid="{98EDC958-7C38-4B04-8903-2804C984ECE1}">
      <text>
        <r>
          <rPr>
            <i/>
            <sz val="12"/>
            <color indexed="81"/>
            <rFont val="Times New Roman"/>
            <family val="1"/>
          </rPr>
          <t>eagle’s splendor +4</t>
        </r>
      </text>
    </comment>
    <comment ref="K7" authorId="0" shapeId="0" xr:uid="{4FF3F47C-3D36-4861-9447-2FD185AAA3A1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M7" authorId="0" shapeId="0" xr:uid="{80B88D98-4AE9-49A4-BD8E-611282D2F56D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S7" authorId="0" shapeId="0" xr:uid="{E048F2E3-6F0A-4449-9D6D-1811738C7AF7}">
      <text>
        <r>
          <rPr>
            <i/>
            <sz val="12"/>
            <color indexed="81"/>
            <rFont val="Times New Roman"/>
            <family val="1"/>
          </rPr>
          <t>owl’s wisdom +4</t>
        </r>
      </text>
    </comment>
    <comment ref="AE7" authorId="0" shapeId="0" xr:uid="{92ED14A4-160B-40D8-B04F-E93AF453F4B5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AP10" authorId="0" shapeId="0" xr:uid="{77374A93-9275-4CCE-BFF8-E0A572122D5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K11" authorId="0" shapeId="0" xr:uid="{51EDB1B1-4B22-4FCA-A3A8-2C6ACD96EFC2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M11" authorId="0" shapeId="0" xr:uid="{78908A8B-CF3C-4884-B333-5AB919B3961C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AE11" authorId="0" shapeId="0" xr:uid="{14CCF950-1B66-4BA2-B8B2-01BD0CF91D0E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M16" authorId="0" shapeId="0" xr:uid="{DCF692BD-A5AB-4FBE-B2E5-A325118F3A47}">
      <text>
        <r>
          <rPr>
            <i/>
            <sz val="12"/>
            <color indexed="81"/>
            <rFont val="Times New Roman"/>
            <family val="1"/>
          </rPr>
          <t>owl’s wisdom +4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2" authorId="0" shapeId="0" xr:uid="{76138BC1-8225-4A85-8076-DE51C4FDA6F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2" authorId="0" shapeId="0" xr:uid="{0B7A2DAC-7059-4F92-9D6F-2EB1F765ABDE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7" authorId="0" shapeId="0" xr:uid="{86056013-0B1D-437F-AA2C-1A5D9E583348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E7" authorId="0" shapeId="0" xr:uid="{7AB45B20-0F52-4CC2-B4D0-FA2645BD8C40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7" authorId="0" shapeId="0" xr:uid="{E8A17D1F-07DD-419E-9ADD-38EA74667213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D9" authorId="0" shapeId="0" xr:uid="{FD30DA88-C4E5-49BC-B972-26180B6CE993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E9" authorId="0" shapeId="0" xr:uid="{74403C4E-3B02-45B5-BC2F-8C7191143130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9" authorId="0" shapeId="0" xr:uid="{332942F8-909D-4169-BAFB-B52EF71F7B8A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E12" authorId="0" shapeId="0" xr:uid="{2F0FF09F-5372-411D-8133-DEFE8A176C2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12" authorId="0" shapeId="0" xr:uid="{9E856B60-1DC8-43DD-A152-6253E3F32809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3" authorId="0" shapeId="0" xr:uid="{AA45A1FB-E211-4BD5-A6DF-2D8676A03688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13" authorId="0" shapeId="0" xr:uid="{129647F1-5CEE-485A-8D46-8329996535FB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4" authorId="0" shapeId="0" xr:uid="{67C36840-E8B4-4AD1-8A17-64F7D49805BC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14" authorId="0" shapeId="0" xr:uid="{15CE5AF9-607F-4732-8D30-0F90B50AA5E0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5" authorId="0" shapeId="0" xr:uid="{6739F7CB-5F3D-4202-8086-00AEBB2FAF97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15" authorId="0" shapeId="0" xr:uid="{0E5EDB7F-AB3D-48A5-B2BE-A7E68BCDFA51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6" authorId="0" shapeId="0" xr:uid="{DE5428D1-E484-4187-BBC5-D967B320F40D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16" authorId="0" shapeId="0" xr:uid="{A498B909-826F-4649-82BA-6E6E33369D80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17" authorId="0" shapeId="0" xr:uid="{C7F13FD6-255A-4204-AF55-920840D8ED10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22" authorId="0" shapeId="0" xr:uid="{9161EA5C-BD7E-4C09-9691-ECACCB796D60}">
      <text>
        <r>
          <rPr>
            <i/>
            <sz val="12"/>
            <color indexed="81"/>
            <rFont val="Times New Roman"/>
            <family val="1"/>
          </rPr>
          <t>Abyssal might +2 to Dex</t>
        </r>
      </text>
    </comment>
    <comment ref="F22" authorId="0" shapeId="0" xr:uid="{19DE416F-E719-4C80-9274-A009E89F57D6}">
      <text>
        <r>
          <rPr>
            <i/>
            <sz val="12"/>
            <color indexed="81"/>
            <rFont val="Times New Roman"/>
            <family val="1"/>
          </rPr>
          <t>Abyssal might +2 to Dex</t>
        </r>
      </text>
    </comment>
    <comment ref="AB22" authorId="0" shapeId="0" xr:uid="{BC34A79C-5726-46A4-B364-3738FB1B14E6}">
      <text>
        <r>
          <rPr>
            <sz val="12"/>
            <color indexed="81"/>
            <rFont val="Times New Roman"/>
            <family val="1"/>
          </rPr>
          <t>+2 to Con = +1/level</t>
        </r>
      </text>
    </comment>
  </commentList>
</comments>
</file>

<file path=xl/sharedStrings.xml><?xml version="1.0" encoding="utf-8"?>
<sst xmlns="http://schemas.openxmlformats.org/spreadsheetml/2006/main" count="966" uniqueCount="385">
  <si>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</si>
  <si>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</si>
  <si>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</si>
  <si>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</si>
  <si>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</si>
  <si>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</si>
  <si>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</si>
  <si>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</si>
  <si>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</si>
  <si>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</si>
  <si>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</si>
  <si>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</si>
  <si>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</si>
  <si>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</si>
  <si>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</si>
  <si>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</si>
  <si>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</si>
  <si>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</si>
  <si>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</si>
  <si>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</si>
  <si>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</si>
  <si>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</si>
  <si>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</si>
  <si>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</si>
  <si>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</si>
  <si>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</si>
  <si>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</si>
  <si>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</si>
  <si>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</si>
  <si>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</si>
  <si>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</si>
  <si>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</si>
  <si>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</si>
  <si>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</si>
  <si>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</si>
  <si>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</si>
  <si>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</si>
  <si>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</si>
  <si>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</si>
  <si>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</si>
  <si>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</si>
  <si>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</si>
  <si>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</si>
  <si>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</si>
  <si>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</si>
  <si>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</si>
  <si>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</si>
  <si>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</si>
  <si>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</si>
  <si>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</si>
  <si>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</si>
  <si>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</si>
  <si>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</si>
  <si>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</si>
  <si>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</si>
  <si>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</si>
  <si>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</si>
  <si>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</si>
  <si>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</si>
  <si>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</si>
  <si>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</si>
  <si>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</si>
  <si>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</si>
  <si>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</si>
  <si>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</si>
  <si>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</si>
  <si>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</si>
  <si>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</si>
  <si>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</si>
  <si>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</si>
  <si>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</si>
  <si>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</si>
  <si>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</si>
  <si>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</si>
  <si>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</si>
  <si>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</si>
  <si>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</si>
  <si>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</si>
  <si>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</si>
  <si>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</si>
  <si>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</si>
  <si>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</si>
  <si>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</si>
  <si>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</si>
  <si>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</si>
  <si>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</si>
  <si>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</si>
  <si>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</si>
  <si>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</si>
  <si>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</si>
  <si>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</si>
  <si>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</si>
  <si>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</si>
  <si>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</si>
  <si>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Check</t>
  </si>
  <si>
    <t>Party</t>
  </si>
  <si>
    <t>Time @ Round 1</t>
  </si>
  <si>
    <t>Current Time</t>
  </si>
  <si>
    <t>Result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</si>
  <si>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</si>
  <si>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</si>
  <si>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</si>
  <si>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</si>
  <si>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</si>
  <si>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</si>
  <si>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þ</t>
  </si>
  <si>
    <t>Concealment</t>
  </si>
  <si>
    <t>Stoneskin</t>
  </si>
  <si>
    <t>Immaline</t>
  </si>
  <si>
    <t>X</t>
  </si>
  <si>
    <t>Wizard</t>
  </si>
  <si>
    <t>Seeker</t>
  </si>
  <si>
    <t>Cleric-Seeker</t>
  </si>
  <si>
    <t>Saradette</t>
  </si>
  <si>
    <t>20’</t>
  </si>
  <si>
    <t>Tore</t>
  </si>
  <si>
    <t>Malarians</t>
  </si>
  <si>
    <t>-</t>
  </si>
  <si>
    <t>Rogue / Illusionist / Artificer</t>
  </si>
  <si>
    <t>Fighter / Cleric of Lurue</t>
  </si>
  <si>
    <t>Celestial riding dog</t>
  </si>
  <si>
    <t>Bite</t>
  </si>
  <si>
    <t>1d6+3</t>
  </si>
  <si>
    <t>Grapple</t>
  </si>
  <si>
    <t>Celestial giant bee</t>
  </si>
  <si>
    <t>Sting</t>
  </si>
  <si>
    <t>1d4+Poison</t>
  </si>
  <si>
    <t>Fort DC 11, initial and Secondary damage 1d4 Con</t>
  </si>
  <si>
    <t>Malarian Guard 1</t>
  </si>
  <si>
    <t>R30+20</t>
  </si>
  <si>
    <t>R20</t>
  </si>
  <si>
    <t>1d4</t>
  </si>
  <si>
    <t>1d6+4</t>
  </si>
  <si>
    <t>Scimitar +1</t>
  </si>
  <si>
    <t>MW Dagger</t>
  </si>
  <si>
    <t>MW Sap</t>
  </si>
  <si>
    <t>Light Mace +1</t>
  </si>
  <si>
    <t>1d6+4+1</t>
  </si>
  <si>
    <t>1d6+3+1</t>
  </si>
  <si>
    <t>Detect Magic</t>
  </si>
  <si>
    <t>Amn</t>
  </si>
  <si>
    <t>F</t>
  </si>
  <si>
    <t>Scout</t>
  </si>
  <si>
    <t>Half-elf</t>
  </si>
  <si>
    <t>Seeker otMI</t>
  </si>
  <si>
    <t>Whofound</t>
  </si>
  <si>
    <t>Borboleta</t>
  </si>
  <si>
    <t>Moonshaes</t>
  </si>
  <si>
    <t>Elf Paragon (3) / Swashbuckler (6)</t>
  </si>
  <si>
    <t>Elf</t>
  </si>
  <si>
    <t>the Riz</t>
  </si>
  <si>
    <t>Lepidopterum</t>
  </si>
  <si>
    <t>Cormyr</t>
  </si>
  <si>
    <t>Archivist</t>
  </si>
  <si>
    <t>Gnome</t>
  </si>
  <si>
    <t>Belindremof</t>
  </si>
  <si>
    <t>Shmetterling</t>
  </si>
  <si>
    <t>Neverwinter</t>
  </si>
  <si>
    <t>Favored Soul of Solonor Thelandiira</t>
  </si>
  <si>
    <t>of Solonor</t>
  </si>
  <si>
    <t>Farfalla</t>
  </si>
  <si>
    <t>Lantan</t>
  </si>
  <si>
    <t>NG</t>
  </si>
  <si>
    <t>Illusionist</t>
  </si>
  <si>
    <t>Rock Gnome</t>
  </si>
  <si>
    <t>the Lantanese</t>
  </si>
  <si>
    <t>Allegory</t>
  </si>
  <si>
    <t>Troll Hills</t>
  </si>
  <si>
    <t>LN</t>
  </si>
  <si>
    <t>M</t>
  </si>
  <si>
    <t>Diviner</t>
  </si>
  <si>
    <t>Dwarf</t>
  </si>
  <si>
    <t>Saffronblade</t>
  </si>
  <si>
    <t>Yorig</t>
  </si>
  <si>
    <t>Mintar / Lake of Steam</t>
  </si>
  <si>
    <t>N</t>
  </si>
  <si>
    <t>Enchanter</t>
  </si>
  <si>
    <t>Half-human Elf</t>
  </si>
  <si>
    <t>Druidsbane</t>
  </si>
  <si>
    <t>Mìngyùn</t>
  </si>
  <si>
    <t>Mithral Chain Shirt +1</t>
  </si>
  <si>
    <t>Rapier +1</t>
  </si>
  <si>
    <t>all spells level 0 - 4</t>
  </si>
  <si>
    <t>Damara</t>
  </si>
  <si>
    <t>LG</t>
  </si>
  <si>
    <t>Beguiler</t>
  </si>
  <si>
    <t>Whisper Gnome</t>
  </si>
  <si>
    <t>BcGee</t>
  </si>
  <si>
    <t>Shivers</t>
  </si>
  <si>
    <t>Thay</t>
  </si>
  <si>
    <t>Non-Evil</t>
  </si>
  <si>
    <t>Human Paragon (3) / Sorcerer (6)</t>
  </si>
  <si>
    <t>Human</t>
  </si>
  <si>
    <t>Hinto</t>
  </si>
  <si>
    <t>Waterdeep</t>
  </si>
  <si>
    <t>Paladin of Freedom</t>
  </si>
  <si>
    <t>Caase</t>
  </si>
  <si>
    <t>Unarmed 1d10</t>
  </si>
  <si>
    <t>Anauroch</t>
  </si>
  <si>
    <t>Monk</t>
  </si>
  <si>
    <t>The Ride</t>
  </si>
  <si>
    <t>Favored Soul of Lurue</t>
  </si>
  <si>
    <t>Arcanea</t>
  </si>
  <si>
    <t>Turmish</t>
  </si>
  <si>
    <t>Warmage</t>
  </si>
  <si>
    <t>Wright</t>
  </si>
  <si>
    <t>Lassister</t>
  </si>
  <si>
    <t>Yhep</t>
  </si>
  <si>
    <t>Spellthief</t>
  </si>
  <si>
    <t>Applebit Jannisy Haraldson Bluerose</t>
  </si>
  <si>
    <t>Felcity</t>
  </si>
  <si>
    <t>CG</t>
  </si>
  <si>
    <t>Hexblade</t>
  </si>
  <si>
    <t>Silversmith</t>
  </si>
  <si>
    <t>Tethyr</t>
  </si>
  <si>
    <t>Duskblade</t>
  </si>
  <si>
    <t>?</t>
  </si>
  <si>
    <t>Alim</t>
  </si>
  <si>
    <t>Current Effects</t>
  </si>
  <si>
    <t>Notable Equipment</t>
  </si>
  <si>
    <t>Armor Bonus</t>
  </si>
  <si>
    <t>Armor</t>
  </si>
  <si>
    <t>Weapons</t>
  </si>
  <si>
    <r>
      <t xml:space="preserve">Spells Prepared / </t>
    </r>
    <r>
      <rPr>
        <b/>
        <sz val="12"/>
        <color rgb="FFFF0000"/>
        <rFont val="Times New Roman"/>
        <family val="1"/>
      </rPr>
      <t>Cast</t>
    </r>
  </si>
  <si>
    <t>Spells Known</t>
  </si>
  <si>
    <t>Abilities / Feats</t>
  </si>
  <si>
    <t>Skill Ranks</t>
  </si>
  <si>
    <t>HP</t>
  </si>
  <si>
    <t>FF</t>
  </si>
  <si>
    <t>Wil</t>
  </si>
  <si>
    <t>Ref</t>
  </si>
  <si>
    <t>Fort</t>
  </si>
  <si>
    <t>Init</t>
  </si>
  <si>
    <t>m</t>
  </si>
  <si>
    <t>Charisma</t>
  </si>
  <si>
    <t>Cha</t>
  </si>
  <si>
    <t>Wisdom</t>
  </si>
  <si>
    <t>Wis</t>
  </si>
  <si>
    <t>Intelligence</t>
  </si>
  <si>
    <t>Int</t>
  </si>
  <si>
    <t>Constitution</t>
  </si>
  <si>
    <t>Con</t>
  </si>
  <si>
    <t>Dexterity</t>
  </si>
  <si>
    <t>Dex</t>
  </si>
  <si>
    <t>Strength</t>
  </si>
  <si>
    <t>Str</t>
  </si>
  <si>
    <t>Region</t>
  </si>
  <si>
    <t>Alignment</t>
  </si>
  <si>
    <t>Age</t>
  </si>
  <si>
    <t>Sex</t>
  </si>
  <si>
    <t>Class</t>
  </si>
  <si>
    <t>Race</t>
  </si>
  <si>
    <t>Leader</t>
  </si>
  <si>
    <t>Last</t>
  </si>
  <si>
    <t>First</t>
  </si>
  <si>
    <t>Max</t>
  </si>
  <si>
    <t>0</t>
  </si>
  <si>
    <t>Use Rope</t>
  </si>
  <si>
    <t>Use Magic Device</t>
  </si>
  <si>
    <t>Tumble</t>
  </si>
  <si>
    <t>Swim</t>
  </si>
  <si>
    <t>Survival</t>
  </si>
  <si>
    <t>Spot</t>
  </si>
  <si>
    <t>Spellcraft</t>
  </si>
  <si>
    <t>Speak Language</t>
  </si>
  <si>
    <t>Sleight of Hand</t>
  </si>
  <si>
    <t>Sense Motive</t>
  </si>
  <si>
    <t>Search</t>
  </si>
  <si>
    <t>Ride</t>
  </si>
  <si>
    <t>Profession:  []</t>
  </si>
  <si>
    <t>Perform</t>
  </si>
  <si>
    <t>Open Lock</t>
  </si>
  <si>
    <t>Move Silently</t>
  </si>
  <si>
    <t>Listen</t>
  </si>
  <si>
    <t>Knowledge:  The Planes</t>
  </si>
  <si>
    <t>Knowledge:  Religion</t>
  </si>
  <si>
    <t>Knowledge:  Nobility &amp; Royalty</t>
  </si>
  <si>
    <t>Knowledge:  Nature</t>
  </si>
  <si>
    <t>Knowledge:  Local</t>
  </si>
  <si>
    <t>Knowledge:  History</t>
  </si>
  <si>
    <t>Knowledge:  Geography</t>
  </si>
  <si>
    <t>Knowledge:  Dungeoneering</t>
  </si>
  <si>
    <t>Knowledge:  Arch. &amp; Eng.</t>
  </si>
  <si>
    <t>Knowledge:  Arcana</t>
  </si>
  <si>
    <t>Jump</t>
  </si>
  <si>
    <t>Intimidate</t>
  </si>
  <si>
    <t>Hide</t>
  </si>
  <si>
    <t>Heal</t>
  </si>
  <si>
    <t>Handle Animal</t>
  </si>
  <si>
    <t>Gather Information</t>
  </si>
  <si>
    <t>Forgery</t>
  </si>
  <si>
    <t>Escape Artist</t>
  </si>
  <si>
    <t>Disguise</t>
  </si>
  <si>
    <t>Disable Device</t>
  </si>
  <si>
    <t>Diplomacy</t>
  </si>
  <si>
    <t>Decipher Script</t>
  </si>
  <si>
    <t>Craft:  []</t>
  </si>
  <si>
    <t>Concentration</t>
  </si>
  <si>
    <t>Climb</t>
  </si>
  <si>
    <t>Bluff</t>
  </si>
  <si>
    <t>Balance</t>
  </si>
  <si>
    <t>Appraise</t>
  </si>
  <si>
    <t>Active Character</t>
  </si>
  <si>
    <t>Misc. Mods.</t>
  </si>
  <si>
    <t>Ability &amp; Mod.</t>
  </si>
  <si>
    <t>Mod.</t>
  </si>
  <si>
    <t>Ability</t>
  </si>
  <si>
    <t>Skill/Save</t>
  </si>
  <si>
    <t>Ranged / Finesse</t>
  </si>
  <si>
    <t>cast CLW on Hinto</t>
  </si>
  <si>
    <t>Protection from Evil</t>
  </si>
  <si>
    <t>Malarian Guard 2</t>
  </si>
  <si>
    <t>Spear +1</t>
  </si>
  <si>
    <t>1d8+3+1</t>
  </si>
  <si>
    <t>MW Javelin</t>
  </si>
  <si>
    <t>Razorfiend 1</t>
  </si>
  <si>
    <t>Razorfiend 2</t>
  </si>
  <si>
    <t>Razorfiend 3</t>
  </si>
  <si>
    <t>CH</t>
  </si>
  <si>
    <t>CN</t>
  </si>
  <si>
    <t>Malarian</t>
  </si>
  <si>
    <t>/magic</t>
  </si>
  <si>
    <t>Razorfiend</t>
  </si>
  <si>
    <r>
      <t xml:space="preserve">6 / 6 / 6 / 6 / 4
</t>
    </r>
    <r>
      <rPr>
        <sz val="10"/>
        <color rgb="FFFF0000"/>
        <rFont val="Times New Roman"/>
        <family val="1"/>
      </rPr>
      <t>0 / 1 / 0 / 0 / 0</t>
    </r>
    <r>
      <rPr>
        <sz val="10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>x / mage armor / x / x / x</t>
    </r>
  </si>
  <si>
    <r>
      <t xml:space="preserve">Cloak of </t>
    </r>
    <r>
      <rPr>
        <i/>
        <sz val="12"/>
        <rFont val="Times New Roman"/>
        <family val="1"/>
      </rPr>
      <t>Greater Invisibility</t>
    </r>
  </si>
  <si>
    <t>Anæsthesia</t>
  </si>
  <si>
    <r>
      <t xml:space="preserve">6 / 7/ 6 / 2
</t>
    </r>
    <r>
      <rPr>
        <sz val="10"/>
        <color rgb="FFFF0000"/>
        <rFont val="Times New Roman"/>
        <family val="1"/>
      </rPr>
      <t>0 / 0 / 0 / 0</t>
    </r>
    <r>
      <rPr>
        <sz val="10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>x / mage armor / x / x / x</t>
    </r>
  </si>
  <si>
    <r>
      <t xml:space="preserve">Potion of </t>
    </r>
    <r>
      <rPr>
        <i/>
        <sz val="12"/>
        <color rgb="FFFF0000"/>
        <rFont val="Times New Roman"/>
        <family val="1"/>
      </rPr>
      <t>Eagle’s Splendor</t>
    </r>
  </si>
  <si>
    <t>Falchion +2</t>
  </si>
  <si>
    <t>Prot</t>
  </si>
  <si>
    <t>Greenspawn Razorfiend</t>
  </si>
  <si>
    <t>Wingblade 1</t>
  </si>
  <si>
    <t>Wingblade 2</t>
  </si>
  <si>
    <t>2d6+8</t>
  </si>
  <si>
    <t>18-20/x3</t>
  </si>
  <si>
    <t>1d8+3</t>
  </si>
  <si>
    <t>Jarid</t>
  </si>
  <si>
    <t>Razorfiends</t>
  </si>
  <si>
    <t>50’</t>
  </si>
  <si>
    <t>Longsword +2</t>
  </si>
  <si>
    <t>Longsword, 2nd Attack</t>
  </si>
  <si>
    <t>1d8+1+2</t>
  </si>
  <si>
    <t>Brother Kizzer</t>
  </si>
  <si>
    <t>Unarmed Strike</t>
  </si>
  <si>
    <t>1d10+1</t>
  </si>
  <si>
    <t>Kallionastiryne</t>
  </si>
  <si>
    <t>Falchion, 2nd Attack</t>
  </si>
  <si>
    <t>2d4+1+2</t>
  </si>
  <si>
    <t>Dart +1</t>
  </si>
  <si>
    <t>1d4+1</t>
  </si>
  <si>
    <t xml:space="preserve"> Elf</t>
  </si>
  <si>
    <t xml:space="preserve">Dwarf </t>
  </si>
  <si>
    <t xml:space="preserve">Human </t>
  </si>
  <si>
    <t>Adcerna</t>
  </si>
  <si>
    <t>Frostbeard</t>
  </si>
  <si>
    <t xml:space="preserve">Lashoru </t>
  </si>
  <si>
    <t xml:space="preserve">Yur </t>
  </si>
  <si>
    <t>Brother Frostbeard</t>
  </si>
  <si>
    <t>Kallion</t>
  </si>
  <si>
    <t>Dragons</t>
  </si>
  <si>
    <t>MM I &amp; MM IV</t>
  </si>
  <si>
    <t>Barbarians, mostly</t>
  </si>
  <si>
    <t>2d8+8</t>
  </si>
  <si>
    <t>Claw 1</t>
  </si>
  <si>
    <t>Claw 2</t>
  </si>
  <si>
    <t>2d6+4</t>
  </si>
  <si>
    <t>Tail</t>
  </si>
  <si>
    <t>2d6+12</t>
  </si>
  <si>
    <t>Wing 1</t>
  </si>
  <si>
    <t>Wing 2</t>
  </si>
  <si>
    <t>1d8+4</t>
  </si>
  <si>
    <t>Breath Weapon</t>
  </si>
  <si>
    <t>12d6 acid</t>
  </si>
  <si>
    <t>DC 25 Ref ½</t>
  </si>
  <si>
    <t>50’ Cone</t>
  </si>
  <si>
    <t>Nimbus of Light</t>
  </si>
  <si>
    <r>
      <t xml:space="preserve">0 level: Create Water, Detect Magic, Detect Poison, Flare, Mending, Purify Food and Drink, Read Magic &amp; Resistance / </t>
    </r>
    <r>
      <rPr>
        <b/>
        <sz val="10"/>
        <rFont val="Times New Roman"/>
        <family val="1"/>
      </rPr>
      <t xml:space="preserve">1st: Bless, Cure Light Wounds, Divine Favor, Doom, Entropic Shield &amp; Protection from Evil </t>
    </r>
    <r>
      <rPr>
        <sz val="10"/>
        <rFont val="Times New Roman"/>
        <family val="1"/>
      </rPr>
      <t xml:space="preserve">/ </t>
    </r>
    <r>
      <rPr>
        <i/>
        <sz val="10"/>
        <rFont val="Times New Roman"/>
        <family val="1"/>
      </rPr>
      <t xml:space="preserve">2nd: Aid, Bull's Strength, Consecrate, Cure Moderate Wounds, Find Traps &amp; Hold Person </t>
    </r>
    <r>
      <rPr>
        <sz val="10"/>
        <rFont val="Times New Roman"/>
        <family val="1"/>
      </rPr>
      <t xml:space="preserve">/ </t>
    </r>
    <r>
      <rPr>
        <b/>
        <i/>
        <sz val="10"/>
        <rFont val="Times New Roman"/>
        <family val="1"/>
      </rPr>
      <t xml:space="preserve">3rd: Cure Serious Wounds, Invisibility Purge, Magic Circle against Evil &amp; Searing Light </t>
    </r>
    <r>
      <rPr>
        <sz val="10"/>
        <rFont val="Times New Roman"/>
        <family val="1"/>
      </rPr>
      <t>/ 4th: Cure Critical Wounds, Divine Power &amp; Summon Monster IV</t>
    </r>
  </si>
  <si>
    <r>
      <t xml:space="preserve">0 Level: Acid Splash, Detect Magic, Flare, Message, Ray of Frost, Read Magic &amp; Resistance  / </t>
    </r>
    <r>
      <rPr>
        <b/>
        <sz val="10"/>
        <rFont val="Times New Roman"/>
        <family val="1"/>
      </rPr>
      <t xml:space="preserve">1st: Charm Person, Enlarge Person, Mage Armor (or Shield if he has armor) &amp; Magic Missile </t>
    </r>
    <r>
      <rPr>
        <sz val="10"/>
        <rFont val="Times New Roman"/>
        <family val="1"/>
      </rPr>
      <t xml:space="preserve">/ </t>
    </r>
    <r>
      <rPr>
        <i/>
        <sz val="10"/>
        <rFont val="Times New Roman"/>
        <family val="1"/>
      </rPr>
      <t xml:space="preserve">2nd: Bull’s Strength &amp; See Invisibility </t>
    </r>
    <r>
      <rPr>
        <sz val="10"/>
        <rFont val="Times New Roman"/>
        <family val="1"/>
      </rPr>
      <t xml:space="preserve">/ </t>
    </r>
    <r>
      <rPr>
        <b/>
        <i/>
        <sz val="10"/>
        <rFont val="Times New Roman"/>
        <family val="1"/>
      </rPr>
      <t>3rd: Fireball</t>
    </r>
  </si>
  <si>
    <t>Magic Circle v. Evil</t>
  </si>
  <si>
    <t>Rhino’s Rush</t>
  </si>
  <si>
    <t>1st Rhino’s Rush &amp; Lesser Restoration / 2nd Bull’s Strength</t>
  </si>
  <si>
    <t>Full Plate</t>
  </si>
  <si>
    <t>Greatsword +2</t>
  </si>
  <si>
    <t>Greatsword, 2nd Attack</t>
  </si>
  <si>
    <t>2d6+2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</si>
</sst>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0" tint="-0.499984740745262"/>
      <name val="Times New Roman"/>
      <family val="1"/>
    </font>
    <font>
      <b/>
      <sz val="11"/>
      <color theme="0" tint="-0.14999847407452621"/>
      <name val="Times New Roman"/>
      <family val="1"/>
    </font>
    <font>
      <i/>
      <sz val="12"/>
      <color indexed="8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rgb="FFFFC000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0000FF"/>
      <name val="Times New Roman"/>
      <family val="1"/>
    </font>
    <font>
      <sz val="13"/>
      <name val="Times New Roman"/>
      <family val="1"/>
    </font>
    <font>
      <sz val="10"/>
      <color rgb="FFFF0000"/>
      <name val="Times New Roman"/>
      <family val="1"/>
    </font>
    <font>
      <b/>
      <i/>
      <sz val="9"/>
      <color theme="1"/>
      <name val="Times New Roman"/>
      <family val="1"/>
    </font>
    <font>
      <b/>
      <sz val="13"/>
      <color indexed="12"/>
      <name val="Times New Roman"/>
      <family val="1"/>
    </font>
    <font>
      <b/>
      <sz val="13"/>
      <color rgb="FF00FF00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rgb="FFFFC000"/>
      <name val="Times New Roman"/>
      <family val="1"/>
    </font>
    <font>
      <b/>
      <sz val="13"/>
      <color indexed="46"/>
      <name val="Times New Roman"/>
      <family val="1"/>
    </font>
    <font>
      <b/>
      <sz val="13"/>
      <name val="Symbol"/>
      <family val="1"/>
      <charset val="2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17"/>
      <name val="Times New Roman"/>
      <family val="1"/>
    </font>
    <font>
      <sz val="13"/>
      <color rgb="FFFFC000"/>
      <name val="Times New Roman"/>
      <family val="1"/>
    </font>
    <font>
      <sz val="13"/>
      <color indexed="46"/>
      <name val="Times New Roman"/>
      <family val="1"/>
    </font>
    <font>
      <sz val="13"/>
      <color indexed="52"/>
      <name val="Times New Roman"/>
      <family val="1"/>
    </font>
    <font>
      <sz val="13"/>
      <color indexed="10"/>
      <name val="Times New Roman"/>
      <family val="1"/>
    </font>
    <font>
      <sz val="13"/>
      <color indexed="51"/>
      <name val="Times New Roman"/>
      <family val="1"/>
    </font>
    <font>
      <sz val="13"/>
      <color indexed="17"/>
      <name val="Times New Roman"/>
      <family val="1"/>
    </font>
    <font>
      <sz val="12"/>
      <color indexed="51"/>
      <name val="Times New Roman"/>
      <family val="1"/>
    </font>
    <font>
      <sz val="12"/>
      <color indexed="10"/>
      <name val="Times New Roman"/>
      <family val="1"/>
    </font>
    <font>
      <sz val="12"/>
      <color indexed="17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52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0000"/>
      <name val="Times New Roman"/>
      <family val="1"/>
    </font>
    <font>
      <b/>
      <sz val="13"/>
      <color indexed="9"/>
      <name val="Times New Roman"/>
      <family val="1"/>
    </font>
    <font>
      <i/>
      <sz val="12"/>
      <name val="Times New Roman"/>
      <family val="1"/>
    </font>
    <font>
      <i/>
      <sz val="12"/>
      <color rgb="FFFF0000"/>
      <name val="Times New Roman"/>
      <family val="1"/>
    </font>
    <font>
      <sz val="12"/>
      <color indexed="8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66FF"/>
        <bgColor indexed="64"/>
      </patternFill>
    </fill>
  </fills>
  <borders count="8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6" fillId="0" borderId="0"/>
    <xf numFmtId="0" fontId="3" fillId="0" borderId="0"/>
  </cellStyleXfs>
  <cellXfs count="35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28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7" fillId="2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9" fontId="24" fillId="29" borderId="48" xfId="11" applyFont="1" applyFill="1" applyBorder="1" applyAlignment="1">
      <alignment horizontal="center" vertical="center"/>
    </xf>
    <xf numFmtId="1" fontId="3" fillId="13" borderId="60" xfId="0" applyNumberFormat="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 wrapText="1"/>
    </xf>
    <xf numFmtId="9" fontId="28" fillId="29" borderId="27" xfId="1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3" fillId="13" borderId="6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3" fillId="13" borderId="60" xfId="0" quotePrefix="1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4" fillId="13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0" fillId="0" borderId="0" xfId="2" applyFont="1" applyAlignment="1">
      <alignment horizontal="right" vertical="center" wrapText="1"/>
    </xf>
    <xf numFmtId="0" fontId="30" fillId="0" borderId="0" xfId="2" applyFont="1" applyAlignment="1">
      <alignment horizontal="right" vertical="center"/>
    </xf>
    <xf numFmtId="0" fontId="3" fillId="0" borderId="63" xfId="15" applyBorder="1" applyAlignment="1">
      <alignment horizontal="center" vertical="center"/>
    </xf>
    <xf numFmtId="0" fontId="3" fillId="0" borderId="55" xfId="15" applyBorder="1" applyAlignment="1">
      <alignment horizontal="center" vertical="center"/>
    </xf>
    <xf numFmtId="0" fontId="3" fillId="0" borderId="8" xfId="15" applyBorder="1" applyAlignment="1">
      <alignment horizontal="center" vertical="center" wrapText="1"/>
    </xf>
    <xf numFmtId="0" fontId="3" fillId="0" borderId="14" xfId="15" applyBorder="1" applyAlignment="1">
      <alignment horizontal="center" vertical="center" wrapText="1"/>
    </xf>
    <xf numFmtId="49" fontId="31" fillId="0" borderId="63" xfId="15" applyNumberFormat="1" applyFont="1" applyBorder="1" applyAlignment="1">
      <alignment horizontal="center" vertical="center"/>
    </xf>
    <xf numFmtId="0" fontId="31" fillId="0" borderId="64" xfId="15" applyFont="1" applyBorder="1" applyAlignment="1">
      <alignment horizontal="center" vertical="center" wrapText="1"/>
    </xf>
    <xf numFmtId="0" fontId="31" fillId="0" borderId="65" xfId="15" quotePrefix="1" applyFont="1" applyBorder="1" applyAlignment="1">
      <alignment horizontal="center" vertical="center"/>
    </xf>
    <xf numFmtId="0" fontId="3" fillId="0" borderId="66" xfId="15" quotePrefix="1" applyBorder="1" applyAlignment="1">
      <alignment horizontal="center" vertical="center"/>
    </xf>
    <xf numFmtId="0" fontId="3" fillId="0" borderId="64" xfId="15" quotePrefix="1" applyBorder="1" applyAlignment="1">
      <alignment horizontal="center" vertical="center"/>
    </xf>
    <xf numFmtId="0" fontId="32" fillId="0" borderId="55" xfId="15" applyFont="1" applyBorder="1" applyAlignment="1">
      <alignment horizontal="center" vertical="center"/>
    </xf>
    <xf numFmtId="0" fontId="33" fillId="0" borderId="28" xfId="15" applyFont="1" applyBorder="1" applyAlignment="1">
      <alignment horizontal="center" vertical="center"/>
    </xf>
    <xf numFmtId="0" fontId="34" fillId="0" borderId="21" xfId="15" applyFont="1" applyBorder="1" applyAlignment="1">
      <alignment horizontal="center" vertical="center"/>
    </xf>
    <xf numFmtId="0" fontId="33" fillId="0" borderId="18" xfId="15" applyFont="1" applyBorder="1" applyAlignment="1">
      <alignment horizontal="center" vertical="center"/>
    </xf>
    <xf numFmtId="0" fontId="35" fillId="0" borderId="28" xfId="15" applyFont="1" applyBorder="1" applyAlignment="1">
      <alignment horizontal="center" vertical="center"/>
    </xf>
    <xf numFmtId="0" fontId="33" fillId="0" borderId="14" xfId="15" applyFont="1" applyBorder="1" applyAlignment="1">
      <alignment horizontal="center" vertical="center"/>
    </xf>
    <xf numFmtId="0" fontId="3" fillId="0" borderId="65" xfId="15" applyBorder="1" applyAlignment="1">
      <alignment horizontal="center" vertical="center"/>
    </xf>
    <xf numFmtId="164" fontId="3" fillId="0" borderId="65" xfId="15" applyNumberFormat="1" applyBorder="1" applyAlignment="1">
      <alignment horizontal="center" vertical="center"/>
    </xf>
    <xf numFmtId="0" fontId="3" fillId="0" borderId="8" xfId="15" applyBorder="1" applyAlignment="1">
      <alignment horizontal="center" vertical="center"/>
    </xf>
    <xf numFmtId="0" fontId="3" fillId="0" borderId="64" xfId="15" applyBorder="1" applyAlignment="1">
      <alignment horizontal="center" vertical="center"/>
    </xf>
    <xf numFmtId="0" fontId="3" fillId="0" borderId="63" xfId="15" applyBorder="1" applyAlignment="1">
      <alignment horizontal="center" vertical="center" wrapText="1"/>
    </xf>
    <xf numFmtId="0" fontId="36" fillId="0" borderId="25" xfId="15" applyFont="1" applyBorder="1" applyAlignment="1">
      <alignment horizontal="center" vertical="center"/>
    </xf>
    <xf numFmtId="0" fontId="3" fillId="13" borderId="8" xfId="15" applyFill="1" applyBorder="1" applyAlignment="1">
      <alignment horizontal="center" vertical="center" wrapText="1"/>
    </xf>
    <xf numFmtId="0" fontId="25" fillId="0" borderId="28" xfId="15" applyFont="1" applyBorder="1" applyAlignment="1">
      <alignment horizontal="right" vertical="center" wrapText="1"/>
    </xf>
    <xf numFmtId="0" fontId="25" fillId="0" borderId="28" xfId="15" applyFont="1" applyBorder="1" applyAlignment="1">
      <alignment horizontal="right" vertical="center"/>
    </xf>
    <xf numFmtId="49" fontId="31" fillId="0" borderId="63" xfId="15" applyNumberFormat="1" applyFont="1" applyBorder="1" applyAlignment="1">
      <alignment horizontal="center" vertical="center" wrapText="1"/>
    </xf>
    <xf numFmtId="0" fontId="3" fillId="27" borderId="8" xfId="15" applyFill="1" applyBorder="1" applyAlignment="1">
      <alignment horizontal="center" vertical="center"/>
    </xf>
    <xf numFmtId="0" fontId="3" fillId="3" borderId="8" xfId="15" applyFill="1" applyBorder="1" applyAlignment="1">
      <alignment horizontal="center" vertical="center" wrapText="1"/>
    </xf>
    <xf numFmtId="0" fontId="3" fillId="30" borderId="8" xfId="15" applyFill="1" applyBorder="1" applyAlignment="1">
      <alignment horizontal="center" vertical="center" wrapText="1"/>
    </xf>
    <xf numFmtId="0" fontId="38" fillId="0" borderId="28" xfId="15" applyFont="1" applyBorder="1" applyAlignment="1">
      <alignment horizontal="right" vertical="center" wrapText="1"/>
    </xf>
    <xf numFmtId="0" fontId="4" fillId="0" borderId="67" xfId="2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 wrapText="1"/>
    </xf>
    <xf numFmtId="49" fontId="4" fillId="0" borderId="68" xfId="2" applyNumberFormat="1" applyFont="1" applyBorder="1" applyAlignment="1">
      <alignment horizontal="center" vertical="center"/>
    </xf>
    <xf numFmtId="0" fontId="39" fillId="0" borderId="68" xfId="2" applyFont="1" applyBorder="1" applyAlignment="1">
      <alignment horizontal="center" vertical="center"/>
    </xf>
    <xf numFmtId="0" fontId="40" fillId="0" borderId="68" xfId="2" applyFont="1" applyBorder="1" applyAlignment="1">
      <alignment horizontal="center" vertical="center"/>
    </xf>
    <xf numFmtId="0" fontId="41" fillId="0" borderId="68" xfId="2" applyFont="1" applyBorder="1" applyAlignment="1">
      <alignment horizontal="center" vertical="center"/>
    </xf>
    <xf numFmtId="0" fontId="42" fillId="0" borderId="68" xfId="2" applyFont="1" applyBorder="1" applyAlignment="1">
      <alignment horizontal="centerContinuous" vertical="center"/>
    </xf>
    <xf numFmtId="0" fontId="43" fillId="0" borderId="68" xfId="2" applyFont="1" applyBorder="1" applyAlignment="1">
      <alignment horizontal="centerContinuous" vertical="center"/>
    </xf>
    <xf numFmtId="0" fontId="44" fillId="0" borderId="68" xfId="2" applyFont="1" applyBorder="1" applyAlignment="1">
      <alignment horizontal="centerContinuous" vertical="center"/>
    </xf>
    <xf numFmtId="0" fontId="39" fillId="0" borderId="68" xfId="2" applyFont="1" applyBorder="1" applyAlignment="1">
      <alignment horizontal="centerContinuous" vertical="center"/>
    </xf>
    <xf numFmtId="0" fontId="44" fillId="0" borderId="68" xfId="2" applyFont="1" applyBorder="1" applyAlignment="1">
      <alignment horizontal="center" vertical="center"/>
    </xf>
    <xf numFmtId="0" fontId="45" fillId="0" borderId="68" xfId="15" applyFont="1" applyBorder="1" applyAlignment="1">
      <alignment horizontal="center" vertical="center"/>
    </xf>
    <xf numFmtId="0" fontId="42" fillId="0" borderId="68" xfId="2" applyFont="1" applyBorder="1" applyAlignment="1">
      <alignment horizontal="center" vertical="center"/>
    </xf>
    <xf numFmtId="0" fontId="46" fillId="0" borderId="68" xfId="2" applyFont="1" applyBorder="1" applyAlignment="1">
      <alignment horizontal="center" vertical="center"/>
    </xf>
    <xf numFmtId="0" fontId="47" fillId="0" borderId="68" xfId="2" applyFont="1" applyBorder="1" applyAlignment="1">
      <alignment horizontal="center" vertical="center"/>
    </xf>
    <xf numFmtId="0" fontId="48" fillId="0" borderId="68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 wrapText="1"/>
    </xf>
    <xf numFmtId="0" fontId="30" fillId="0" borderId="68" xfId="2" applyFont="1" applyBorder="1" applyAlignment="1">
      <alignment horizontal="center" vertical="center" wrapText="1"/>
    </xf>
    <xf numFmtId="0" fontId="30" fillId="0" borderId="68" xfId="2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4" fillId="0" borderId="0" xfId="12" applyFont="1" applyAlignment="1">
      <alignment horizontal="right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center" vertical="center"/>
    </xf>
    <xf numFmtId="0" fontId="4" fillId="0" borderId="0" xfId="12" applyFont="1" applyAlignment="1">
      <alignment vertical="center"/>
    </xf>
    <xf numFmtId="0" fontId="4" fillId="0" borderId="0" xfId="12" applyFont="1" applyAlignment="1">
      <alignment horizontal="left" vertical="center"/>
    </xf>
    <xf numFmtId="0" fontId="36" fillId="0" borderId="69" xfId="12" quotePrefix="1" applyFont="1" applyBorder="1" applyAlignment="1">
      <alignment horizontal="center" vertical="center"/>
    </xf>
    <xf numFmtId="49" fontId="36" fillId="0" borderId="70" xfId="12" applyNumberFormat="1" applyFont="1" applyBorder="1" applyAlignment="1">
      <alignment horizontal="center" vertical="center"/>
    </xf>
    <xf numFmtId="0" fontId="49" fillId="9" borderId="71" xfId="12" applyFont="1" applyFill="1" applyBorder="1" applyAlignment="1">
      <alignment horizontal="center" vertical="center"/>
    </xf>
    <xf numFmtId="0" fontId="44" fillId="0" borderId="70" xfId="12" applyFont="1" applyBorder="1" applyAlignment="1">
      <alignment horizontal="center" vertical="center"/>
    </xf>
    <xf numFmtId="0" fontId="50" fillId="0" borderId="70" xfId="12" applyFont="1" applyBorder="1" applyAlignment="1">
      <alignment horizontal="center" vertical="center"/>
    </xf>
    <xf numFmtId="49" fontId="50" fillId="0" borderId="71" xfId="12" applyNumberFormat="1" applyFont="1" applyBorder="1" applyAlignment="1">
      <alignment horizontal="center" vertical="center"/>
    </xf>
    <xf numFmtId="0" fontId="36" fillId="0" borderId="71" xfId="12" applyFont="1" applyBorder="1" applyAlignment="1">
      <alignment horizontal="center" vertical="center"/>
    </xf>
    <xf numFmtId="0" fontId="44" fillId="0" borderId="38" xfId="12" applyFont="1" applyBorder="1" applyAlignment="1">
      <alignment vertical="center"/>
    </xf>
    <xf numFmtId="0" fontId="36" fillId="0" borderId="72" xfId="12" quotePrefix="1" applyFont="1" applyBorder="1" applyAlignment="1">
      <alignment horizontal="center" vertical="center"/>
    </xf>
    <xf numFmtId="49" fontId="36" fillId="0" borderId="49" xfId="12" applyNumberFormat="1" applyFont="1" applyBorder="1" applyAlignment="1">
      <alignment horizontal="center" vertical="center"/>
    </xf>
    <xf numFmtId="0" fontId="49" fillId="9" borderId="49" xfId="12" applyFont="1" applyFill="1" applyBorder="1" applyAlignment="1">
      <alignment horizontal="center" vertical="center"/>
    </xf>
    <xf numFmtId="0" fontId="46" fillId="0" borderId="49" xfId="12" applyFont="1" applyBorder="1" applyAlignment="1">
      <alignment horizontal="center" vertical="center"/>
    </xf>
    <xf numFmtId="0" fontId="51" fillId="0" borderId="49" xfId="12" applyFont="1" applyBorder="1" applyAlignment="1">
      <alignment horizontal="center" vertical="center"/>
    </xf>
    <xf numFmtId="49" fontId="51" fillId="0" borderId="30" xfId="12" applyNumberFormat="1" applyFont="1" applyBorder="1" applyAlignment="1">
      <alignment horizontal="center" vertical="center"/>
    </xf>
    <xf numFmtId="0" fontId="36" fillId="0" borderId="30" xfId="12" applyFont="1" applyBorder="1" applyAlignment="1">
      <alignment horizontal="center" vertical="center"/>
    </xf>
    <xf numFmtId="0" fontId="46" fillId="0" borderId="36" xfId="12" applyFont="1" applyBorder="1" applyAlignment="1">
      <alignment vertical="center"/>
    </xf>
    <xf numFmtId="0" fontId="44" fillId="0" borderId="49" xfId="12" applyFont="1" applyBorder="1" applyAlignment="1">
      <alignment horizontal="center" vertical="center"/>
    </xf>
    <xf numFmtId="0" fontId="50" fillId="0" borderId="49" xfId="12" applyFont="1" applyBorder="1" applyAlignment="1">
      <alignment horizontal="center" vertical="center"/>
    </xf>
    <xf numFmtId="49" fontId="50" fillId="0" borderId="30" xfId="12" applyNumberFormat="1" applyFont="1" applyBorder="1" applyAlignment="1">
      <alignment horizontal="center" vertical="center"/>
    </xf>
    <xf numFmtId="0" fontId="44" fillId="0" borderId="36" xfId="12" applyFont="1" applyBorder="1" applyAlignment="1">
      <alignment vertical="center"/>
    </xf>
    <xf numFmtId="0" fontId="41" fillId="0" borderId="49" xfId="12" applyFont="1" applyBorder="1" applyAlignment="1">
      <alignment horizontal="center" vertical="center"/>
    </xf>
    <xf numFmtId="0" fontId="52" fillId="0" borderId="49" xfId="12" applyFont="1" applyBorder="1" applyAlignment="1">
      <alignment horizontal="center" vertical="center"/>
    </xf>
    <xf numFmtId="49" fontId="52" fillId="0" borderId="30" xfId="12" applyNumberFormat="1" applyFont="1" applyBorder="1" applyAlignment="1">
      <alignment horizontal="center" vertical="center"/>
    </xf>
    <xf numFmtId="0" fontId="41" fillId="0" borderId="36" xfId="12" applyFont="1" applyBorder="1" applyAlignment="1">
      <alignment vertical="center"/>
    </xf>
    <xf numFmtId="0" fontId="47" fillId="0" borderId="49" xfId="12" applyFont="1" applyBorder="1" applyAlignment="1">
      <alignment horizontal="center" vertical="center"/>
    </xf>
    <xf numFmtId="0" fontId="53" fillId="0" borderId="49" xfId="12" applyFont="1" applyBorder="1" applyAlignment="1">
      <alignment horizontal="center" vertical="center"/>
    </xf>
    <xf numFmtId="49" fontId="53" fillId="0" borderId="30" xfId="12" applyNumberFormat="1" applyFont="1" applyBorder="1" applyAlignment="1">
      <alignment horizontal="center" vertical="center"/>
    </xf>
    <xf numFmtId="0" fontId="47" fillId="0" borderId="36" xfId="12" applyFont="1" applyBorder="1" applyAlignment="1">
      <alignment vertical="center"/>
    </xf>
    <xf numFmtId="0" fontId="48" fillId="0" borderId="49" xfId="12" applyFont="1" applyBorder="1" applyAlignment="1">
      <alignment horizontal="center" vertical="center"/>
    </xf>
    <xf numFmtId="0" fontId="54" fillId="0" borderId="49" xfId="12" applyFont="1" applyBorder="1" applyAlignment="1">
      <alignment horizontal="center" vertical="center"/>
    </xf>
    <xf numFmtId="49" fontId="54" fillId="0" borderId="30" xfId="12" applyNumberFormat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55" fillId="0" borderId="0" xfId="12" applyFont="1" applyAlignment="1">
      <alignment vertical="center"/>
    </xf>
    <xf numFmtId="0" fontId="56" fillId="0" borderId="0" xfId="12" applyFont="1" applyAlignment="1">
      <alignment vertical="center"/>
    </xf>
    <xf numFmtId="0" fontId="57" fillId="0" borderId="0" xfId="12" applyFont="1" applyAlignment="1">
      <alignment vertical="center"/>
    </xf>
    <xf numFmtId="0" fontId="58" fillId="0" borderId="0" xfId="12" applyFont="1" applyAlignment="1">
      <alignment vertical="center"/>
    </xf>
    <xf numFmtId="0" fontId="39" fillId="0" borderId="49" xfId="12" applyFont="1" applyBorder="1" applyAlignment="1">
      <alignment horizontal="center" vertical="center"/>
    </xf>
    <xf numFmtId="0" fontId="59" fillId="0" borderId="49" xfId="12" applyFont="1" applyBorder="1" applyAlignment="1">
      <alignment horizontal="center" vertical="center"/>
    </xf>
    <xf numFmtId="49" fontId="59" fillId="0" borderId="30" xfId="12" applyNumberFormat="1" applyFont="1" applyBorder="1" applyAlignment="1">
      <alignment horizontal="center" vertical="center"/>
    </xf>
    <xf numFmtId="0" fontId="39" fillId="0" borderId="36" xfId="12" applyFont="1" applyBorder="1" applyAlignment="1">
      <alignment vertical="center"/>
    </xf>
    <xf numFmtId="0" fontId="60" fillId="0" borderId="0" xfId="12" applyFont="1" applyAlignment="1">
      <alignment vertical="center"/>
    </xf>
    <xf numFmtId="0" fontId="36" fillId="0" borderId="49" xfId="12" applyFont="1" applyBorder="1" applyAlignment="1">
      <alignment horizontal="center" vertical="center"/>
    </xf>
    <xf numFmtId="0" fontId="36" fillId="0" borderId="73" xfId="12" quotePrefix="1" applyFont="1" applyBorder="1" applyAlignment="1">
      <alignment horizontal="center" vertical="center"/>
    </xf>
    <xf numFmtId="1" fontId="36" fillId="0" borderId="31" xfId="12" applyNumberFormat="1" applyFont="1" applyBorder="1" applyAlignment="1">
      <alignment horizontal="center" vertical="center" wrapText="1"/>
    </xf>
    <xf numFmtId="0" fontId="36" fillId="0" borderId="31" xfId="12" applyFont="1" applyBorder="1" applyAlignment="1">
      <alignment horizontal="center" vertical="center" wrapText="1"/>
    </xf>
    <xf numFmtId="0" fontId="43" fillId="0" borderId="31" xfId="12" applyFont="1" applyBorder="1" applyAlignment="1">
      <alignment horizontal="center" vertical="center" wrapText="1"/>
    </xf>
    <xf numFmtId="0" fontId="36" fillId="0" borderId="31" xfId="12" applyFont="1" applyBorder="1" applyAlignment="1">
      <alignment horizontal="center" vertical="center"/>
    </xf>
    <xf numFmtId="0" fontId="61" fillId="0" borderId="74" xfId="12" applyFont="1" applyBorder="1" applyAlignment="1">
      <alignment vertical="center"/>
    </xf>
    <xf numFmtId="1" fontId="36" fillId="0" borderId="30" xfId="12" applyNumberFormat="1" applyFont="1" applyBorder="1" applyAlignment="1">
      <alignment horizontal="center" vertical="center" wrapText="1"/>
    </xf>
    <xf numFmtId="0" fontId="36" fillId="0" borderId="30" xfId="12" applyFont="1" applyBorder="1" applyAlignment="1">
      <alignment horizontal="center" vertical="center" wrapText="1"/>
    </xf>
    <xf numFmtId="0" fontId="62" fillId="0" borderId="36" xfId="12" applyFont="1" applyBorder="1" applyAlignment="1">
      <alignment vertical="center"/>
    </xf>
    <xf numFmtId="0" fontId="36" fillId="0" borderId="75" xfId="12" quotePrefix="1" applyFont="1" applyBorder="1" applyAlignment="1">
      <alignment horizontal="center" vertical="center"/>
    </xf>
    <xf numFmtId="0" fontId="61" fillId="0" borderId="30" xfId="12" applyFont="1" applyBorder="1" applyAlignment="1">
      <alignment horizontal="center" vertical="center" wrapText="1"/>
    </xf>
    <xf numFmtId="0" fontId="63" fillId="0" borderId="36" xfId="12" applyFont="1" applyBorder="1" applyAlignment="1">
      <alignment vertical="center"/>
    </xf>
    <xf numFmtId="0" fontId="64" fillId="26" borderId="76" xfId="12" applyFont="1" applyFill="1" applyBorder="1" applyAlignment="1">
      <alignment horizontal="center" vertical="center" wrapText="1"/>
    </xf>
    <xf numFmtId="0" fontId="64" fillId="31" borderId="77" xfId="12" applyFont="1" applyFill="1" applyBorder="1" applyAlignment="1">
      <alignment horizontal="center" vertical="center"/>
    </xf>
    <xf numFmtId="0" fontId="64" fillId="31" borderId="50" xfId="12" applyFont="1" applyFill="1" applyBorder="1" applyAlignment="1">
      <alignment horizontal="center" vertical="center"/>
    </xf>
    <xf numFmtId="0" fontId="43" fillId="9" borderId="51" xfId="12" applyFont="1" applyFill="1" applyBorder="1" applyAlignment="1">
      <alignment horizontal="center" vertical="center" wrapText="1"/>
    </xf>
    <xf numFmtId="0" fontId="64" fillId="31" borderId="50" xfId="12" applyFont="1" applyFill="1" applyBorder="1" applyAlignment="1">
      <alignment horizontal="center" vertical="center" wrapText="1"/>
    </xf>
    <xf numFmtId="0" fontId="64" fillId="5" borderId="50" xfId="12" applyFont="1" applyFill="1" applyBorder="1" applyAlignment="1">
      <alignment horizontal="center" vertical="center"/>
    </xf>
    <xf numFmtId="0" fontId="64" fillId="31" borderId="78" xfId="12" applyFont="1" applyFill="1" applyBorder="1" applyAlignment="1">
      <alignment horizontal="centerContinuous" vertical="center"/>
    </xf>
    <xf numFmtId="49" fontId="37" fillId="0" borderId="63" xfId="15" applyNumberFormat="1" applyFont="1" applyBorder="1" applyAlignment="1">
      <alignment horizontal="center" vertical="center"/>
    </xf>
    <xf numFmtId="0" fontId="25" fillId="13" borderId="28" xfId="15" applyFont="1" applyFill="1" applyBorder="1" applyAlignment="1">
      <alignment horizontal="right" vertical="center"/>
    </xf>
    <xf numFmtId="0" fontId="25" fillId="13" borderId="28" xfId="15" applyFont="1" applyFill="1" applyBorder="1" applyAlignment="1">
      <alignment horizontal="right" vertical="center" wrapText="1"/>
    </xf>
    <xf numFmtId="0" fontId="3" fillId="13" borderId="8" xfId="15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1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3" fillId="6" borderId="55" xfId="15" applyFill="1" applyBorder="1" applyAlignment="1">
      <alignment horizontal="center" vertical="center"/>
    </xf>
    <xf numFmtId="0" fontId="9" fillId="0" borderId="63" xfId="15" applyFont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/>
    </xf>
    <xf numFmtId="0" fontId="7" fillId="21" borderId="30" xfId="0" applyFont="1" applyFill="1" applyBorder="1" applyAlignment="1">
      <alignment horizontal="center" vertical="center"/>
    </xf>
    <xf numFmtId="0" fontId="7" fillId="21" borderId="31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0" fillId="32" borderId="25" xfId="0" applyFill="1" applyBorder="1" applyAlignment="1">
      <alignment horizontal="center" vertical="center"/>
    </xf>
    <xf numFmtId="0" fontId="3" fillId="6" borderId="64" xfId="15" applyFill="1" applyBorder="1" applyAlignment="1">
      <alignment horizontal="center" vertical="center"/>
    </xf>
    <xf numFmtId="0" fontId="3" fillId="6" borderId="8" xfId="15" applyFill="1" applyBorder="1" applyAlignment="1">
      <alignment horizontal="center" vertical="center"/>
    </xf>
    <xf numFmtId="0" fontId="3" fillId="6" borderId="64" xfId="15" quotePrefix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2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66FF"/>
      <color rgb="FF0000FF"/>
      <color rgb="FF00FF00"/>
      <color rgb="FF9900FF"/>
      <color rgb="FFFF6600"/>
      <color rgb="FFFF0066"/>
      <color rgb="FF99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21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25</c:v>
                </c:pt>
                <c:pt idx="7">
                  <c:v>34</c:v>
                </c:pt>
                <c:pt idx="8">
                  <c:v>40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30</c:v>
                </c:pt>
                <c:pt idx="6">
                  <c:v>26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47</c:v>
                </c:pt>
                <c:pt idx="6">
                  <c:v>42</c:v>
                </c:pt>
                <c:pt idx="7">
                  <c:v>54</c:v>
                </c:pt>
                <c:pt idx="8">
                  <c:v>68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31</c:v>
                </c:pt>
                <c:pt idx="3">
                  <c:v>27</c:v>
                </c:pt>
                <c:pt idx="4">
                  <c:v>32</c:v>
                </c:pt>
                <c:pt idx="5">
                  <c:v>31</c:v>
                </c:pt>
                <c:pt idx="6">
                  <c:v>59</c:v>
                </c:pt>
                <c:pt idx="7">
                  <c:v>45</c:v>
                </c:pt>
                <c:pt idx="8">
                  <c:v>47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14</c:v>
                </c:pt>
                <c:pt idx="2">
                  <c:v>36</c:v>
                </c:pt>
                <c:pt idx="3">
                  <c:v>55</c:v>
                </c:pt>
                <c:pt idx="4">
                  <c:v>43</c:v>
                </c:pt>
                <c:pt idx="5">
                  <c:v>40</c:v>
                </c:pt>
                <c:pt idx="6">
                  <c:v>91</c:v>
                </c:pt>
                <c:pt idx="7">
                  <c:v>92</c:v>
                </c:pt>
                <c:pt idx="8">
                  <c:v>62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31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27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32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20</c:v>
                </c:pt>
                <c:pt idx="3">
                  <c:v>30</c:v>
                </c:pt>
                <c:pt idx="4">
                  <c:v>47</c:v>
                </c:pt>
                <c:pt idx="5">
                  <c:v>31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25</c:v>
                </c:pt>
                <c:pt idx="3">
                  <c:v>26</c:v>
                </c:pt>
                <c:pt idx="4">
                  <c:v>42</c:v>
                </c:pt>
                <c:pt idx="5">
                  <c:v>59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34</c:v>
                </c:pt>
                <c:pt idx="3">
                  <c:v>33</c:v>
                </c:pt>
                <c:pt idx="4">
                  <c:v>54</c:v>
                </c:pt>
                <c:pt idx="5">
                  <c:v>45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21</c:v>
                </c:pt>
                <c:pt idx="2">
                  <c:v>40</c:v>
                </c:pt>
                <c:pt idx="3">
                  <c:v>37</c:v>
                </c:pt>
                <c:pt idx="4">
                  <c:v>68</c:v>
                </c:pt>
                <c:pt idx="5">
                  <c:v>47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33</c:v>
                </c:pt>
                <c:pt idx="3">
                  <c:v>34</c:v>
                </c:pt>
                <c:pt idx="4">
                  <c:v>59</c:v>
                </c:pt>
                <c:pt idx="5">
                  <c:v>59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21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25</c:v>
                </c:pt>
                <c:pt idx="7">
                  <c:v>34</c:v>
                </c:pt>
                <c:pt idx="8">
                  <c:v>40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30</c:v>
                </c:pt>
                <c:pt idx="6">
                  <c:v>26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47</c:v>
                </c:pt>
                <c:pt idx="6">
                  <c:v>42</c:v>
                </c:pt>
                <c:pt idx="7">
                  <c:v>54</c:v>
                </c:pt>
                <c:pt idx="8">
                  <c:v>68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31</c:v>
                </c:pt>
                <c:pt idx="3">
                  <c:v>27</c:v>
                </c:pt>
                <c:pt idx="4">
                  <c:v>32</c:v>
                </c:pt>
                <c:pt idx="5">
                  <c:v>31</c:v>
                </c:pt>
                <c:pt idx="6">
                  <c:v>59</c:v>
                </c:pt>
                <c:pt idx="7">
                  <c:v>45</c:v>
                </c:pt>
                <c:pt idx="8">
                  <c:v>47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14</c:v>
                </c:pt>
                <c:pt idx="2">
                  <c:v>36</c:v>
                </c:pt>
                <c:pt idx="3">
                  <c:v>55</c:v>
                </c:pt>
                <c:pt idx="4">
                  <c:v>43</c:v>
                </c:pt>
                <c:pt idx="5">
                  <c:v>40</c:v>
                </c:pt>
                <c:pt idx="6">
                  <c:v>91</c:v>
                </c:pt>
                <c:pt idx="7">
                  <c:v>92</c:v>
                </c:pt>
                <c:pt idx="8">
                  <c:v>62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15240</xdr:colOff>
      <xdr:row>8</xdr:row>
      <xdr:rowOff>472440</xdr:rowOff>
    </xdr:from>
    <xdr:ext cx="4306051" cy="4114800"/>
    <xdr:pic>
      <xdr:nvPicPr>
        <xdr:cNvPr id="2" name="Picture 1">
          <a:extLst>
            <a:ext uri="{FF2B5EF4-FFF2-40B4-BE49-F238E27FC236}">
              <a16:creationId xmlns:a16="http://schemas.microsoft.com/office/drawing/2014/main" id="{CFD84D40-9569-4F81-9043-5977779F3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20280" y="3253740"/>
          <a:ext cx="4306051" cy="41148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228600</xdr:colOff>
      <xdr:row>0</xdr:row>
      <xdr:rowOff>0</xdr:rowOff>
    </xdr:from>
    <xdr:to>
      <xdr:col>25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BA29C3-0B89-48C6-A084-8EB608B4BCD0}"/>
            </a:ext>
          </a:extLst>
        </xdr:cNvPr>
        <xdr:cNvSpPr>
          <a:spLocks noChangeArrowheads="1"/>
        </xdr:cNvSpPr>
      </xdr:nvSpPr>
      <xdr:spPr bwMode="auto">
        <a:xfrm>
          <a:off x="240030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Normal="100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3" style="43" customWidth="1"/>
    <col min="8" max="8" width="14.09765625" style="43" bestFit="1" customWidth="1"/>
    <col min="9" max="9" width="5.3984375" style="43" bestFit="1" customWidth="1"/>
    <col min="10" max="10" width="24.19921875" style="43" bestFit="1" customWidth="1"/>
    <col min="11" max="11" width="3" style="43" customWidth="1"/>
    <col min="12" max="12" width="14.796875" style="43" customWidth="1"/>
    <col min="13" max="13" width="4.8984375" style="43" bestFit="1" customWidth="1"/>
    <col min="14" max="14" width="21.8984375" style="43" bestFit="1" customWidth="1"/>
    <col min="15" max="16384" width="8.796875" style="43"/>
  </cols>
  <sheetData>
    <row r="1" spans="1:14" s="38" customFormat="1" ht="31.8" thickBot="1" x14ac:dyDescent="0.35">
      <c r="A1" s="137" t="s">
        <v>0</v>
      </c>
      <c r="B1" s="137" t="s">
        <v>1</v>
      </c>
      <c r="C1" s="137" t="s">
        <v>2</v>
      </c>
      <c r="D1" s="138" t="s">
        <v>3</v>
      </c>
      <c r="E1" s="37" t="s">
        <v>4</v>
      </c>
      <c r="F1" s="137" t="s">
        <v>100</v>
      </c>
      <c r="H1" s="39" t="s">
        <v>99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103" t="s">
        <v>337</v>
      </c>
      <c r="B2" s="103">
        <v>3</v>
      </c>
      <c r="C2" s="44">
        <v>7</v>
      </c>
      <c r="D2" s="45">
        <v>20</v>
      </c>
      <c r="E2" s="44">
        <f t="shared" ref="E2:E8" si="0">SUM(C2:D2)</f>
        <v>27</v>
      </c>
      <c r="F2" s="44" t="s">
        <v>338</v>
      </c>
      <c r="H2" s="65" t="s">
        <v>0</v>
      </c>
      <c r="I2" s="66" t="s">
        <v>20</v>
      </c>
      <c r="J2" s="67" t="s">
        <v>63</v>
      </c>
      <c r="L2" s="113" t="s">
        <v>0</v>
      </c>
      <c r="M2" s="114" t="s">
        <v>20</v>
      </c>
      <c r="N2" s="115" t="s">
        <v>63</v>
      </c>
    </row>
    <row r="3" spans="1:14" x14ac:dyDescent="0.3">
      <c r="A3" s="64" t="s">
        <v>115</v>
      </c>
      <c r="B3" s="64">
        <v>1</v>
      </c>
      <c r="C3" s="44">
        <v>2</v>
      </c>
      <c r="D3" s="45">
        <v>19</v>
      </c>
      <c r="E3" s="44">
        <f t="shared" si="0"/>
        <v>21</v>
      </c>
      <c r="F3" s="44" t="s">
        <v>5</v>
      </c>
      <c r="H3" s="353" t="s">
        <v>108</v>
      </c>
      <c r="I3" s="57">
        <v>12</v>
      </c>
      <c r="J3" s="354" t="s">
        <v>110</v>
      </c>
      <c r="L3" s="116" t="s">
        <v>116</v>
      </c>
      <c r="M3" s="103">
        <v>12</v>
      </c>
      <c r="N3" s="117" t="s">
        <v>361</v>
      </c>
    </row>
    <row r="4" spans="1:14" ht="16.2" thickBot="1" x14ac:dyDescent="0.35">
      <c r="A4" s="57" t="s">
        <v>108</v>
      </c>
      <c r="B4" s="57">
        <v>1</v>
      </c>
      <c r="C4" s="44">
        <v>5</v>
      </c>
      <c r="D4" s="45">
        <v>15</v>
      </c>
      <c r="E4" s="44">
        <f t="shared" si="0"/>
        <v>20</v>
      </c>
      <c r="F4" s="44" t="s">
        <v>5</v>
      </c>
      <c r="H4" s="68" t="s">
        <v>113</v>
      </c>
      <c r="I4" s="64">
        <v>12</v>
      </c>
      <c r="J4" s="69" t="s">
        <v>118</v>
      </c>
      <c r="L4" s="142" t="s">
        <v>359</v>
      </c>
      <c r="M4" s="143">
        <v>14</v>
      </c>
      <c r="N4" s="144" t="s">
        <v>360</v>
      </c>
    </row>
    <row r="5" spans="1:14" x14ac:dyDescent="0.3">
      <c r="A5" s="64" t="s">
        <v>113</v>
      </c>
      <c r="B5" s="64">
        <v>1</v>
      </c>
      <c r="C5" s="44">
        <v>3</v>
      </c>
      <c r="D5" s="45">
        <v>11</v>
      </c>
      <c r="E5" s="44">
        <f t="shared" si="0"/>
        <v>14</v>
      </c>
      <c r="F5" s="44" t="s">
        <v>114</v>
      </c>
      <c r="H5" s="68" t="s">
        <v>115</v>
      </c>
      <c r="I5" s="64">
        <v>12</v>
      </c>
      <c r="J5" s="69" t="s">
        <v>119</v>
      </c>
      <c r="L5" s="118" t="s">
        <v>21</v>
      </c>
      <c r="M5" s="136">
        <f>SUM(M3:M4)</f>
        <v>26</v>
      </c>
      <c r="N5" s="147" t="str">
        <f>CONCATENATE("Average Level: ",ROUND(AVERAGE(M3:M4),0))</f>
        <v>Average Level: 13</v>
      </c>
    </row>
    <row r="6" spans="1:14" ht="16.2" thickBot="1" x14ac:dyDescent="0.35">
      <c r="A6" s="57" t="s">
        <v>111</v>
      </c>
      <c r="B6" s="57">
        <v>1</v>
      </c>
      <c r="C6" s="44">
        <v>5</v>
      </c>
      <c r="D6" s="45">
        <v>6</v>
      </c>
      <c r="E6" s="44">
        <f t="shared" si="0"/>
        <v>11</v>
      </c>
      <c r="F6" s="44" t="s">
        <v>5</v>
      </c>
      <c r="H6" s="163" t="s">
        <v>111</v>
      </c>
      <c r="I6" s="164">
        <v>12</v>
      </c>
      <c r="J6" s="165" t="s">
        <v>112</v>
      </c>
      <c r="L6" s="118" t="s">
        <v>92</v>
      </c>
      <c r="M6" s="119">
        <f>AVERAGE(M3:M4)</f>
        <v>13</v>
      </c>
      <c r="N6" s="117"/>
    </row>
    <row r="7" spans="1:14" ht="16.2" thickBot="1" x14ac:dyDescent="0.35">
      <c r="A7" s="103" t="s">
        <v>358</v>
      </c>
      <c r="B7" s="103">
        <v>3</v>
      </c>
      <c r="C7" s="44">
        <v>7</v>
      </c>
      <c r="D7" s="45">
        <v>3</v>
      </c>
      <c r="E7" s="44">
        <f t="shared" si="0"/>
        <v>10</v>
      </c>
      <c r="F7" s="44" t="s">
        <v>338</v>
      </c>
      <c r="H7" s="70" t="s">
        <v>21</v>
      </c>
      <c r="I7" s="188">
        <f>SUM(I3:I6)</f>
        <v>48</v>
      </c>
      <c r="J7" s="146" t="str">
        <f>CONCATENATE("Average Level: ",ROUND(AVERAGE(I3:I6),0))</f>
        <v>Average Level: 12</v>
      </c>
      <c r="L7" s="120" t="s">
        <v>22</v>
      </c>
      <c r="M7" s="191">
        <f>COUNT(M3:M4)</f>
        <v>2</v>
      </c>
      <c r="N7" s="121"/>
    </row>
    <row r="8" spans="1:14" ht="16.2" thickTop="1" x14ac:dyDescent="0.3">
      <c r="A8" s="345" t="s">
        <v>116</v>
      </c>
      <c r="B8" s="345">
        <v>2</v>
      </c>
      <c r="C8" s="44">
        <v>2</v>
      </c>
      <c r="D8" s="45">
        <v>1</v>
      </c>
      <c r="E8" s="44">
        <f t="shared" si="0"/>
        <v>3</v>
      </c>
      <c r="F8" s="44" t="s">
        <v>5</v>
      </c>
      <c r="H8" s="70" t="s">
        <v>22</v>
      </c>
      <c r="I8" s="188">
        <f>COUNT(I3:I6)</f>
        <v>4</v>
      </c>
      <c r="J8" s="71"/>
    </row>
    <row r="9" spans="1:14" x14ac:dyDescent="0.3">
      <c r="H9" s="70" t="s">
        <v>24</v>
      </c>
      <c r="I9" s="189">
        <f>I7/4</f>
        <v>12</v>
      </c>
      <c r="J9" s="69" t="s">
        <v>25</v>
      </c>
      <c r="N9" s="75"/>
    </row>
    <row r="10" spans="1:14" ht="16.2" thickBot="1" x14ac:dyDescent="0.35">
      <c r="D10" s="45">
        <f ca="1">RANDBETWEEN(1,20)</f>
        <v>15</v>
      </c>
      <c r="H10" s="72" t="s">
        <v>26</v>
      </c>
      <c r="I10" s="73">
        <f>I9*2</f>
        <v>24</v>
      </c>
      <c r="J10" s="74" t="s">
        <v>27</v>
      </c>
      <c r="L10" s="76" t="s">
        <v>28</v>
      </c>
      <c r="M10" s="77">
        <f>I9</f>
        <v>12</v>
      </c>
      <c r="N10" s="75"/>
    </row>
    <row r="11" spans="1:14" ht="16.2" thickTop="1" x14ac:dyDescent="0.3">
      <c r="L11" s="76" t="s">
        <v>29</v>
      </c>
      <c r="M11" s="77">
        <f>I10</f>
        <v>24</v>
      </c>
      <c r="N11" s="75"/>
    </row>
    <row r="12" spans="1:14" x14ac:dyDescent="0.3">
      <c r="L12" s="76" t="s">
        <v>30</v>
      </c>
      <c r="M12" s="77">
        <f>I7</f>
        <v>48</v>
      </c>
      <c r="N12" s="75"/>
    </row>
    <row r="14" spans="1:14" x14ac:dyDescent="0.3">
      <c r="L14" s="78" t="s">
        <v>31</v>
      </c>
      <c r="M14" s="77">
        <f>M5</f>
        <v>26</v>
      </c>
    </row>
    <row r="20" spans="11:11" x14ac:dyDescent="0.3">
      <c r="K20" s="43" t="s">
        <v>109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4">
    <cfRule type="cellIs" dxfId="20" priority="1434" operator="greaterThan">
      <formula>$M$12</formula>
    </cfRule>
    <cfRule type="cellIs" dxfId="19" priority="1435" operator="between">
      <formula>$M$11</formula>
      <formula>$M$12</formula>
    </cfRule>
    <cfRule type="cellIs" dxfId="18" priority="1436" operator="between">
      <formula>$M$10</formula>
      <formula>$M$11</formula>
    </cfRule>
    <cfRule type="cellIs" dxfId="17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4309-4159-45FF-B554-8434F17CDA66}">
  <dimension ref="A1:AR17"/>
  <sheetViews>
    <sheetView showGridLines="0" zoomScaleNormal="100" workbookViewId="0">
      <pane xSplit="6" ySplit="1" topLeftCell="O2" activePane="bottomRight" state="frozen"/>
      <selection activeCell="G2" sqref="G2"/>
      <selection pane="topRight" activeCell="G2" sqref="G2"/>
      <selection pane="bottomLeft" activeCell="G2" sqref="G2"/>
      <selection pane="bottomRight" activeCell="AJ5" sqref="AJ5"/>
    </sheetView>
  </sheetViews>
  <sheetFormatPr defaultColWidth="8" defaultRowHeight="16.2" x14ac:dyDescent="0.3"/>
  <cols>
    <col min="1" max="1" width="13.296875" style="207" bestFit="1" customWidth="1"/>
    <col min="2" max="2" width="13.796875" style="206" bestFit="1" customWidth="1"/>
    <col min="3" max="3" width="13.796875" style="206" customWidth="1"/>
    <col min="4" max="4" width="9.3984375" style="205" customWidth="1"/>
    <col min="5" max="5" width="30.3984375" style="204" bestFit="1" customWidth="1"/>
    <col min="6" max="6" width="4.8984375" style="204" bestFit="1" customWidth="1"/>
    <col min="7" max="7" width="4" style="204" bestFit="1" customWidth="1"/>
    <col min="8" max="8" width="6.19921875" style="204" bestFit="1" customWidth="1"/>
    <col min="9" max="9" width="13.5" style="204" bestFit="1" customWidth="1"/>
    <col min="10" max="10" width="12.59765625" style="205" customWidth="1"/>
    <col min="11" max="11" width="3.69921875" style="204" bestFit="1" customWidth="1"/>
    <col min="12" max="12" width="3.19921875" style="204" customWidth="1"/>
    <col min="13" max="13" width="4.59765625" style="204" customWidth="1"/>
    <col min="14" max="14" width="3.19921875" style="204" customWidth="1"/>
    <col min="15" max="15" width="4.8984375" style="204" bestFit="1" customWidth="1"/>
    <col min="16" max="16" width="3.19921875" style="204" customWidth="1"/>
    <col min="17" max="17" width="3.69921875" style="204" bestFit="1" customWidth="1"/>
    <col min="18" max="18" width="3.19921875" style="204" customWidth="1"/>
    <col min="19" max="19" width="4.59765625" style="204" customWidth="1"/>
    <col min="20" max="20" width="3.19921875" style="204" customWidth="1"/>
    <col min="21" max="21" width="4.796875" style="204" customWidth="1"/>
    <col min="22" max="22" width="3.19921875" style="204" customWidth="1"/>
    <col min="23" max="23" width="4.69921875" style="204" bestFit="1" customWidth="1"/>
    <col min="24" max="24" width="4.296875" style="204" bestFit="1" customWidth="1"/>
    <col min="25" max="25" width="5" style="204" bestFit="1" customWidth="1"/>
    <col min="26" max="26" width="3.296875" style="204" customWidth="1"/>
    <col min="27" max="27" width="4.19921875" style="204" bestFit="1" customWidth="1"/>
    <col min="28" max="28" width="3.296875" style="204" customWidth="1"/>
    <col min="29" max="29" width="4.296875" style="204" bestFit="1" customWidth="1"/>
    <col min="30" max="30" width="3.296875" style="204" customWidth="1"/>
    <col min="31" max="31" width="5.3984375" style="204" bestFit="1" customWidth="1"/>
    <col min="32" max="32" width="5.5" style="204" bestFit="1" customWidth="1"/>
    <col min="33" max="33" width="3.69921875" style="204" bestFit="1" customWidth="1"/>
    <col min="34" max="34" width="6.796875" style="204" bestFit="1" customWidth="1"/>
    <col min="35" max="35" width="4" style="204" bestFit="1" customWidth="1"/>
    <col min="36" max="36" width="11.59765625" style="204" bestFit="1" customWidth="1"/>
    <col min="37" max="37" width="30.796875" style="204" customWidth="1"/>
    <col min="38" max="38" width="60.69921875" style="205" customWidth="1"/>
    <col min="39" max="39" width="38.09765625" style="204" customWidth="1"/>
    <col min="40" max="40" width="11.8984375" style="205" customWidth="1"/>
    <col min="41" max="41" width="10.69921875" style="205" customWidth="1"/>
    <col min="42" max="42" width="12" style="204" bestFit="1" customWidth="1"/>
    <col min="43" max="43" width="17.19921875" style="204" bestFit="1" customWidth="1"/>
    <col min="44" max="44" width="14.296875" style="204" bestFit="1" customWidth="1"/>
    <col min="45" max="16384" width="8" style="204"/>
  </cols>
  <sheetData>
    <row r="1" spans="1:44" ht="17.399999999999999" thickBot="1" x14ac:dyDescent="0.35">
      <c r="A1" s="256" t="s">
        <v>254</v>
      </c>
      <c r="B1" s="255" t="s">
        <v>253</v>
      </c>
      <c r="C1" s="239" t="s">
        <v>252</v>
      </c>
      <c r="D1" s="239" t="s">
        <v>251</v>
      </c>
      <c r="E1" s="238" t="s">
        <v>250</v>
      </c>
      <c r="F1" s="238" t="s">
        <v>20</v>
      </c>
      <c r="G1" s="238" t="s">
        <v>249</v>
      </c>
      <c r="H1" s="238" t="s">
        <v>248</v>
      </c>
      <c r="I1" s="238" t="s">
        <v>247</v>
      </c>
      <c r="J1" s="254" t="s">
        <v>246</v>
      </c>
      <c r="K1" s="243" t="s">
        <v>245</v>
      </c>
      <c r="L1" s="250" t="s">
        <v>244</v>
      </c>
      <c r="M1" s="248" t="s">
        <v>243</v>
      </c>
      <c r="N1" s="250" t="s">
        <v>242</v>
      </c>
      <c r="O1" s="241" t="s">
        <v>241</v>
      </c>
      <c r="P1" s="250" t="s">
        <v>240</v>
      </c>
      <c r="Q1" s="253" t="s">
        <v>239</v>
      </c>
      <c r="R1" s="250" t="s">
        <v>238</v>
      </c>
      <c r="S1" s="252" t="s">
        <v>237</v>
      </c>
      <c r="T1" s="250" t="s">
        <v>236</v>
      </c>
      <c r="U1" s="251" t="s">
        <v>235</v>
      </c>
      <c r="V1" s="250" t="s">
        <v>234</v>
      </c>
      <c r="W1" s="249" t="s">
        <v>233</v>
      </c>
      <c r="X1" s="248" t="s">
        <v>232</v>
      </c>
      <c r="Y1" s="247" t="s">
        <v>231</v>
      </c>
      <c r="Z1" s="244" t="s">
        <v>38</v>
      </c>
      <c r="AA1" s="246" t="s">
        <v>230</v>
      </c>
      <c r="AB1" s="244" t="s">
        <v>39</v>
      </c>
      <c r="AC1" s="245" t="s">
        <v>229</v>
      </c>
      <c r="AD1" s="244" t="s">
        <v>40</v>
      </c>
      <c r="AE1" s="243" t="s">
        <v>34</v>
      </c>
      <c r="AF1" s="242" t="s">
        <v>42</v>
      </c>
      <c r="AG1" s="242" t="s">
        <v>228</v>
      </c>
      <c r="AH1" s="242" t="s">
        <v>43</v>
      </c>
      <c r="AI1" s="241" t="s">
        <v>227</v>
      </c>
      <c r="AJ1" s="241" t="s">
        <v>226</v>
      </c>
      <c r="AK1" s="240" t="s">
        <v>225</v>
      </c>
      <c r="AL1" s="239" t="s">
        <v>224</v>
      </c>
      <c r="AM1" s="238" t="s">
        <v>223</v>
      </c>
      <c r="AN1" s="239" t="s">
        <v>222</v>
      </c>
      <c r="AO1" s="239" t="s">
        <v>221</v>
      </c>
      <c r="AP1" s="238" t="s">
        <v>220</v>
      </c>
      <c r="AQ1" s="237" t="s">
        <v>219</v>
      </c>
      <c r="AR1" s="237" t="s">
        <v>218</v>
      </c>
    </row>
    <row r="2" spans="1:44" ht="39.6" x14ac:dyDescent="0.3">
      <c r="A2" s="231" t="s">
        <v>217</v>
      </c>
      <c r="B2" s="230" t="s">
        <v>216</v>
      </c>
      <c r="C2" s="235" t="s">
        <v>113</v>
      </c>
      <c r="D2" s="210" t="s">
        <v>143</v>
      </c>
      <c r="E2" s="225" t="s">
        <v>215</v>
      </c>
      <c r="F2" s="228">
        <v>9</v>
      </c>
      <c r="G2" s="225" t="s">
        <v>141</v>
      </c>
      <c r="H2" s="225">
        <v>62</v>
      </c>
      <c r="I2" s="225" t="s">
        <v>211</v>
      </c>
      <c r="J2" s="227" t="s">
        <v>214</v>
      </c>
      <c r="K2" s="226">
        <v>14</v>
      </c>
      <c r="L2" s="225" t="str">
        <f t="shared" ref="L2:L17" si="0">IF(K2&gt;9.9,CONCATENATE("+",ROUNDDOWN((K2-10) / 2,0)),ROUNDUP((K2-10) / 2,0))</f>
        <v>+2</v>
      </c>
      <c r="M2" s="342">
        <f>12+4</f>
        <v>16</v>
      </c>
      <c r="N2" s="225" t="str">
        <f t="shared" ref="N2:N17" si="1">IF(M2&gt;9.9,CONCATENATE("+",ROUNDDOWN((M2-10) / 2,0)),ROUNDUP((M2-10) / 2,0))</f>
        <v>+3</v>
      </c>
      <c r="O2" s="225">
        <v>13</v>
      </c>
      <c r="P2" s="225" t="str">
        <f t="shared" ref="P2:P17" si="2">IF(O2&gt;9.9,CONCATENATE("+",ROUNDDOWN((O2-10) / 2,0)),ROUNDUP((O2-10) / 2,0))</f>
        <v>+1</v>
      </c>
      <c r="Q2" s="225">
        <v>16</v>
      </c>
      <c r="R2" s="225" t="str">
        <f t="shared" ref="R2:R17" si="3">IF(Q2&gt;9.9,CONCATENATE("+",ROUNDDOWN((Q2-10) / 2,0)),ROUNDUP((Q2-10) / 2,0))</f>
        <v>+3</v>
      </c>
      <c r="S2" s="225">
        <v>10</v>
      </c>
      <c r="T2" s="225" t="str">
        <f t="shared" ref="T2:T17" si="4">IF(S2&gt;9.9,CONCATENATE("+",ROUNDDOWN((S2-10) / 2,0)),ROUNDUP((S2-10) / 2,0))</f>
        <v>+0</v>
      </c>
      <c r="U2" s="209">
        <v>14</v>
      </c>
      <c r="V2" s="209" t="str">
        <f t="shared" ref="V2:V17" si="5">IF(U2&gt;9.9,CONCATENATE("+",ROUNDDOWN((U2-10) / 2,0)),ROUNDUP((U2-10) / 2,0))</f>
        <v>+2</v>
      </c>
      <c r="W2" s="224">
        <f t="shared" ref="W2:W17" si="6">AVERAGE(K2,M2,O2,Q2,S2,U2)</f>
        <v>13.833333333333334</v>
      </c>
      <c r="X2" s="223" t="str">
        <f t="shared" ref="X2:X17" si="7">IF(M2&gt;9.9,CONCATENATE("+",ROUNDDOWN((M2-10) / 2,0)),ROUNDUP((M2-10) / 2,0))</f>
        <v>+3</v>
      </c>
      <c r="Y2" s="222">
        <v>6</v>
      </c>
      <c r="Z2" s="221">
        <f t="shared" ref="Z2:Z17" si="8">IF(O2&gt;9.9,(ROUNDDOWN((O2-10) / 2,0)),ROUNDUP((O2-10) / 2,0))+Y2</f>
        <v>7</v>
      </c>
      <c r="AA2" s="220">
        <v>3</v>
      </c>
      <c r="AB2" s="219">
        <f t="shared" ref="AB2:AB17" si="9">AA2+X2</f>
        <v>6</v>
      </c>
      <c r="AC2" s="220">
        <v>6</v>
      </c>
      <c r="AD2" s="217">
        <f t="shared" ref="AD2:AD17" si="10">IF(S2&gt;9.9,(ROUNDDOWN((S2-10) / 2,0)),ROUNDUP((S2-10) / 2,0))+AC2</f>
        <v>6</v>
      </c>
      <c r="AE2" s="216">
        <v>9</v>
      </c>
      <c r="AF2" s="209">
        <f t="shared" ref="AF2:AF17" si="11">10+N2</f>
        <v>13</v>
      </c>
      <c r="AG2" s="209">
        <f t="shared" ref="AG2:AG17" si="12">10+AP2</f>
        <v>14</v>
      </c>
      <c r="AH2" s="209">
        <f t="shared" ref="AH2:AH17" si="13">AF2+AP2</f>
        <v>17</v>
      </c>
      <c r="AI2" s="216">
        <f t="shared" ref="AI2:AI7" si="14">(F2*6*0.75)+(P2+F2)</f>
        <v>50.5</v>
      </c>
      <c r="AJ2" s="215">
        <f>(2+R2)*F2+3</f>
        <v>48</v>
      </c>
      <c r="AK2" s="214"/>
      <c r="AL2" s="213"/>
      <c r="AM2" s="232" t="s">
        <v>326</v>
      </c>
      <c r="AN2" s="211" t="s">
        <v>328</v>
      </c>
      <c r="AO2" s="210"/>
      <c r="AP2" s="209">
        <f t="shared" ref="AP2:AP9" si="15">2+2</f>
        <v>4</v>
      </c>
      <c r="AQ2" s="227"/>
      <c r="AR2" s="208"/>
    </row>
    <row r="3" spans="1:44" ht="16.8" x14ac:dyDescent="0.3">
      <c r="A3" s="231" t="s">
        <v>336</v>
      </c>
      <c r="B3" s="230" t="s">
        <v>213</v>
      </c>
      <c r="C3" s="235" t="s">
        <v>113</v>
      </c>
      <c r="D3" s="210" t="s">
        <v>143</v>
      </c>
      <c r="E3" s="225" t="s">
        <v>212</v>
      </c>
      <c r="F3" s="228">
        <v>9</v>
      </c>
      <c r="G3" s="225" t="s">
        <v>169</v>
      </c>
      <c r="H3" s="225">
        <v>53</v>
      </c>
      <c r="I3" s="225" t="s">
        <v>211</v>
      </c>
      <c r="J3" s="227" t="s">
        <v>140</v>
      </c>
      <c r="K3" s="226">
        <v>11</v>
      </c>
      <c r="L3" s="225" t="str">
        <f t="shared" si="0"/>
        <v>+0</v>
      </c>
      <c r="M3" s="225">
        <v>14</v>
      </c>
      <c r="N3" s="225" t="str">
        <f t="shared" si="1"/>
        <v>+2</v>
      </c>
      <c r="O3" s="225">
        <v>11</v>
      </c>
      <c r="P3" s="225" t="str">
        <f t="shared" si="2"/>
        <v>+0</v>
      </c>
      <c r="Q3" s="225">
        <v>19</v>
      </c>
      <c r="R3" s="225" t="str">
        <f t="shared" si="3"/>
        <v>+4</v>
      </c>
      <c r="S3" s="225">
        <v>10</v>
      </c>
      <c r="T3" s="225" t="str">
        <f t="shared" si="4"/>
        <v>+0</v>
      </c>
      <c r="U3" s="209">
        <v>13</v>
      </c>
      <c r="V3" s="209" t="str">
        <f t="shared" si="5"/>
        <v>+1</v>
      </c>
      <c r="W3" s="224">
        <f t="shared" si="6"/>
        <v>13</v>
      </c>
      <c r="X3" s="223" t="str">
        <f t="shared" si="7"/>
        <v>+2</v>
      </c>
      <c r="Y3" s="222">
        <v>3</v>
      </c>
      <c r="Z3" s="221">
        <f t="shared" si="8"/>
        <v>3</v>
      </c>
      <c r="AA3" s="220">
        <v>3</v>
      </c>
      <c r="AB3" s="219">
        <f t="shared" si="9"/>
        <v>5</v>
      </c>
      <c r="AC3" s="220">
        <v>6</v>
      </c>
      <c r="AD3" s="217">
        <f t="shared" si="10"/>
        <v>6</v>
      </c>
      <c r="AE3" s="216">
        <v>9</v>
      </c>
      <c r="AF3" s="209">
        <f t="shared" si="11"/>
        <v>12</v>
      </c>
      <c r="AG3" s="209">
        <f t="shared" si="12"/>
        <v>14</v>
      </c>
      <c r="AH3" s="209">
        <f t="shared" si="13"/>
        <v>16</v>
      </c>
      <c r="AI3" s="216">
        <f t="shared" si="14"/>
        <v>49.5</v>
      </c>
      <c r="AJ3" s="215">
        <f>(2+R3)*F3+3</f>
        <v>57</v>
      </c>
      <c r="AK3" s="214"/>
      <c r="AL3" s="213"/>
      <c r="AM3" s="212"/>
      <c r="AN3" s="211"/>
      <c r="AO3" s="210"/>
      <c r="AP3" s="209">
        <f t="shared" si="15"/>
        <v>4</v>
      </c>
      <c r="AQ3" s="227"/>
      <c r="AR3" s="208"/>
    </row>
    <row r="4" spans="1:44" ht="31.2" x14ac:dyDescent="0.3">
      <c r="A4" s="231" t="s">
        <v>210</v>
      </c>
      <c r="B4" s="236" t="s">
        <v>209</v>
      </c>
      <c r="C4" s="235" t="s">
        <v>113</v>
      </c>
      <c r="D4" s="210" t="s">
        <v>154</v>
      </c>
      <c r="E4" s="225" t="s">
        <v>208</v>
      </c>
      <c r="F4" s="228">
        <v>9</v>
      </c>
      <c r="G4" s="225" t="s">
        <v>141</v>
      </c>
      <c r="H4" s="225">
        <v>30</v>
      </c>
      <c r="I4" s="225" t="s">
        <v>162</v>
      </c>
      <c r="J4" s="227" t="s">
        <v>207</v>
      </c>
      <c r="K4" s="226">
        <v>9</v>
      </c>
      <c r="L4" s="225">
        <f t="shared" si="0"/>
        <v>-1</v>
      </c>
      <c r="M4" s="225">
        <v>15</v>
      </c>
      <c r="N4" s="225" t="str">
        <f t="shared" si="1"/>
        <v>+2</v>
      </c>
      <c r="O4" s="225">
        <v>9</v>
      </c>
      <c r="P4" s="225">
        <f t="shared" si="2"/>
        <v>-1</v>
      </c>
      <c r="Q4" s="225">
        <v>19</v>
      </c>
      <c r="R4" s="225" t="str">
        <f t="shared" si="3"/>
        <v>+4</v>
      </c>
      <c r="S4" s="225">
        <v>13</v>
      </c>
      <c r="T4" s="225" t="str">
        <f t="shared" si="4"/>
        <v>+1</v>
      </c>
      <c r="U4" s="342">
        <f>11+4</f>
        <v>15</v>
      </c>
      <c r="V4" s="209" t="str">
        <f t="shared" si="5"/>
        <v>+2</v>
      </c>
      <c r="W4" s="224">
        <f t="shared" si="6"/>
        <v>13.333333333333334</v>
      </c>
      <c r="X4" s="223" t="str">
        <f t="shared" si="7"/>
        <v>+2</v>
      </c>
      <c r="Y4" s="222">
        <v>3</v>
      </c>
      <c r="Z4" s="221">
        <f t="shared" si="8"/>
        <v>2</v>
      </c>
      <c r="AA4" s="220">
        <v>3</v>
      </c>
      <c r="AB4" s="219">
        <f t="shared" si="9"/>
        <v>5</v>
      </c>
      <c r="AC4" s="220">
        <v>3</v>
      </c>
      <c r="AD4" s="217">
        <f t="shared" si="10"/>
        <v>4</v>
      </c>
      <c r="AE4" s="216">
        <v>6</v>
      </c>
      <c r="AF4" s="209">
        <f t="shared" si="11"/>
        <v>12</v>
      </c>
      <c r="AG4" s="209">
        <f t="shared" si="12"/>
        <v>14</v>
      </c>
      <c r="AH4" s="209">
        <f t="shared" si="13"/>
        <v>16</v>
      </c>
      <c r="AI4" s="216">
        <f t="shared" si="14"/>
        <v>48.5</v>
      </c>
      <c r="AJ4" s="215">
        <f>(6+R4)*F4+3</f>
        <v>93</v>
      </c>
      <c r="AK4" s="214"/>
      <c r="AL4" s="213"/>
      <c r="AM4" s="212"/>
      <c r="AN4" s="211"/>
      <c r="AO4" s="210"/>
      <c r="AP4" s="209">
        <f t="shared" si="15"/>
        <v>4</v>
      </c>
      <c r="AQ4" s="343" t="s">
        <v>327</v>
      </c>
      <c r="AR4" s="208"/>
    </row>
    <row r="5" spans="1:44" ht="16.8" x14ac:dyDescent="0.3">
      <c r="A5" s="231" t="s">
        <v>206</v>
      </c>
      <c r="B5" s="230" t="s">
        <v>205</v>
      </c>
      <c r="C5" s="235" t="s">
        <v>113</v>
      </c>
      <c r="D5" s="210" t="s">
        <v>192</v>
      </c>
      <c r="E5" s="225" t="s">
        <v>204</v>
      </c>
      <c r="F5" s="228">
        <v>9</v>
      </c>
      <c r="G5" s="225" t="s">
        <v>169</v>
      </c>
      <c r="H5" s="225">
        <v>42</v>
      </c>
      <c r="I5" s="225" t="s">
        <v>162</v>
      </c>
      <c r="J5" s="227" t="s">
        <v>203</v>
      </c>
      <c r="K5" s="226">
        <v>10</v>
      </c>
      <c r="L5" s="225" t="str">
        <f t="shared" si="0"/>
        <v>+0</v>
      </c>
      <c r="M5" s="225">
        <v>14</v>
      </c>
      <c r="N5" s="225" t="str">
        <f t="shared" si="1"/>
        <v>+2</v>
      </c>
      <c r="O5" s="225">
        <v>11</v>
      </c>
      <c r="P5" s="225" t="str">
        <f t="shared" si="2"/>
        <v>+0</v>
      </c>
      <c r="Q5" s="225">
        <v>12</v>
      </c>
      <c r="R5" s="225" t="str">
        <f t="shared" si="3"/>
        <v>+1</v>
      </c>
      <c r="S5" s="225">
        <v>10</v>
      </c>
      <c r="T5" s="225" t="str">
        <f t="shared" si="4"/>
        <v>+0</v>
      </c>
      <c r="U5" s="209">
        <v>19</v>
      </c>
      <c r="V5" s="209" t="str">
        <f t="shared" si="5"/>
        <v>+4</v>
      </c>
      <c r="W5" s="224">
        <f t="shared" si="6"/>
        <v>12.666666666666666</v>
      </c>
      <c r="X5" s="223" t="str">
        <f t="shared" si="7"/>
        <v>+2</v>
      </c>
      <c r="Y5" s="222">
        <v>3</v>
      </c>
      <c r="Z5" s="221">
        <f t="shared" si="8"/>
        <v>3</v>
      </c>
      <c r="AA5" s="220">
        <v>3</v>
      </c>
      <c r="AB5" s="219">
        <f t="shared" si="9"/>
        <v>5</v>
      </c>
      <c r="AC5" s="218">
        <v>6</v>
      </c>
      <c r="AD5" s="217">
        <f t="shared" si="10"/>
        <v>6</v>
      </c>
      <c r="AE5" s="216">
        <v>4</v>
      </c>
      <c r="AF5" s="209">
        <f t="shared" si="11"/>
        <v>12</v>
      </c>
      <c r="AG5" s="209">
        <f t="shared" si="12"/>
        <v>14</v>
      </c>
      <c r="AH5" s="209">
        <f t="shared" si="13"/>
        <v>16</v>
      </c>
      <c r="AI5" s="216">
        <f t="shared" si="14"/>
        <v>49.5</v>
      </c>
      <c r="AJ5" s="215">
        <f>(2+R5)*F5+3</f>
        <v>30</v>
      </c>
      <c r="AK5" s="214"/>
      <c r="AL5" s="213"/>
      <c r="AM5" s="212"/>
      <c r="AN5" s="211"/>
      <c r="AO5" s="210"/>
      <c r="AP5" s="209">
        <f t="shared" si="15"/>
        <v>4</v>
      </c>
      <c r="AQ5" s="227"/>
      <c r="AR5" s="208"/>
    </row>
    <row r="6" spans="1:44" ht="80.400000000000006" x14ac:dyDescent="0.3">
      <c r="A6" s="231" t="s">
        <v>202</v>
      </c>
      <c r="B6" s="230" t="s">
        <v>353</v>
      </c>
      <c r="C6" s="234" t="s">
        <v>115</v>
      </c>
      <c r="D6" s="210" t="s">
        <v>350</v>
      </c>
      <c r="E6" s="225" t="s">
        <v>201</v>
      </c>
      <c r="F6" s="228">
        <v>9</v>
      </c>
      <c r="G6" s="225" t="s">
        <v>141</v>
      </c>
      <c r="H6" s="225">
        <v>33</v>
      </c>
      <c r="I6" s="225" t="s">
        <v>190</v>
      </c>
      <c r="J6" s="227" t="s">
        <v>200</v>
      </c>
      <c r="K6" s="226">
        <v>12</v>
      </c>
      <c r="L6" s="225" t="str">
        <f t="shared" si="0"/>
        <v>+1</v>
      </c>
      <c r="M6" s="225">
        <v>12</v>
      </c>
      <c r="N6" s="225" t="str">
        <f t="shared" si="1"/>
        <v>+1</v>
      </c>
      <c r="O6" s="225">
        <v>13</v>
      </c>
      <c r="P6" s="225" t="str">
        <f t="shared" si="2"/>
        <v>+1</v>
      </c>
      <c r="Q6" s="225">
        <v>12</v>
      </c>
      <c r="R6" s="225" t="str">
        <f t="shared" si="3"/>
        <v>+1</v>
      </c>
      <c r="S6" s="225">
        <v>12</v>
      </c>
      <c r="T6" s="225" t="str">
        <f t="shared" si="4"/>
        <v>+1</v>
      </c>
      <c r="U6" s="209">
        <v>17</v>
      </c>
      <c r="V6" s="209" t="str">
        <f t="shared" si="5"/>
        <v>+3</v>
      </c>
      <c r="W6" s="224">
        <f t="shared" si="6"/>
        <v>13</v>
      </c>
      <c r="X6" s="223" t="str">
        <f t="shared" si="7"/>
        <v>+1</v>
      </c>
      <c r="Y6" s="222">
        <v>6</v>
      </c>
      <c r="Z6" s="221">
        <f t="shared" si="8"/>
        <v>7</v>
      </c>
      <c r="AA6" s="220">
        <v>6</v>
      </c>
      <c r="AB6" s="219">
        <f t="shared" si="9"/>
        <v>7</v>
      </c>
      <c r="AC6" s="220">
        <v>6</v>
      </c>
      <c r="AD6" s="217">
        <f t="shared" si="10"/>
        <v>7</v>
      </c>
      <c r="AE6" s="216">
        <v>6</v>
      </c>
      <c r="AF6" s="209">
        <f t="shared" si="11"/>
        <v>11</v>
      </c>
      <c r="AG6" s="209">
        <f t="shared" si="12"/>
        <v>14</v>
      </c>
      <c r="AH6" s="209">
        <f t="shared" si="13"/>
        <v>15</v>
      </c>
      <c r="AI6" s="216">
        <f t="shared" si="14"/>
        <v>50.5</v>
      </c>
      <c r="AJ6" s="215">
        <f>(4+R6)*F6+3</f>
        <v>48</v>
      </c>
      <c r="AK6" s="214"/>
      <c r="AL6" s="213" t="s">
        <v>376</v>
      </c>
      <c r="AM6" s="324" t="s">
        <v>309</v>
      </c>
      <c r="AN6" s="211" t="s">
        <v>339</v>
      </c>
      <c r="AO6" s="210"/>
      <c r="AP6" s="209">
        <f t="shared" si="15"/>
        <v>4</v>
      </c>
      <c r="AQ6" s="227"/>
      <c r="AR6" s="208"/>
    </row>
    <row r="7" spans="1:44" ht="31.2" x14ac:dyDescent="0.3">
      <c r="A7" s="231" t="s">
        <v>342</v>
      </c>
      <c r="B7" s="230" t="s">
        <v>354</v>
      </c>
      <c r="C7" s="234" t="s">
        <v>115</v>
      </c>
      <c r="D7" s="210" t="s">
        <v>351</v>
      </c>
      <c r="E7" s="225" t="s">
        <v>199</v>
      </c>
      <c r="F7" s="228">
        <v>9</v>
      </c>
      <c r="G7" s="225" t="s">
        <v>169</v>
      </c>
      <c r="H7" s="225">
        <v>40</v>
      </c>
      <c r="I7" s="225" t="s">
        <v>190</v>
      </c>
      <c r="J7" s="227" t="s">
        <v>198</v>
      </c>
      <c r="K7" s="350">
        <f>16+2</f>
        <v>18</v>
      </c>
      <c r="L7" s="225" t="str">
        <f t="shared" si="0"/>
        <v>+4</v>
      </c>
      <c r="M7" s="351">
        <f>12-2</f>
        <v>10</v>
      </c>
      <c r="N7" s="225" t="str">
        <f t="shared" si="1"/>
        <v>+0</v>
      </c>
      <c r="O7" s="225">
        <v>14</v>
      </c>
      <c r="P7" s="225" t="str">
        <f t="shared" si="2"/>
        <v>+2</v>
      </c>
      <c r="Q7" s="225">
        <v>12</v>
      </c>
      <c r="R7" s="225" t="str">
        <f t="shared" si="3"/>
        <v>+1</v>
      </c>
      <c r="S7" s="342">
        <f>12+4</f>
        <v>16</v>
      </c>
      <c r="T7" s="225" t="str">
        <f t="shared" si="4"/>
        <v>+3</v>
      </c>
      <c r="U7" s="209">
        <v>13</v>
      </c>
      <c r="V7" s="209" t="str">
        <f t="shared" si="5"/>
        <v>+1</v>
      </c>
      <c r="W7" s="224">
        <f t="shared" si="6"/>
        <v>13.833333333333334</v>
      </c>
      <c r="X7" s="223" t="str">
        <f t="shared" si="7"/>
        <v>+0</v>
      </c>
      <c r="Y7" s="222">
        <v>6</v>
      </c>
      <c r="Z7" s="221">
        <f t="shared" si="8"/>
        <v>8</v>
      </c>
      <c r="AA7" s="220">
        <v>6</v>
      </c>
      <c r="AB7" s="219">
        <f t="shared" si="9"/>
        <v>6</v>
      </c>
      <c r="AC7" s="220">
        <v>6</v>
      </c>
      <c r="AD7" s="217">
        <f t="shared" si="10"/>
        <v>9</v>
      </c>
      <c r="AE7" s="352">
        <f>6-1</f>
        <v>5</v>
      </c>
      <c r="AF7" s="209">
        <f t="shared" si="11"/>
        <v>10</v>
      </c>
      <c r="AG7" s="209">
        <f t="shared" si="12"/>
        <v>14</v>
      </c>
      <c r="AH7" s="209">
        <f t="shared" si="13"/>
        <v>14</v>
      </c>
      <c r="AI7" s="216">
        <f t="shared" si="14"/>
        <v>51.5</v>
      </c>
      <c r="AJ7" s="215">
        <f>(4+R7)*F7+3</f>
        <v>48</v>
      </c>
      <c r="AK7" s="214"/>
      <c r="AL7" s="213" t="s">
        <v>117</v>
      </c>
      <c r="AM7" s="212"/>
      <c r="AN7" s="211" t="s">
        <v>197</v>
      </c>
      <c r="AO7" s="210"/>
      <c r="AP7" s="209">
        <f t="shared" si="15"/>
        <v>4</v>
      </c>
      <c r="AQ7" s="227"/>
      <c r="AR7" s="208"/>
    </row>
    <row r="8" spans="1:44" ht="31.2" x14ac:dyDescent="0.3">
      <c r="A8" s="231" t="s">
        <v>196</v>
      </c>
      <c r="B8" s="230" t="s">
        <v>355</v>
      </c>
      <c r="C8" s="234" t="s">
        <v>115</v>
      </c>
      <c r="D8" s="210" t="s">
        <v>352</v>
      </c>
      <c r="E8" s="225" t="s">
        <v>195</v>
      </c>
      <c r="F8" s="228">
        <v>9</v>
      </c>
      <c r="G8" s="225" t="s">
        <v>141</v>
      </c>
      <c r="H8" s="225">
        <v>28</v>
      </c>
      <c r="I8" s="225" t="s">
        <v>190</v>
      </c>
      <c r="J8" s="227" t="s">
        <v>194</v>
      </c>
      <c r="K8" s="226">
        <v>12</v>
      </c>
      <c r="L8" s="225" t="str">
        <f t="shared" si="0"/>
        <v>+1</v>
      </c>
      <c r="M8" s="225">
        <v>12</v>
      </c>
      <c r="N8" s="225" t="str">
        <f t="shared" si="1"/>
        <v>+1</v>
      </c>
      <c r="O8" s="225">
        <v>12</v>
      </c>
      <c r="P8" s="225" t="str">
        <f t="shared" si="2"/>
        <v>+1</v>
      </c>
      <c r="Q8" s="225">
        <v>13</v>
      </c>
      <c r="R8" s="225" t="str">
        <f t="shared" si="3"/>
        <v>+1</v>
      </c>
      <c r="S8" s="225">
        <v>14</v>
      </c>
      <c r="T8" s="225" t="str">
        <f t="shared" si="4"/>
        <v>+2</v>
      </c>
      <c r="U8" s="209">
        <v>16</v>
      </c>
      <c r="V8" s="209" t="str">
        <f t="shared" si="5"/>
        <v>+3</v>
      </c>
      <c r="W8" s="224">
        <f t="shared" si="6"/>
        <v>13.166666666666666</v>
      </c>
      <c r="X8" s="223" t="str">
        <f t="shared" si="7"/>
        <v>+1</v>
      </c>
      <c r="Y8" s="222">
        <v>6</v>
      </c>
      <c r="Z8" s="221">
        <f t="shared" si="8"/>
        <v>7</v>
      </c>
      <c r="AA8" s="220">
        <v>3</v>
      </c>
      <c r="AB8" s="219">
        <f t="shared" si="9"/>
        <v>4</v>
      </c>
      <c r="AC8" s="220">
        <v>3</v>
      </c>
      <c r="AD8" s="217">
        <f t="shared" si="10"/>
        <v>5</v>
      </c>
      <c r="AE8" s="216">
        <v>9</v>
      </c>
      <c r="AF8" s="209">
        <f t="shared" si="11"/>
        <v>11</v>
      </c>
      <c r="AG8" s="209">
        <f t="shared" si="12"/>
        <v>22</v>
      </c>
      <c r="AH8" s="209">
        <f t="shared" si="13"/>
        <v>23</v>
      </c>
      <c r="AI8" s="216">
        <f>(F8*10*0.75)+(P8+F8)</f>
        <v>77.5</v>
      </c>
      <c r="AJ8" s="215">
        <f>(2+R8)*F8+3</f>
        <v>30</v>
      </c>
      <c r="AK8" s="214"/>
      <c r="AL8" s="213" t="s">
        <v>380</v>
      </c>
      <c r="AM8" s="324" t="s">
        <v>379</v>
      </c>
      <c r="AN8" s="211" t="s">
        <v>382</v>
      </c>
      <c r="AO8" s="210" t="s">
        <v>381</v>
      </c>
      <c r="AP8" s="209">
        <f>2+2+8</f>
        <v>12</v>
      </c>
      <c r="AQ8" s="227"/>
      <c r="AR8" s="208"/>
    </row>
    <row r="9" spans="1:44" ht="54" x14ac:dyDescent="0.3">
      <c r="A9" s="231" t="s">
        <v>193</v>
      </c>
      <c r="B9" s="230" t="s">
        <v>356</v>
      </c>
      <c r="C9" s="234" t="s">
        <v>115</v>
      </c>
      <c r="D9" s="210" t="s">
        <v>192</v>
      </c>
      <c r="E9" s="225" t="s">
        <v>191</v>
      </c>
      <c r="F9" s="228">
        <v>9</v>
      </c>
      <c r="G9" s="225" t="s">
        <v>169</v>
      </c>
      <c r="H9" s="225">
        <v>36</v>
      </c>
      <c r="I9" s="225" t="s">
        <v>190</v>
      </c>
      <c r="J9" s="227" t="s">
        <v>189</v>
      </c>
      <c r="K9" s="226">
        <v>12</v>
      </c>
      <c r="L9" s="225" t="str">
        <f t="shared" si="0"/>
        <v>+1</v>
      </c>
      <c r="M9" s="225">
        <v>12</v>
      </c>
      <c r="N9" s="225" t="str">
        <f t="shared" si="1"/>
        <v>+1</v>
      </c>
      <c r="O9" s="225">
        <v>12</v>
      </c>
      <c r="P9" s="225" t="str">
        <f t="shared" si="2"/>
        <v>+1</v>
      </c>
      <c r="Q9" s="225">
        <v>12</v>
      </c>
      <c r="R9" s="225" t="str">
        <f t="shared" si="3"/>
        <v>+1</v>
      </c>
      <c r="S9" s="225">
        <v>13</v>
      </c>
      <c r="T9" s="225" t="str">
        <f t="shared" si="4"/>
        <v>+1</v>
      </c>
      <c r="U9" s="209">
        <v>17</v>
      </c>
      <c r="V9" s="209" t="str">
        <f t="shared" si="5"/>
        <v>+3</v>
      </c>
      <c r="W9" s="224">
        <f t="shared" si="6"/>
        <v>13</v>
      </c>
      <c r="X9" s="223" t="str">
        <f t="shared" si="7"/>
        <v>+1</v>
      </c>
      <c r="Y9" s="222">
        <v>3</v>
      </c>
      <c r="Z9" s="221">
        <f t="shared" si="8"/>
        <v>4</v>
      </c>
      <c r="AA9" s="220">
        <v>3</v>
      </c>
      <c r="AB9" s="219">
        <f t="shared" si="9"/>
        <v>4</v>
      </c>
      <c r="AC9" s="218">
        <v>6</v>
      </c>
      <c r="AD9" s="217">
        <f t="shared" si="10"/>
        <v>7</v>
      </c>
      <c r="AE9" s="216">
        <v>4</v>
      </c>
      <c r="AF9" s="209">
        <f t="shared" si="11"/>
        <v>11</v>
      </c>
      <c r="AG9" s="209">
        <f t="shared" si="12"/>
        <v>14</v>
      </c>
      <c r="AH9" s="209">
        <f t="shared" si="13"/>
        <v>15</v>
      </c>
      <c r="AI9" s="216">
        <f>(F9*4*0.75)+(P9+F9)</f>
        <v>37</v>
      </c>
      <c r="AJ9" s="215">
        <f>(2+R9)*F9+3</f>
        <v>30</v>
      </c>
      <c r="AK9" s="214"/>
      <c r="AL9" s="213" t="s">
        <v>377</v>
      </c>
      <c r="AM9" s="212"/>
      <c r="AN9" s="211"/>
      <c r="AO9" s="210"/>
      <c r="AP9" s="209">
        <f t="shared" si="15"/>
        <v>4</v>
      </c>
      <c r="AQ9" s="227"/>
      <c r="AR9" s="208"/>
    </row>
    <row r="10" spans="1:44" ht="46.8" x14ac:dyDescent="0.3">
      <c r="A10" s="325" t="s">
        <v>188</v>
      </c>
      <c r="B10" s="326" t="s">
        <v>187</v>
      </c>
      <c r="C10" s="229" t="s">
        <v>108</v>
      </c>
      <c r="D10" s="229" t="s">
        <v>186</v>
      </c>
      <c r="E10" s="327" t="s">
        <v>185</v>
      </c>
      <c r="F10" s="228">
        <v>9</v>
      </c>
      <c r="G10" s="225" t="s">
        <v>169</v>
      </c>
      <c r="H10" s="225">
        <v>58</v>
      </c>
      <c r="I10" s="225" t="s">
        <v>184</v>
      </c>
      <c r="J10" s="227" t="s">
        <v>183</v>
      </c>
      <c r="K10" s="226">
        <v>11</v>
      </c>
      <c r="L10" s="225" t="str">
        <f t="shared" si="0"/>
        <v>+0</v>
      </c>
      <c r="M10" s="225">
        <v>14</v>
      </c>
      <c r="N10" s="225" t="str">
        <f t="shared" si="1"/>
        <v>+2</v>
      </c>
      <c r="O10" s="225">
        <v>17</v>
      </c>
      <c r="P10" s="225" t="str">
        <f t="shared" si="2"/>
        <v>+3</v>
      </c>
      <c r="Q10" s="233">
        <f>21+2+2</f>
        <v>25</v>
      </c>
      <c r="R10" s="225" t="str">
        <f t="shared" si="3"/>
        <v>+7</v>
      </c>
      <c r="S10" s="225">
        <v>15</v>
      </c>
      <c r="T10" s="225" t="str">
        <f t="shared" si="4"/>
        <v>+2</v>
      </c>
      <c r="U10" s="209">
        <v>11</v>
      </c>
      <c r="V10" s="209" t="str">
        <f t="shared" si="5"/>
        <v>+0</v>
      </c>
      <c r="W10" s="224">
        <f t="shared" si="6"/>
        <v>15.5</v>
      </c>
      <c r="X10" s="223" t="str">
        <f t="shared" si="7"/>
        <v>+2</v>
      </c>
      <c r="Y10" s="222">
        <v>3</v>
      </c>
      <c r="Z10" s="221">
        <f t="shared" si="8"/>
        <v>6</v>
      </c>
      <c r="AA10" s="220">
        <v>3</v>
      </c>
      <c r="AB10" s="219">
        <f t="shared" si="9"/>
        <v>5</v>
      </c>
      <c r="AC10" s="220">
        <v>6</v>
      </c>
      <c r="AD10" s="217">
        <f t="shared" si="10"/>
        <v>8</v>
      </c>
      <c r="AE10" s="216">
        <v>4</v>
      </c>
      <c r="AF10" s="209">
        <f t="shared" si="11"/>
        <v>12</v>
      </c>
      <c r="AG10" s="209">
        <f t="shared" si="12"/>
        <v>19</v>
      </c>
      <c r="AH10" s="209">
        <f t="shared" si="13"/>
        <v>21</v>
      </c>
      <c r="AI10" s="216">
        <f>(F10*6*0.75)+(P10+F10)</f>
        <v>52.5</v>
      </c>
      <c r="AJ10" s="215">
        <f t="shared" ref="AJ10:AJ17" si="16">(6+R10)*F10+3</f>
        <v>120</v>
      </c>
      <c r="AK10" s="214"/>
      <c r="AL10" s="213" t="s">
        <v>182</v>
      </c>
      <c r="AM10" s="232" t="s">
        <v>323</v>
      </c>
      <c r="AN10" s="211" t="s">
        <v>181</v>
      </c>
      <c r="AO10" s="210" t="s">
        <v>180</v>
      </c>
      <c r="AP10" s="342">
        <f>3+2+4</f>
        <v>9</v>
      </c>
      <c r="AQ10" s="227" t="s">
        <v>324</v>
      </c>
      <c r="AR10" s="208"/>
    </row>
    <row r="11" spans="1:44" ht="31.2" x14ac:dyDescent="0.3">
      <c r="A11" s="325" t="s">
        <v>179</v>
      </c>
      <c r="B11" s="326" t="s">
        <v>178</v>
      </c>
      <c r="C11" s="229" t="s">
        <v>108</v>
      </c>
      <c r="D11" s="229" t="s">
        <v>177</v>
      </c>
      <c r="E11" s="327" t="s">
        <v>176</v>
      </c>
      <c r="F11" s="228">
        <v>9</v>
      </c>
      <c r="G11" s="225" t="s">
        <v>141</v>
      </c>
      <c r="H11" s="225">
        <v>61</v>
      </c>
      <c r="I11" s="225" t="s">
        <v>175</v>
      </c>
      <c r="J11" s="227" t="s">
        <v>174</v>
      </c>
      <c r="K11" s="350">
        <f>10+2</f>
        <v>12</v>
      </c>
      <c r="L11" s="225" t="str">
        <f t="shared" si="0"/>
        <v>+1</v>
      </c>
      <c r="M11" s="351">
        <f>10-2</f>
        <v>8</v>
      </c>
      <c r="N11" s="225">
        <f t="shared" si="1"/>
        <v>-1</v>
      </c>
      <c r="O11" s="225">
        <v>10</v>
      </c>
      <c r="P11" s="225" t="str">
        <f t="shared" si="2"/>
        <v>+0</v>
      </c>
      <c r="Q11" s="225">
        <v>10</v>
      </c>
      <c r="R11" s="225" t="str">
        <f t="shared" si="3"/>
        <v>+0</v>
      </c>
      <c r="S11" s="225">
        <v>10</v>
      </c>
      <c r="T11" s="225" t="str">
        <f t="shared" si="4"/>
        <v>+0</v>
      </c>
      <c r="U11" s="209">
        <v>10</v>
      </c>
      <c r="V11" s="209" t="str">
        <f t="shared" si="5"/>
        <v>+0</v>
      </c>
      <c r="W11" s="224">
        <f t="shared" si="6"/>
        <v>10</v>
      </c>
      <c r="X11" s="223">
        <f t="shared" si="7"/>
        <v>-1</v>
      </c>
      <c r="Y11" s="222">
        <v>3</v>
      </c>
      <c r="Z11" s="221">
        <f t="shared" si="8"/>
        <v>3</v>
      </c>
      <c r="AA11" s="220">
        <v>3</v>
      </c>
      <c r="AB11" s="219">
        <f t="shared" si="9"/>
        <v>2</v>
      </c>
      <c r="AC11" s="220">
        <v>6</v>
      </c>
      <c r="AD11" s="217">
        <f t="shared" si="10"/>
        <v>6</v>
      </c>
      <c r="AE11" s="352">
        <f>4-1</f>
        <v>3</v>
      </c>
      <c r="AF11" s="209">
        <f t="shared" si="11"/>
        <v>9</v>
      </c>
      <c r="AG11" s="209">
        <f t="shared" si="12"/>
        <v>15</v>
      </c>
      <c r="AH11" s="209">
        <f t="shared" si="13"/>
        <v>14</v>
      </c>
      <c r="AI11" s="216">
        <f t="shared" ref="AI11:AI13" si="17">(F11*4*0.75)+(P11+F11)</f>
        <v>36</v>
      </c>
      <c r="AJ11" s="215">
        <f t="shared" si="16"/>
        <v>57</v>
      </c>
      <c r="AK11" s="214"/>
      <c r="AL11" s="213"/>
      <c r="AM11" s="212"/>
      <c r="AN11" s="211"/>
      <c r="AO11" s="210"/>
      <c r="AP11" s="209">
        <f>3+2</f>
        <v>5</v>
      </c>
      <c r="AQ11" s="227"/>
      <c r="AR11" s="208"/>
    </row>
    <row r="12" spans="1:44" ht="16.8" x14ac:dyDescent="0.3">
      <c r="A12" s="325" t="s">
        <v>173</v>
      </c>
      <c r="B12" s="326" t="s">
        <v>172</v>
      </c>
      <c r="C12" s="229" t="s">
        <v>108</v>
      </c>
      <c r="D12" s="229" t="s">
        <v>171</v>
      </c>
      <c r="E12" s="327" t="s">
        <v>170</v>
      </c>
      <c r="F12" s="228">
        <v>9</v>
      </c>
      <c r="G12" s="225" t="s">
        <v>169</v>
      </c>
      <c r="H12" s="225">
        <v>47</v>
      </c>
      <c r="I12" s="225" t="s">
        <v>168</v>
      </c>
      <c r="J12" s="227" t="s">
        <v>167</v>
      </c>
      <c r="K12" s="226">
        <v>10</v>
      </c>
      <c r="L12" s="225" t="str">
        <f t="shared" si="0"/>
        <v>+0</v>
      </c>
      <c r="M12" s="225">
        <v>10</v>
      </c>
      <c r="N12" s="225" t="str">
        <f t="shared" si="1"/>
        <v>+0</v>
      </c>
      <c r="O12" s="225">
        <v>10</v>
      </c>
      <c r="P12" s="225" t="str">
        <f t="shared" si="2"/>
        <v>+0</v>
      </c>
      <c r="Q12" s="225">
        <v>10</v>
      </c>
      <c r="R12" s="225" t="str">
        <f t="shared" si="3"/>
        <v>+0</v>
      </c>
      <c r="S12" s="225">
        <v>10</v>
      </c>
      <c r="T12" s="225" t="str">
        <f t="shared" si="4"/>
        <v>+0</v>
      </c>
      <c r="U12" s="209">
        <v>10</v>
      </c>
      <c r="V12" s="209" t="str">
        <f t="shared" si="5"/>
        <v>+0</v>
      </c>
      <c r="W12" s="224">
        <f t="shared" si="6"/>
        <v>10</v>
      </c>
      <c r="X12" s="223" t="str">
        <f t="shared" si="7"/>
        <v>+0</v>
      </c>
      <c r="Y12" s="222">
        <v>3</v>
      </c>
      <c r="Z12" s="221">
        <f t="shared" si="8"/>
        <v>3</v>
      </c>
      <c r="AA12" s="220">
        <v>3</v>
      </c>
      <c r="AB12" s="219">
        <f t="shared" si="9"/>
        <v>3</v>
      </c>
      <c r="AC12" s="220">
        <v>6</v>
      </c>
      <c r="AD12" s="217">
        <f t="shared" si="10"/>
        <v>6</v>
      </c>
      <c r="AE12" s="216">
        <v>4</v>
      </c>
      <c r="AF12" s="209">
        <f t="shared" si="11"/>
        <v>10</v>
      </c>
      <c r="AG12" s="209">
        <f t="shared" si="12"/>
        <v>14</v>
      </c>
      <c r="AH12" s="209">
        <f t="shared" si="13"/>
        <v>14</v>
      </c>
      <c r="AI12" s="216">
        <f t="shared" si="17"/>
        <v>36</v>
      </c>
      <c r="AJ12" s="215">
        <f t="shared" si="16"/>
        <v>57</v>
      </c>
      <c r="AK12" s="214"/>
      <c r="AL12" s="213"/>
      <c r="AM12" s="212"/>
      <c r="AN12" s="211"/>
      <c r="AO12" s="210"/>
      <c r="AP12" s="209">
        <f t="shared" ref="AP12:AP17" si="18">2+2</f>
        <v>4</v>
      </c>
      <c r="AQ12" s="227"/>
      <c r="AR12" s="208"/>
    </row>
    <row r="13" spans="1:44" ht="31.2" x14ac:dyDescent="0.3">
      <c r="A13" s="325" t="s">
        <v>166</v>
      </c>
      <c r="B13" s="326" t="s">
        <v>165</v>
      </c>
      <c r="C13" s="229" t="s">
        <v>108</v>
      </c>
      <c r="D13" s="229" t="s">
        <v>164</v>
      </c>
      <c r="E13" s="327" t="s">
        <v>163</v>
      </c>
      <c r="F13" s="228">
        <v>9</v>
      </c>
      <c r="G13" s="225" t="s">
        <v>141</v>
      </c>
      <c r="H13" s="225">
        <v>53</v>
      </c>
      <c r="I13" s="225" t="s">
        <v>162</v>
      </c>
      <c r="J13" s="227" t="s">
        <v>161</v>
      </c>
      <c r="K13" s="226">
        <v>10</v>
      </c>
      <c r="L13" s="225" t="str">
        <f t="shared" si="0"/>
        <v>+0</v>
      </c>
      <c r="M13" s="225">
        <v>10</v>
      </c>
      <c r="N13" s="225" t="str">
        <f t="shared" si="1"/>
        <v>+0</v>
      </c>
      <c r="O13" s="225">
        <v>10</v>
      </c>
      <c r="P13" s="225" t="str">
        <f t="shared" si="2"/>
        <v>+0</v>
      </c>
      <c r="Q13" s="225">
        <v>10</v>
      </c>
      <c r="R13" s="225" t="str">
        <f t="shared" si="3"/>
        <v>+0</v>
      </c>
      <c r="S13" s="225">
        <v>10</v>
      </c>
      <c r="T13" s="225" t="str">
        <f t="shared" si="4"/>
        <v>+0</v>
      </c>
      <c r="U13" s="209">
        <v>10</v>
      </c>
      <c r="V13" s="209" t="str">
        <f t="shared" si="5"/>
        <v>+0</v>
      </c>
      <c r="W13" s="224">
        <f t="shared" si="6"/>
        <v>10</v>
      </c>
      <c r="X13" s="223" t="str">
        <f t="shared" si="7"/>
        <v>+0</v>
      </c>
      <c r="Y13" s="222">
        <v>3</v>
      </c>
      <c r="Z13" s="221">
        <f t="shared" si="8"/>
        <v>3</v>
      </c>
      <c r="AA13" s="220">
        <v>3</v>
      </c>
      <c r="AB13" s="219">
        <f t="shared" si="9"/>
        <v>3</v>
      </c>
      <c r="AC13" s="218">
        <v>6</v>
      </c>
      <c r="AD13" s="217">
        <f t="shared" si="10"/>
        <v>6</v>
      </c>
      <c r="AE13" s="216">
        <v>4</v>
      </c>
      <c r="AF13" s="209">
        <f t="shared" si="11"/>
        <v>10</v>
      </c>
      <c r="AG13" s="209">
        <f t="shared" si="12"/>
        <v>14</v>
      </c>
      <c r="AH13" s="209">
        <f t="shared" si="13"/>
        <v>14</v>
      </c>
      <c r="AI13" s="216">
        <f t="shared" si="17"/>
        <v>36</v>
      </c>
      <c r="AJ13" s="215">
        <f t="shared" si="16"/>
        <v>57</v>
      </c>
      <c r="AK13" s="214"/>
      <c r="AL13" s="213"/>
      <c r="AM13" s="212"/>
      <c r="AN13" s="211"/>
      <c r="AO13" s="210"/>
      <c r="AP13" s="209">
        <f t="shared" si="18"/>
        <v>4</v>
      </c>
      <c r="AQ13" s="227"/>
      <c r="AR13" s="208"/>
    </row>
    <row r="14" spans="1:44" ht="16.8" x14ac:dyDescent="0.3">
      <c r="A14" s="325" t="s">
        <v>160</v>
      </c>
      <c r="B14" s="326" t="s">
        <v>159</v>
      </c>
      <c r="C14" s="229" t="s">
        <v>144</v>
      </c>
      <c r="D14" s="229" t="s">
        <v>149</v>
      </c>
      <c r="E14" s="327" t="s">
        <v>158</v>
      </c>
      <c r="F14" s="228">
        <v>9</v>
      </c>
      <c r="G14" s="225" t="s">
        <v>141</v>
      </c>
      <c r="H14" s="225">
        <v>108</v>
      </c>
      <c r="I14" s="225" t="s">
        <v>318</v>
      </c>
      <c r="J14" s="227" t="s">
        <v>157</v>
      </c>
      <c r="K14" s="226">
        <v>10</v>
      </c>
      <c r="L14" s="225" t="str">
        <f t="shared" si="0"/>
        <v>+0</v>
      </c>
      <c r="M14" s="225">
        <v>10</v>
      </c>
      <c r="N14" s="225" t="str">
        <f t="shared" si="1"/>
        <v>+0</v>
      </c>
      <c r="O14" s="225">
        <v>10</v>
      </c>
      <c r="P14" s="225" t="str">
        <f t="shared" si="2"/>
        <v>+0</v>
      </c>
      <c r="Q14" s="225">
        <v>10</v>
      </c>
      <c r="R14" s="225" t="str">
        <f t="shared" si="3"/>
        <v>+0</v>
      </c>
      <c r="S14" s="225">
        <v>10</v>
      </c>
      <c r="T14" s="225" t="str">
        <f t="shared" si="4"/>
        <v>+0</v>
      </c>
      <c r="U14" s="209">
        <v>10</v>
      </c>
      <c r="V14" s="209" t="str">
        <f t="shared" si="5"/>
        <v>+0</v>
      </c>
      <c r="W14" s="224">
        <f t="shared" si="6"/>
        <v>10</v>
      </c>
      <c r="X14" s="223" t="str">
        <f t="shared" si="7"/>
        <v>+0</v>
      </c>
      <c r="Y14" s="222">
        <v>6</v>
      </c>
      <c r="Z14" s="221">
        <f t="shared" si="8"/>
        <v>6</v>
      </c>
      <c r="AA14" s="220">
        <v>6</v>
      </c>
      <c r="AB14" s="219">
        <f t="shared" si="9"/>
        <v>6</v>
      </c>
      <c r="AC14" s="220">
        <v>6</v>
      </c>
      <c r="AD14" s="217">
        <f t="shared" si="10"/>
        <v>6</v>
      </c>
      <c r="AE14" s="216">
        <v>6</v>
      </c>
      <c r="AF14" s="209">
        <f t="shared" si="11"/>
        <v>10</v>
      </c>
      <c r="AG14" s="209">
        <f t="shared" si="12"/>
        <v>14</v>
      </c>
      <c r="AH14" s="209">
        <f t="shared" si="13"/>
        <v>14</v>
      </c>
      <c r="AI14" s="216">
        <f>(F14*8*0.75)+(P14+F14)</f>
        <v>63</v>
      </c>
      <c r="AJ14" s="215">
        <f>(2+R14)*F14+3</f>
        <v>21</v>
      </c>
      <c r="AK14" s="214"/>
      <c r="AL14" s="213"/>
      <c r="AM14" s="212"/>
      <c r="AN14" s="211"/>
      <c r="AO14" s="210"/>
      <c r="AP14" s="209">
        <f t="shared" si="18"/>
        <v>4</v>
      </c>
      <c r="AQ14" s="227"/>
      <c r="AR14" s="208"/>
    </row>
    <row r="15" spans="1:44" ht="16.8" x14ac:dyDescent="0.3">
      <c r="A15" s="325" t="s">
        <v>156</v>
      </c>
      <c r="B15" s="326" t="s">
        <v>155</v>
      </c>
      <c r="C15" s="229" t="s">
        <v>144</v>
      </c>
      <c r="D15" s="229" t="s">
        <v>154</v>
      </c>
      <c r="E15" s="327" t="s">
        <v>153</v>
      </c>
      <c r="F15" s="228">
        <v>9</v>
      </c>
      <c r="G15" s="225" t="s">
        <v>141</v>
      </c>
      <c r="H15" s="225">
        <v>92</v>
      </c>
      <c r="I15" s="225" t="s">
        <v>184</v>
      </c>
      <c r="J15" s="227" t="s">
        <v>152</v>
      </c>
      <c r="K15" s="226">
        <v>10</v>
      </c>
      <c r="L15" s="225" t="str">
        <f t="shared" si="0"/>
        <v>+0</v>
      </c>
      <c r="M15" s="225">
        <v>10</v>
      </c>
      <c r="N15" s="225" t="str">
        <f t="shared" si="1"/>
        <v>+0</v>
      </c>
      <c r="O15" s="225">
        <v>10</v>
      </c>
      <c r="P15" s="225" t="str">
        <f t="shared" si="2"/>
        <v>+0</v>
      </c>
      <c r="Q15" s="225">
        <v>10</v>
      </c>
      <c r="R15" s="225" t="str">
        <f t="shared" si="3"/>
        <v>+0</v>
      </c>
      <c r="S15" s="225">
        <v>10</v>
      </c>
      <c r="T15" s="225" t="str">
        <f t="shared" si="4"/>
        <v>+0</v>
      </c>
      <c r="U15" s="209">
        <v>10</v>
      </c>
      <c r="V15" s="209" t="str">
        <f t="shared" si="5"/>
        <v>+0</v>
      </c>
      <c r="W15" s="224">
        <f t="shared" si="6"/>
        <v>10</v>
      </c>
      <c r="X15" s="223" t="str">
        <f t="shared" si="7"/>
        <v>+0</v>
      </c>
      <c r="Y15" s="222">
        <v>6</v>
      </c>
      <c r="Z15" s="221">
        <f t="shared" si="8"/>
        <v>6</v>
      </c>
      <c r="AA15" s="220">
        <v>3</v>
      </c>
      <c r="AB15" s="219">
        <f t="shared" si="9"/>
        <v>3</v>
      </c>
      <c r="AC15" s="220">
        <v>6</v>
      </c>
      <c r="AD15" s="217">
        <f t="shared" si="10"/>
        <v>6</v>
      </c>
      <c r="AE15" s="216">
        <v>4</v>
      </c>
      <c r="AF15" s="209">
        <f t="shared" si="11"/>
        <v>10</v>
      </c>
      <c r="AG15" s="209">
        <f t="shared" si="12"/>
        <v>14</v>
      </c>
      <c r="AH15" s="209">
        <f t="shared" si="13"/>
        <v>14</v>
      </c>
      <c r="AI15" s="216">
        <f>(F15*6*0.75)+(P15+F15)</f>
        <v>49.5</v>
      </c>
      <c r="AJ15" s="215">
        <f>(4+R15)*F15+3</f>
        <v>39</v>
      </c>
      <c r="AK15" s="214"/>
      <c r="AL15" s="213"/>
      <c r="AM15" s="212"/>
      <c r="AN15" s="211"/>
      <c r="AO15" s="210"/>
      <c r="AP15" s="209">
        <f t="shared" si="18"/>
        <v>4</v>
      </c>
      <c r="AQ15" s="227"/>
      <c r="AR15" s="208"/>
    </row>
    <row r="16" spans="1:44" ht="16.8" x14ac:dyDescent="0.3">
      <c r="A16" s="325" t="s">
        <v>151</v>
      </c>
      <c r="B16" s="326" t="s">
        <v>150</v>
      </c>
      <c r="C16" s="229" t="s">
        <v>144</v>
      </c>
      <c r="D16" s="229" t="s">
        <v>149</v>
      </c>
      <c r="E16" s="327" t="s">
        <v>148</v>
      </c>
      <c r="F16" s="228">
        <v>9</v>
      </c>
      <c r="G16" s="225" t="s">
        <v>141</v>
      </c>
      <c r="H16" s="225">
        <v>113</v>
      </c>
      <c r="I16" s="225" t="s">
        <v>211</v>
      </c>
      <c r="J16" s="227" t="s">
        <v>147</v>
      </c>
      <c r="K16" s="226">
        <v>10</v>
      </c>
      <c r="L16" s="225" t="str">
        <f t="shared" si="0"/>
        <v>+0</v>
      </c>
      <c r="M16" s="342">
        <f>10+4</f>
        <v>14</v>
      </c>
      <c r="N16" s="225" t="str">
        <f t="shared" si="1"/>
        <v>+2</v>
      </c>
      <c r="O16" s="225">
        <v>10</v>
      </c>
      <c r="P16" s="225" t="str">
        <f t="shared" si="2"/>
        <v>+0</v>
      </c>
      <c r="Q16" s="225">
        <v>10</v>
      </c>
      <c r="R16" s="225" t="str">
        <f t="shared" si="3"/>
        <v>+0</v>
      </c>
      <c r="S16" s="225">
        <v>10</v>
      </c>
      <c r="T16" s="225" t="str">
        <f t="shared" si="4"/>
        <v>+0</v>
      </c>
      <c r="U16" s="209">
        <v>10</v>
      </c>
      <c r="V16" s="209" t="str">
        <f t="shared" si="5"/>
        <v>+0</v>
      </c>
      <c r="W16" s="224">
        <f t="shared" si="6"/>
        <v>10.666666666666666</v>
      </c>
      <c r="X16" s="223" t="str">
        <f t="shared" si="7"/>
        <v>+2</v>
      </c>
      <c r="Y16" s="222">
        <f>6+1</f>
        <v>7</v>
      </c>
      <c r="Z16" s="221">
        <f t="shared" si="8"/>
        <v>7</v>
      </c>
      <c r="AA16" s="220">
        <f>2+3</f>
        <v>5</v>
      </c>
      <c r="AB16" s="219">
        <f t="shared" si="9"/>
        <v>7</v>
      </c>
      <c r="AC16" s="220">
        <f>2+1</f>
        <v>3</v>
      </c>
      <c r="AD16" s="217">
        <f t="shared" si="10"/>
        <v>3</v>
      </c>
      <c r="AE16" s="216">
        <v>7</v>
      </c>
      <c r="AF16" s="209">
        <f t="shared" si="11"/>
        <v>12</v>
      </c>
      <c r="AG16" s="209">
        <f t="shared" si="12"/>
        <v>14</v>
      </c>
      <c r="AH16" s="209">
        <f t="shared" si="13"/>
        <v>16</v>
      </c>
      <c r="AI16" s="216">
        <f>(F16*5*0.75)+(P16+F16)</f>
        <v>42.75</v>
      </c>
      <c r="AJ16" s="215">
        <f>(4+R16)*F16+3</f>
        <v>39</v>
      </c>
      <c r="AK16" s="214"/>
      <c r="AL16" s="213"/>
      <c r="AM16" s="212"/>
      <c r="AN16" s="211"/>
      <c r="AO16" s="210"/>
      <c r="AP16" s="209">
        <f t="shared" si="18"/>
        <v>4</v>
      </c>
      <c r="AQ16" s="227"/>
      <c r="AR16" s="208"/>
    </row>
    <row r="17" spans="1:44" ht="16.8" x14ac:dyDescent="0.3">
      <c r="A17" s="325" t="s">
        <v>146</v>
      </c>
      <c r="B17" s="326" t="s">
        <v>145</v>
      </c>
      <c r="C17" s="229" t="s">
        <v>144</v>
      </c>
      <c r="D17" s="229" t="s">
        <v>143</v>
      </c>
      <c r="E17" s="327" t="s">
        <v>142</v>
      </c>
      <c r="F17" s="228">
        <v>9</v>
      </c>
      <c r="G17" s="225" t="s">
        <v>141</v>
      </c>
      <c r="H17" s="225">
        <v>77</v>
      </c>
      <c r="I17" s="225" t="s">
        <v>319</v>
      </c>
      <c r="J17" s="227" t="s">
        <v>140</v>
      </c>
      <c r="K17" s="226">
        <v>10</v>
      </c>
      <c r="L17" s="225" t="str">
        <f t="shared" si="0"/>
        <v>+0</v>
      </c>
      <c r="M17" s="225">
        <v>10</v>
      </c>
      <c r="N17" s="225" t="str">
        <f t="shared" si="1"/>
        <v>+0</v>
      </c>
      <c r="O17" s="225">
        <v>10</v>
      </c>
      <c r="P17" s="225" t="str">
        <f t="shared" si="2"/>
        <v>+0</v>
      </c>
      <c r="Q17" s="225">
        <v>10</v>
      </c>
      <c r="R17" s="225" t="str">
        <f t="shared" si="3"/>
        <v>+0</v>
      </c>
      <c r="S17" s="225">
        <v>10</v>
      </c>
      <c r="T17" s="225" t="str">
        <f t="shared" si="4"/>
        <v>+0</v>
      </c>
      <c r="U17" s="209">
        <v>10</v>
      </c>
      <c r="V17" s="209" t="str">
        <f t="shared" si="5"/>
        <v>+0</v>
      </c>
      <c r="W17" s="224">
        <f t="shared" si="6"/>
        <v>10</v>
      </c>
      <c r="X17" s="223" t="str">
        <f t="shared" si="7"/>
        <v>+0</v>
      </c>
      <c r="Y17" s="222">
        <v>3</v>
      </c>
      <c r="Z17" s="221">
        <f t="shared" si="8"/>
        <v>3</v>
      </c>
      <c r="AA17" s="220">
        <v>6</v>
      </c>
      <c r="AB17" s="219">
        <f t="shared" si="9"/>
        <v>6</v>
      </c>
      <c r="AC17" s="218">
        <v>3</v>
      </c>
      <c r="AD17" s="217">
        <f t="shared" si="10"/>
        <v>3</v>
      </c>
      <c r="AE17" s="216">
        <v>6</v>
      </c>
      <c r="AF17" s="209">
        <f t="shared" si="11"/>
        <v>10</v>
      </c>
      <c r="AG17" s="209">
        <f t="shared" si="12"/>
        <v>14</v>
      </c>
      <c r="AH17" s="209">
        <f t="shared" si="13"/>
        <v>14</v>
      </c>
      <c r="AI17" s="216">
        <f>(F17*8*0.75)+(P17+F17)</f>
        <v>63</v>
      </c>
      <c r="AJ17" s="215">
        <f t="shared" si="16"/>
        <v>57</v>
      </c>
      <c r="AK17" s="214"/>
      <c r="AL17" s="213"/>
      <c r="AM17" s="212"/>
      <c r="AN17" s="211"/>
      <c r="AO17" s="210"/>
      <c r="AP17" s="209">
        <f t="shared" si="18"/>
        <v>4</v>
      </c>
      <c r="AQ17" s="227"/>
      <c r="AR17" s="208"/>
    </row>
  </sheetData>
  <pageMargins left="0.15" right="0.75" top="0.32" bottom="0.33" header="0.25" footer="0.25"/>
  <pageSetup orientation="landscape" horizontalDpi="4294967293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1164-E3D4-4BEF-A645-EE2AC51A31B3}">
  <dimension ref="A1:AB61"/>
  <sheetViews>
    <sheetView showGridLines="0" zoomScale="115" zoomScaleNormal="115" workbookViewId="0">
      <pane xSplit="1" ySplit="1" topLeftCell="B2" activePane="bottomRight" state="frozen"/>
      <selection activeCell="G2" sqref="G2"/>
      <selection pane="topRight" activeCell="G2" sqref="G2"/>
      <selection pane="bottomLeft" activeCell="G2" sqref="G2"/>
      <selection pane="bottomRight" activeCell="B2" sqref="B2"/>
    </sheetView>
  </sheetViews>
  <sheetFormatPr defaultColWidth="13" defaultRowHeight="15.6" x14ac:dyDescent="0.3"/>
  <cols>
    <col min="1" max="1" width="31.296875" style="258" bestFit="1" customWidth="1"/>
    <col min="2" max="2" width="5.59765625" style="258" bestFit="1" customWidth="1"/>
    <col min="3" max="3" width="5.8984375" style="258" bestFit="1" customWidth="1"/>
    <col min="4" max="4" width="7.19921875" style="258" bestFit="1" customWidth="1"/>
    <col min="5" max="5" width="9.59765625" style="258" bestFit="1" customWidth="1"/>
    <col min="6" max="6" width="8.69921875" style="258" bestFit="1" customWidth="1"/>
    <col min="7" max="7" width="15.09765625" style="258" bestFit="1" customWidth="1"/>
    <col min="8" max="8" width="6.59765625" style="258" bestFit="1" customWidth="1"/>
    <col min="9" max="9" width="6.19921875" style="258" bestFit="1" customWidth="1"/>
    <col min="10" max="10" width="8" style="258" bestFit="1" customWidth="1"/>
    <col min="11" max="11" width="9.5" style="258" bestFit="1" customWidth="1"/>
    <col min="12" max="12" width="6.296875" style="258" bestFit="1" customWidth="1"/>
    <col min="13" max="13" width="8.8984375" style="258" bestFit="1" customWidth="1"/>
    <col min="14" max="14" width="8.3984375" style="258" bestFit="1" customWidth="1"/>
    <col min="15" max="15" width="13.09765625" style="258" customWidth="1"/>
    <col min="16" max="16" width="14.3984375" style="258" bestFit="1" customWidth="1"/>
    <col min="17" max="17" width="10.09765625" style="258" bestFit="1" customWidth="1"/>
    <col min="18" max="18" width="11.69921875" style="259" hidden="1" customWidth="1"/>
    <col min="19" max="19" width="5.796875" style="259" hidden="1" customWidth="1"/>
    <col min="20" max="20" width="9.19921875" style="259" bestFit="1" customWidth="1"/>
    <col min="21" max="21" width="6.796875" style="259" bestFit="1" customWidth="1"/>
    <col min="22" max="22" width="5.8984375" style="259" bestFit="1" customWidth="1"/>
    <col min="23" max="23" width="4.69921875" style="259" bestFit="1" customWidth="1"/>
    <col min="24" max="24" width="6.8984375" style="259" bestFit="1" customWidth="1"/>
    <col min="25" max="25" width="6.19921875" style="258" bestFit="1" customWidth="1"/>
    <col min="26" max="26" width="2" style="257" customWidth="1"/>
    <col min="27" max="27" width="13.69921875" style="257" bestFit="1" customWidth="1"/>
    <col min="28" max="16384" width="13" style="257"/>
  </cols>
  <sheetData>
    <row r="1" spans="1:28" s="261" customFormat="1" ht="34.799999999999997" thickTop="1" thickBot="1" x14ac:dyDescent="0.35">
      <c r="A1" s="323" t="s">
        <v>307</v>
      </c>
      <c r="B1" s="322" t="str">
        <f>Members!A2</f>
        <v>Alim</v>
      </c>
      <c r="C1" s="322" t="str">
        <f>Members!A3</f>
        <v>Jarid</v>
      </c>
      <c r="D1" s="322" t="str">
        <f>Members!A4</f>
        <v>Felcity</v>
      </c>
      <c r="E1" s="322" t="str">
        <f>Members!A5</f>
        <v>Lassister</v>
      </c>
      <c r="F1" s="322" t="str">
        <f>Members!A6</f>
        <v>Arcanea</v>
      </c>
      <c r="G1" s="322" t="str">
        <f>Members!A7</f>
        <v>Brother Kizzer</v>
      </c>
      <c r="H1" s="322" t="str">
        <f>Members!A8</f>
        <v>Caase</v>
      </c>
      <c r="I1" s="322" t="str">
        <f>Members!A9</f>
        <v>Hinto</v>
      </c>
      <c r="J1" s="322" t="str">
        <f>Members!A10</f>
        <v>Shivers</v>
      </c>
      <c r="K1" s="322" t="str">
        <f>Members!A11</f>
        <v>Mìngyùn</v>
      </c>
      <c r="L1" s="322" t="str">
        <f>Members!A12</f>
        <v>Yorig</v>
      </c>
      <c r="M1" s="322" t="str">
        <f>Members!A13</f>
        <v>Allegory</v>
      </c>
      <c r="N1" s="322" t="str">
        <f>Members!A14</f>
        <v>Farfalla</v>
      </c>
      <c r="O1" s="322" t="str">
        <f>Members!A15</f>
        <v>Shmetterling</v>
      </c>
      <c r="P1" s="322" t="str">
        <f>Members!A16</f>
        <v>Lepidopterum</v>
      </c>
      <c r="Q1" s="322" t="str">
        <f>Members!A17</f>
        <v>Borboleta</v>
      </c>
      <c r="R1" s="319" t="s">
        <v>306</v>
      </c>
      <c r="S1" s="319" t="s">
        <v>305</v>
      </c>
      <c r="T1" s="321" t="s">
        <v>304</v>
      </c>
      <c r="U1" s="321" t="s">
        <v>303</v>
      </c>
      <c r="V1" s="321" t="s">
        <v>23</v>
      </c>
      <c r="W1" s="320" t="s">
        <v>3</v>
      </c>
      <c r="X1" s="319" t="s">
        <v>94</v>
      </c>
      <c r="Y1" s="318" t="s">
        <v>83</v>
      </c>
      <c r="AA1" s="317" t="s">
        <v>302</v>
      </c>
      <c r="AB1" s="257"/>
    </row>
    <row r="2" spans="1:28" s="261" customFormat="1" ht="17.399999999999999" thickBot="1" x14ac:dyDescent="0.35">
      <c r="A2" s="316" t="s">
        <v>38</v>
      </c>
      <c r="B2" s="277">
        <f>VLOOKUP(B$1,Members!$A$2:$AD$17,26,FALSE)</f>
        <v>7</v>
      </c>
      <c r="C2" s="277">
        <f>VLOOKUP(C$1,Members!$A$2:$AD$17,26,FALSE)</f>
        <v>3</v>
      </c>
      <c r="D2" s="277">
        <f>VLOOKUP(D$1,Members!$A$2:$AD$17,26,FALSE)</f>
        <v>2</v>
      </c>
      <c r="E2" s="277">
        <f>VLOOKUP(E$1,Members!$A$2:$AD$17,26,FALSE)</f>
        <v>3</v>
      </c>
      <c r="F2" s="277">
        <f>VLOOKUP(F$1,Members!$A$2:$AD$17,26,FALSE)</f>
        <v>7</v>
      </c>
      <c r="G2" s="277">
        <f>VLOOKUP(G$1,Members!$A$2:$AD$17,26,FALSE)</f>
        <v>8</v>
      </c>
      <c r="H2" s="277">
        <f>VLOOKUP(H$1,Members!$A$2:$AD$17,26,FALSE)</f>
        <v>7</v>
      </c>
      <c r="I2" s="277">
        <f>VLOOKUP(I$1,Members!$A$2:$AD$17,26,FALSE)</f>
        <v>4</v>
      </c>
      <c r="J2" s="277">
        <f>VLOOKUP(J$1,Members!$A$2:$AD$17,26,FALSE)</f>
        <v>6</v>
      </c>
      <c r="K2" s="277">
        <f>VLOOKUP(K$1,Members!$A$2:$AD$17,26,FALSE)</f>
        <v>3</v>
      </c>
      <c r="L2" s="277">
        <f>VLOOKUP(L$1,Members!$A$2:$AD$17,26,FALSE)</f>
        <v>3</v>
      </c>
      <c r="M2" s="277">
        <f>VLOOKUP(M$1,Members!$A$2:$AD$17,26,FALSE)</f>
        <v>3</v>
      </c>
      <c r="N2" s="277">
        <f>VLOOKUP(N$1,Members!$A$2:$AD$17,26,FALSE)</f>
        <v>6</v>
      </c>
      <c r="O2" s="277">
        <f>VLOOKUP(O$1,Members!$A$2:$AD$17,26,FALSE)</f>
        <v>6</v>
      </c>
      <c r="P2" s="277">
        <f>VLOOKUP(P$1,Members!$A$2:$AD$17,26,FALSE)</f>
        <v>7</v>
      </c>
      <c r="Q2" s="277">
        <f>VLOOKUP(Q$1,Members!$A$2:$AD$17,26,FALSE)</f>
        <v>3</v>
      </c>
      <c r="R2" s="277" t="s">
        <v>240</v>
      </c>
      <c r="S2" s="277" t="str">
        <f>INDEX(Members!$L$2:$V$17,MATCH($AA$2,Members!$A$2:$A$17,0),MATCH(R2,Members!$L$1:$V$1,0))</f>
        <v>+1</v>
      </c>
      <c r="T2" s="315" t="str">
        <f t="shared" ref="T2:T49" si="0">CONCATENATE(LEFT(R2,3)," (",S2,")")</f>
        <v>Con (+1)</v>
      </c>
      <c r="U2" s="312">
        <v>0</v>
      </c>
      <c r="V2" s="311">
        <f t="shared" ref="V2:V49" si="1">S2+HLOOKUP($AA$2,$B$1:$Q$49,MATCH(A2,$A$1:$A$49,0),FALSE)</f>
        <v>8</v>
      </c>
      <c r="W2" s="273">
        <f t="shared" ref="W2:W49" ca="1" si="2">RANDBETWEEN(1,20)</f>
        <v>17</v>
      </c>
      <c r="X2" s="311">
        <f t="shared" ref="X2:X49" ca="1" si="3">SUM(V2:W2)</f>
        <v>25</v>
      </c>
      <c r="Y2" s="271"/>
      <c r="Z2" s="257"/>
      <c r="AA2" s="314" t="s">
        <v>217</v>
      </c>
      <c r="AB2" s="257"/>
    </row>
    <row r="3" spans="1:28" s="261" customFormat="1" ht="17.399999999999999" thickTop="1" x14ac:dyDescent="0.3">
      <c r="A3" s="313" t="s">
        <v>39</v>
      </c>
      <c r="B3" s="277">
        <f>VLOOKUP(B$1,Members!$A$2:$AD$17,28,FALSE)</f>
        <v>6</v>
      </c>
      <c r="C3" s="277">
        <f>VLOOKUP(C$1,Members!$A$2:$AD$17,28,FALSE)</f>
        <v>5</v>
      </c>
      <c r="D3" s="277">
        <f>VLOOKUP(D$1,Members!$A$2:$AD$17,28,FALSE)</f>
        <v>5</v>
      </c>
      <c r="E3" s="277">
        <f>VLOOKUP(E$1,Members!$A$2:$AD$17,28,FALSE)</f>
        <v>5</v>
      </c>
      <c r="F3" s="277">
        <f>VLOOKUP(F$1,Members!$A$2:$AD$17,28,FALSE)</f>
        <v>7</v>
      </c>
      <c r="G3" s="277">
        <f>VLOOKUP(G$1,Members!$A$2:$AD$17,28,FALSE)</f>
        <v>6</v>
      </c>
      <c r="H3" s="277">
        <f>VLOOKUP(H$1,Members!$A$2:$AD$17,28,FALSE)</f>
        <v>4</v>
      </c>
      <c r="I3" s="277">
        <f>VLOOKUP(I$1,Members!$A$2:$AD$17,28,FALSE)</f>
        <v>4</v>
      </c>
      <c r="J3" s="277">
        <f>VLOOKUP(J$1,Members!$A$2:$AD$17,28,FALSE)</f>
        <v>5</v>
      </c>
      <c r="K3" s="277">
        <f>VLOOKUP(K$1,Members!$A$2:$AD$17,28,FALSE)</f>
        <v>2</v>
      </c>
      <c r="L3" s="277">
        <f>VLOOKUP(L$1,Members!$A$2:$AD$17,28,FALSE)</f>
        <v>3</v>
      </c>
      <c r="M3" s="277">
        <f>VLOOKUP(M$1,Members!$A$2:$AD$17,28,FALSE)</f>
        <v>3</v>
      </c>
      <c r="N3" s="277">
        <f>VLOOKUP(N$1,Members!$A$2:$AD$17,28,FALSE)</f>
        <v>6</v>
      </c>
      <c r="O3" s="277">
        <f>VLOOKUP(O$1,Members!$A$2:$AD$17,28,FALSE)</f>
        <v>3</v>
      </c>
      <c r="P3" s="277">
        <f>VLOOKUP(P$1,Members!$A$2:$AD$17,28,FALSE)</f>
        <v>7</v>
      </c>
      <c r="Q3" s="277">
        <f>VLOOKUP(Q$1,Members!$A$2:$AD$17,28,FALSE)</f>
        <v>6</v>
      </c>
      <c r="R3" s="277" t="s">
        <v>242</v>
      </c>
      <c r="S3" s="277" t="str">
        <f>INDEX(Members!$L$2:$V$17,MATCH($AA$2,Members!$A$2:$A$17,0),MATCH(R3,Members!$L$1:$V$1,0))</f>
        <v>+3</v>
      </c>
      <c r="T3" s="279" t="str">
        <f t="shared" si="0"/>
        <v>Dex (+3)</v>
      </c>
      <c r="U3" s="312">
        <v>0</v>
      </c>
      <c r="V3" s="311">
        <f t="shared" si="1"/>
        <v>9</v>
      </c>
      <c r="W3" s="273">
        <f t="shared" ca="1" si="2"/>
        <v>12</v>
      </c>
      <c r="X3" s="311">
        <f t="shared" ca="1" si="3"/>
        <v>21</v>
      </c>
      <c r="Y3" s="271"/>
      <c r="Z3" s="257"/>
      <c r="AA3" s="257"/>
      <c r="AB3" s="257"/>
    </row>
    <row r="4" spans="1:28" s="261" customFormat="1" ht="16.8" x14ac:dyDescent="0.3">
      <c r="A4" s="310" t="s">
        <v>40</v>
      </c>
      <c r="B4" s="309">
        <f>VLOOKUP(B$1,Members!$A$2:$AD$17,30,FALSE)</f>
        <v>6</v>
      </c>
      <c r="C4" s="309">
        <f>VLOOKUP(C$1,Members!$A$2:$AD$17,30,FALSE)</f>
        <v>6</v>
      </c>
      <c r="D4" s="309">
        <f>VLOOKUP(D$1,Members!$A$2:$AD$17,30,FALSE)</f>
        <v>4</v>
      </c>
      <c r="E4" s="309">
        <f>VLOOKUP(E$1,Members!$A$2:$AD$17,30,FALSE)</f>
        <v>6</v>
      </c>
      <c r="F4" s="309">
        <f>VLOOKUP(F$1,Members!$A$2:$AD$17,30,FALSE)</f>
        <v>7</v>
      </c>
      <c r="G4" s="309">
        <f>VLOOKUP(G$1,Members!$A$2:$AD$17,30,FALSE)</f>
        <v>9</v>
      </c>
      <c r="H4" s="309">
        <f>VLOOKUP(H$1,Members!$A$2:$AD$17,30,FALSE)</f>
        <v>5</v>
      </c>
      <c r="I4" s="309">
        <f>VLOOKUP(I$1,Members!$A$2:$AD$17,30,FALSE)</f>
        <v>7</v>
      </c>
      <c r="J4" s="309">
        <f>VLOOKUP(J$1,Members!$A$2:$AD$17,30,FALSE)</f>
        <v>8</v>
      </c>
      <c r="K4" s="309">
        <f>VLOOKUP(K$1,Members!$A$2:$AD$17,30,FALSE)</f>
        <v>6</v>
      </c>
      <c r="L4" s="309">
        <f>VLOOKUP(L$1,Members!$A$2:$AD$17,30,FALSE)</f>
        <v>6</v>
      </c>
      <c r="M4" s="309">
        <f>VLOOKUP(M$1,Members!$A$2:$AD$17,30,FALSE)</f>
        <v>6</v>
      </c>
      <c r="N4" s="309">
        <f>VLOOKUP(N$1,Members!$A$2:$AD$17,30,FALSE)</f>
        <v>6</v>
      </c>
      <c r="O4" s="309">
        <f>VLOOKUP(O$1,Members!$A$2:$AD$17,30,FALSE)</f>
        <v>6</v>
      </c>
      <c r="P4" s="309">
        <f>VLOOKUP(P$1,Members!$A$2:$AD$17,30,FALSE)</f>
        <v>3</v>
      </c>
      <c r="Q4" s="309">
        <f>VLOOKUP(Q$1,Members!$A$2:$AD$17,30,FALSE)</f>
        <v>3</v>
      </c>
      <c r="R4" s="309" t="s">
        <v>236</v>
      </c>
      <c r="S4" s="309" t="str">
        <f>INDEX(Members!$L$2:$V$17,MATCH($AA$2,Members!$A$2:$A$17,0),MATCH(R4,Members!$L$1:$V$1,0))</f>
        <v>+0</v>
      </c>
      <c r="T4" s="308" t="str">
        <f t="shared" si="0"/>
        <v>Wis (+0)</v>
      </c>
      <c r="U4" s="307">
        <v>0</v>
      </c>
      <c r="V4" s="306">
        <f t="shared" si="1"/>
        <v>6</v>
      </c>
      <c r="W4" s="273">
        <f t="shared" ca="1" si="2"/>
        <v>19</v>
      </c>
      <c r="X4" s="306">
        <f t="shared" ca="1" si="3"/>
        <v>25</v>
      </c>
      <c r="Y4" s="305"/>
      <c r="Z4" s="257"/>
      <c r="AB4" s="257"/>
    </row>
    <row r="5" spans="1:28" s="297" customFormat="1" ht="16.8" x14ac:dyDescent="0.3">
      <c r="A5" s="294" t="s">
        <v>301</v>
      </c>
      <c r="B5" s="277"/>
      <c r="C5" s="277"/>
      <c r="D5" s="277">
        <v>5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93" t="s">
        <v>238</v>
      </c>
      <c r="S5" s="292" t="str">
        <f>INDEX(Members!$L$2:$V$17,MATCH($AA$2,Members!$A$2:$A$17,0),MATCH(R5,Members!$L$1:$V$1,0))</f>
        <v>+3</v>
      </c>
      <c r="T5" s="291" t="str">
        <f t="shared" si="0"/>
        <v>Int (+3)</v>
      </c>
      <c r="U5" s="304" t="s">
        <v>256</v>
      </c>
      <c r="V5" s="272">
        <f t="shared" si="1"/>
        <v>3</v>
      </c>
      <c r="W5" s="273">
        <f t="shared" ca="1" si="2"/>
        <v>9</v>
      </c>
      <c r="X5" s="272">
        <f t="shared" ca="1" si="3"/>
        <v>12</v>
      </c>
      <c r="Y5" s="271"/>
      <c r="Z5" s="257"/>
      <c r="AB5" s="257"/>
    </row>
    <row r="6" spans="1:28" s="295" customFormat="1" ht="16.8" x14ac:dyDescent="0.3">
      <c r="A6" s="282" t="s">
        <v>300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81" t="s">
        <v>242</v>
      </c>
      <c r="S6" s="280" t="str">
        <f>INDEX(Members!$L$2:$V$17,MATCH($AA$2,Members!$A$2:$A$17,0),MATCH(R6,Members!$L$1:$V$1,0))</f>
        <v>+3</v>
      </c>
      <c r="T6" s="279" t="str">
        <f t="shared" si="0"/>
        <v>Dex (+3)</v>
      </c>
      <c r="U6" s="272" t="s">
        <v>256</v>
      </c>
      <c r="V6" s="272">
        <f t="shared" si="1"/>
        <v>3</v>
      </c>
      <c r="W6" s="273">
        <f t="shared" ca="1" si="2"/>
        <v>13</v>
      </c>
      <c r="X6" s="272">
        <f t="shared" ca="1" si="3"/>
        <v>16</v>
      </c>
      <c r="Y6" s="271"/>
      <c r="Z6" s="257"/>
    </row>
    <row r="7" spans="1:28" s="303" customFormat="1" ht="16.8" x14ac:dyDescent="0.3">
      <c r="A7" s="278" t="s">
        <v>299</v>
      </c>
      <c r="B7" s="277"/>
      <c r="C7" s="277">
        <v>12</v>
      </c>
      <c r="D7" s="277">
        <v>3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6" t="s">
        <v>234</v>
      </c>
      <c r="S7" s="275" t="str">
        <f>INDEX(Members!$L$2:$V$17,MATCH($AA$2,Members!$A$2:$A$17,0),MATCH(R7,Members!$L$1:$V$1,0))</f>
        <v>+2</v>
      </c>
      <c r="T7" s="274" t="str">
        <f t="shared" si="0"/>
        <v>Cha (+2)</v>
      </c>
      <c r="U7" s="272" t="s">
        <v>256</v>
      </c>
      <c r="V7" s="272">
        <f t="shared" si="1"/>
        <v>2</v>
      </c>
      <c r="W7" s="273">
        <f t="shared" ca="1" si="2"/>
        <v>6</v>
      </c>
      <c r="X7" s="272">
        <f t="shared" ca="1" si="3"/>
        <v>8</v>
      </c>
      <c r="Y7" s="271"/>
      <c r="Z7" s="257"/>
      <c r="AB7" s="295"/>
    </row>
    <row r="8" spans="1:28" s="298" customFormat="1" ht="16.8" x14ac:dyDescent="0.3">
      <c r="A8" s="286" t="s">
        <v>298</v>
      </c>
      <c r="B8" s="277"/>
      <c r="C8" s="277"/>
      <c r="D8" s="277"/>
      <c r="E8" s="277"/>
      <c r="F8" s="277"/>
      <c r="G8" s="277">
        <v>5</v>
      </c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85" t="s">
        <v>244</v>
      </c>
      <c r="S8" s="284" t="str">
        <f>INDEX(Members!$L$2:$V$17,MATCH($AA$2,Members!$A$2:$A$17,0),MATCH(R8,Members!$L$1:$V$1,0))</f>
        <v>+2</v>
      </c>
      <c r="T8" s="283" t="str">
        <f t="shared" si="0"/>
        <v>Str (+2)</v>
      </c>
      <c r="U8" s="272" t="s">
        <v>256</v>
      </c>
      <c r="V8" s="272">
        <f t="shared" si="1"/>
        <v>2</v>
      </c>
      <c r="W8" s="273">
        <f t="shared" ca="1" si="2"/>
        <v>11</v>
      </c>
      <c r="X8" s="272">
        <f t="shared" ca="1" si="3"/>
        <v>13</v>
      </c>
      <c r="Y8" s="271"/>
      <c r="Z8" s="257"/>
      <c r="AB8" s="295"/>
    </row>
    <row r="9" spans="1:28" s="298" customFormat="1" ht="16.8" x14ac:dyDescent="0.3">
      <c r="A9" s="302" t="s">
        <v>297</v>
      </c>
      <c r="B9" s="277">
        <v>12</v>
      </c>
      <c r="C9" s="277">
        <v>12</v>
      </c>
      <c r="D9" s="277">
        <v>6</v>
      </c>
      <c r="E9" s="277">
        <v>7</v>
      </c>
      <c r="F9" s="277">
        <v>6</v>
      </c>
      <c r="G9" s="277">
        <v>2</v>
      </c>
      <c r="H9" s="277">
        <v>1</v>
      </c>
      <c r="I9" s="277"/>
      <c r="J9" s="277"/>
      <c r="K9" s="277"/>
      <c r="L9" s="277"/>
      <c r="M9" s="277"/>
      <c r="N9" s="277"/>
      <c r="O9" s="277"/>
      <c r="P9" s="277"/>
      <c r="Q9" s="277"/>
      <c r="R9" s="301" t="s">
        <v>240</v>
      </c>
      <c r="S9" s="300" t="str">
        <f>INDEX(Members!$L$2:$V$17,MATCH($AA$2,Members!$A$2:$A$17,0),MATCH(R9,Members!$L$1:$V$1,0))</f>
        <v>+1</v>
      </c>
      <c r="T9" s="299" t="str">
        <f t="shared" si="0"/>
        <v>Con (+1)</v>
      </c>
      <c r="U9" s="272" t="s">
        <v>256</v>
      </c>
      <c r="V9" s="272">
        <f t="shared" si="1"/>
        <v>13</v>
      </c>
      <c r="W9" s="273">
        <f t="shared" ca="1" si="2"/>
        <v>20</v>
      </c>
      <c r="X9" s="272">
        <f t="shared" ca="1" si="3"/>
        <v>33</v>
      </c>
      <c r="Y9" s="271"/>
      <c r="Z9" s="257"/>
      <c r="AB9" s="295"/>
    </row>
    <row r="10" spans="1:28" s="297" customFormat="1" ht="16.8" x14ac:dyDescent="0.3">
      <c r="A10" s="294" t="s">
        <v>296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93" t="s">
        <v>238</v>
      </c>
      <c r="S10" s="292" t="str">
        <f>INDEX(Members!$L$2:$V$17,MATCH($AA$2,Members!$A$2:$A$17,0),MATCH(R10,Members!$L$1:$V$1,0))</f>
        <v>+3</v>
      </c>
      <c r="T10" s="291" t="str">
        <f t="shared" si="0"/>
        <v>Int (+3)</v>
      </c>
      <c r="U10" s="272" t="s">
        <v>256</v>
      </c>
      <c r="V10" s="272">
        <f t="shared" si="1"/>
        <v>3</v>
      </c>
      <c r="W10" s="273">
        <f t="shared" ca="1" si="2"/>
        <v>12</v>
      </c>
      <c r="X10" s="272">
        <f t="shared" ca="1" si="3"/>
        <v>15</v>
      </c>
      <c r="Y10" s="271"/>
      <c r="Z10" s="257"/>
      <c r="AB10" s="295"/>
    </row>
    <row r="11" spans="1:28" s="296" customFormat="1" ht="16.8" x14ac:dyDescent="0.3">
      <c r="A11" s="294" t="s">
        <v>295</v>
      </c>
      <c r="B11" s="277">
        <v>6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93" t="s">
        <v>238</v>
      </c>
      <c r="S11" s="292" t="str">
        <f>INDEX(Members!$L$2:$V$17,MATCH($AA$2,Members!$A$2:$A$17,0),MATCH(R11,Members!$L$1:$V$1,0))</f>
        <v>+3</v>
      </c>
      <c r="T11" s="291" t="str">
        <f t="shared" si="0"/>
        <v>Int (+3)</v>
      </c>
      <c r="U11" s="272" t="s">
        <v>256</v>
      </c>
      <c r="V11" s="272">
        <f t="shared" si="1"/>
        <v>9</v>
      </c>
      <c r="W11" s="273">
        <f t="shared" ca="1" si="2"/>
        <v>6</v>
      </c>
      <c r="X11" s="272">
        <f t="shared" ca="1" si="3"/>
        <v>15</v>
      </c>
      <c r="Y11" s="271"/>
      <c r="AB11" s="295"/>
    </row>
    <row r="12" spans="1:28" s="295" customFormat="1" ht="16.8" x14ac:dyDescent="0.3">
      <c r="A12" s="278" t="s">
        <v>294</v>
      </c>
      <c r="B12" s="277"/>
      <c r="C12" s="277">
        <v>9</v>
      </c>
      <c r="D12" s="277"/>
      <c r="E12" s="277"/>
      <c r="F12" s="277">
        <v>5</v>
      </c>
      <c r="G12" s="277">
        <v>4</v>
      </c>
      <c r="H12" s="277">
        <v>5</v>
      </c>
      <c r="I12" s="277"/>
      <c r="J12" s="277"/>
      <c r="K12" s="277"/>
      <c r="L12" s="277"/>
      <c r="M12" s="277"/>
      <c r="N12" s="277"/>
      <c r="O12" s="277"/>
      <c r="P12" s="277"/>
      <c r="Q12" s="277"/>
      <c r="R12" s="276" t="s">
        <v>234</v>
      </c>
      <c r="S12" s="275" t="str">
        <f>INDEX(Members!$L$2:$V$17,MATCH($AA$2,Members!$A$2:$A$17,0),MATCH(R12,Members!$L$1:$V$1,0))</f>
        <v>+2</v>
      </c>
      <c r="T12" s="274" t="str">
        <f t="shared" si="0"/>
        <v>Cha (+2)</v>
      </c>
      <c r="U12" s="272" t="s">
        <v>256</v>
      </c>
      <c r="V12" s="272">
        <f t="shared" si="1"/>
        <v>2</v>
      </c>
      <c r="W12" s="273">
        <f t="shared" ca="1" si="2"/>
        <v>3</v>
      </c>
      <c r="X12" s="272">
        <f t="shared" ca="1" si="3"/>
        <v>5</v>
      </c>
      <c r="Y12" s="271"/>
    </row>
    <row r="13" spans="1:28" s="295" customFormat="1" ht="16.8" x14ac:dyDescent="0.3">
      <c r="A13" s="294" t="s">
        <v>293</v>
      </c>
      <c r="B13" s="277"/>
      <c r="C13" s="277"/>
      <c r="D13" s="277">
        <v>6</v>
      </c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93" t="s">
        <v>238</v>
      </c>
      <c r="S13" s="292" t="str">
        <f>INDEX(Members!$L$2:$V$17,MATCH($AA$2,Members!$A$2:$A$17,0),MATCH(R13,Members!$L$1:$V$1,0))</f>
        <v>+3</v>
      </c>
      <c r="T13" s="291" t="str">
        <f t="shared" si="0"/>
        <v>Int (+3)</v>
      </c>
      <c r="U13" s="272" t="s">
        <v>256</v>
      </c>
      <c r="V13" s="272">
        <f t="shared" si="1"/>
        <v>3</v>
      </c>
      <c r="W13" s="273">
        <f t="shared" ca="1" si="2"/>
        <v>14</v>
      </c>
      <c r="X13" s="272">
        <f t="shared" ca="1" si="3"/>
        <v>17</v>
      </c>
      <c r="Y13" s="271"/>
    </row>
    <row r="14" spans="1:28" s="295" customFormat="1" ht="16.8" x14ac:dyDescent="0.3">
      <c r="A14" s="278" t="s">
        <v>292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6" t="s">
        <v>234</v>
      </c>
      <c r="S14" s="275" t="str">
        <f>INDEX(Members!$L$2:$V$17,MATCH($AA$2,Members!$A$2:$A$17,0),MATCH(R14,Members!$L$1:$V$1,0))</f>
        <v>+2</v>
      </c>
      <c r="T14" s="274" t="str">
        <f t="shared" si="0"/>
        <v>Cha (+2)</v>
      </c>
      <c r="U14" s="272" t="s">
        <v>256</v>
      </c>
      <c r="V14" s="272">
        <f t="shared" si="1"/>
        <v>2</v>
      </c>
      <c r="W14" s="273">
        <f t="shared" ca="1" si="2"/>
        <v>17</v>
      </c>
      <c r="X14" s="272">
        <f t="shared" ca="1" si="3"/>
        <v>19</v>
      </c>
      <c r="Y14" s="271"/>
    </row>
    <row r="15" spans="1:28" s="295" customFormat="1" ht="16.8" x14ac:dyDescent="0.3">
      <c r="A15" s="282" t="s">
        <v>291</v>
      </c>
      <c r="B15" s="277"/>
      <c r="C15" s="277"/>
      <c r="D15" s="277">
        <v>5</v>
      </c>
      <c r="E15" s="277"/>
      <c r="F15" s="277"/>
      <c r="G15" s="277">
        <v>4</v>
      </c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81" t="s">
        <v>242</v>
      </c>
      <c r="S15" s="280" t="str">
        <f>INDEX(Members!$L$2:$V$17,MATCH($AA$2,Members!$A$2:$A$17,0),MATCH(R15,Members!$L$1:$V$1,0))</f>
        <v>+3</v>
      </c>
      <c r="T15" s="279" t="str">
        <f t="shared" si="0"/>
        <v>Dex (+3)</v>
      </c>
      <c r="U15" s="272" t="s">
        <v>256</v>
      </c>
      <c r="V15" s="272">
        <f t="shared" si="1"/>
        <v>3</v>
      </c>
      <c r="W15" s="273">
        <f t="shared" ca="1" si="2"/>
        <v>13</v>
      </c>
      <c r="X15" s="272">
        <f t="shared" ca="1" si="3"/>
        <v>16</v>
      </c>
      <c r="Y15" s="271"/>
    </row>
    <row r="16" spans="1:28" s="295" customFormat="1" ht="16.8" x14ac:dyDescent="0.3">
      <c r="A16" s="294" t="s">
        <v>290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93" t="s">
        <v>238</v>
      </c>
      <c r="S16" s="292" t="str">
        <f>INDEX(Members!$L$2:$V$17,MATCH($AA$2,Members!$A$2:$A$17,0),MATCH(R16,Members!$L$1:$V$1,0))</f>
        <v>+3</v>
      </c>
      <c r="T16" s="291" t="str">
        <f t="shared" si="0"/>
        <v>Int (+3)</v>
      </c>
      <c r="U16" s="272" t="s">
        <v>256</v>
      </c>
      <c r="V16" s="272">
        <f t="shared" si="1"/>
        <v>3</v>
      </c>
      <c r="W16" s="273">
        <f t="shared" ca="1" si="2"/>
        <v>3</v>
      </c>
      <c r="X16" s="272">
        <f t="shared" ca="1" si="3"/>
        <v>6</v>
      </c>
      <c r="Y16" s="271"/>
    </row>
    <row r="17" spans="1:25" s="295" customFormat="1" ht="16.8" x14ac:dyDescent="0.3">
      <c r="A17" s="278" t="s">
        <v>289</v>
      </c>
      <c r="B17" s="277"/>
      <c r="C17" s="277"/>
      <c r="D17" s="277">
        <v>5</v>
      </c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6" t="s">
        <v>234</v>
      </c>
      <c r="S17" s="275" t="str">
        <f>INDEX(Members!$L$2:$V$17,MATCH($AA$2,Members!$A$2:$A$17,0),MATCH(R17,Members!$L$1:$V$1,0))</f>
        <v>+2</v>
      </c>
      <c r="T17" s="274" t="str">
        <f t="shared" si="0"/>
        <v>Cha (+2)</v>
      </c>
      <c r="U17" s="272" t="s">
        <v>256</v>
      </c>
      <c r="V17" s="272">
        <f t="shared" si="1"/>
        <v>2</v>
      </c>
      <c r="W17" s="273">
        <f t="shared" ca="1" si="2"/>
        <v>3</v>
      </c>
      <c r="X17" s="272">
        <f t="shared" ca="1" si="3"/>
        <v>5</v>
      </c>
      <c r="Y17" s="271"/>
    </row>
    <row r="18" spans="1:25" s="295" customFormat="1" ht="16.8" x14ac:dyDescent="0.3">
      <c r="A18" s="278" t="s">
        <v>288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6" t="s">
        <v>234</v>
      </c>
      <c r="S18" s="275" t="str">
        <f>INDEX(Members!$L$2:$V$17,MATCH($AA$2,Members!$A$2:$A$17,0),MATCH(R18,Members!$L$1:$V$1,0))</f>
        <v>+2</v>
      </c>
      <c r="T18" s="274" t="str">
        <f t="shared" si="0"/>
        <v>Cha (+2)</v>
      </c>
      <c r="U18" s="272" t="s">
        <v>256</v>
      </c>
      <c r="V18" s="272">
        <f t="shared" si="1"/>
        <v>2</v>
      </c>
      <c r="W18" s="273">
        <f t="shared" ca="1" si="2"/>
        <v>20</v>
      </c>
      <c r="X18" s="272">
        <f t="shared" ca="1" si="3"/>
        <v>22</v>
      </c>
      <c r="Y18" s="271"/>
    </row>
    <row r="19" spans="1:25" s="295" customFormat="1" ht="16.8" x14ac:dyDescent="0.3">
      <c r="A19" s="290" t="s">
        <v>287</v>
      </c>
      <c r="B19" s="277"/>
      <c r="C19" s="277"/>
      <c r="D19" s="277"/>
      <c r="E19" s="277"/>
      <c r="F19" s="277">
        <v>12</v>
      </c>
      <c r="G19" s="277"/>
      <c r="H19" s="277">
        <v>8</v>
      </c>
      <c r="I19" s="277"/>
      <c r="J19" s="277"/>
      <c r="K19" s="277"/>
      <c r="L19" s="277"/>
      <c r="M19" s="277"/>
      <c r="N19" s="277"/>
      <c r="O19" s="277"/>
      <c r="P19" s="277"/>
      <c r="Q19" s="277"/>
      <c r="R19" s="289" t="s">
        <v>236</v>
      </c>
      <c r="S19" s="288" t="str">
        <f>INDEX(Members!$L$2:$V$17,MATCH($AA$2,Members!$A$2:$A$17,0),MATCH(R19,Members!$L$1:$V$1,0))</f>
        <v>+0</v>
      </c>
      <c r="T19" s="287" t="str">
        <f t="shared" si="0"/>
        <v>Wis (+0)</v>
      </c>
      <c r="U19" s="272" t="s">
        <v>256</v>
      </c>
      <c r="V19" s="272">
        <f t="shared" si="1"/>
        <v>0</v>
      </c>
      <c r="W19" s="273">
        <f t="shared" ca="1" si="2"/>
        <v>12</v>
      </c>
      <c r="X19" s="272">
        <f t="shared" ca="1" si="3"/>
        <v>12</v>
      </c>
      <c r="Y19" s="271"/>
    </row>
    <row r="20" spans="1:25" s="295" customFormat="1" ht="16.8" x14ac:dyDescent="0.3">
      <c r="A20" s="282" t="s">
        <v>286</v>
      </c>
      <c r="B20" s="277"/>
      <c r="C20" s="277"/>
      <c r="D20" s="277">
        <v>3</v>
      </c>
      <c r="E20" s="277"/>
      <c r="F20" s="277"/>
      <c r="G20" s="277">
        <v>5</v>
      </c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81" t="s">
        <v>242</v>
      </c>
      <c r="S20" s="280" t="str">
        <f>INDEX(Members!$L$2:$V$17,MATCH($AA$2,Members!$A$2:$A$17,0),MATCH(R20,Members!$L$1:$V$1,0))</f>
        <v>+3</v>
      </c>
      <c r="T20" s="279" t="str">
        <f t="shared" si="0"/>
        <v>Dex (+3)</v>
      </c>
      <c r="U20" s="272" t="s">
        <v>256</v>
      </c>
      <c r="V20" s="272">
        <f t="shared" si="1"/>
        <v>3</v>
      </c>
      <c r="W20" s="273">
        <f t="shared" ca="1" si="2"/>
        <v>13</v>
      </c>
      <c r="X20" s="272">
        <f t="shared" ca="1" si="3"/>
        <v>16</v>
      </c>
      <c r="Y20" s="271"/>
    </row>
    <row r="21" spans="1:25" s="295" customFormat="1" ht="16.8" x14ac:dyDescent="0.3">
      <c r="A21" s="278" t="s">
        <v>285</v>
      </c>
      <c r="B21" s="277"/>
      <c r="C21" s="277">
        <v>12</v>
      </c>
      <c r="D21" s="277"/>
      <c r="E21" s="277">
        <v>5</v>
      </c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6" t="s">
        <v>234</v>
      </c>
      <c r="S21" s="275" t="str">
        <f>INDEX(Members!$L$2:$V$17,MATCH($AA$2,Members!$A$2:$A$17,0),MATCH(R21,Members!$L$1:$V$1,0))</f>
        <v>+2</v>
      </c>
      <c r="T21" s="274" t="str">
        <f t="shared" si="0"/>
        <v>Cha (+2)</v>
      </c>
      <c r="U21" s="272" t="s">
        <v>256</v>
      </c>
      <c r="V21" s="272">
        <f t="shared" si="1"/>
        <v>2</v>
      </c>
      <c r="W21" s="273">
        <f t="shared" ca="1" si="2"/>
        <v>4</v>
      </c>
      <c r="X21" s="272">
        <f t="shared" ca="1" si="3"/>
        <v>6</v>
      </c>
      <c r="Y21" s="271"/>
    </row>
    <row r="22" spans="1:25" s="295" customFormat="1" ht="16.8" x14ac:dyDescent="0.3">
      <c r="A22" s="286" t="s">
        <v>284</v>
      </c>
      <c r="B22" s="277"/>
      <c r="C22" s="277"/>
      <c r="D22" s="277">
        <v>1</v>
      </c>
      <c r="E22" s="277"/>
      <c r="F22" s="277"/>
      <c r="G22" s="277">
        <v>12</v>
      </c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85" t="s">
        <v>244</v>
      </c>
      <c r="S22" s="284" t="str">
        <f>INDEX(Members!$L$2:$V$17,MATCH($AA$2,Members!$A$2:$A$17,0),MATCH(R22,Members!$L$1:$V$1,0))</f>
        <v>+2</v>
      </c>
      <c r="T22" s="283" t="str">
        <f t="shared" si="0"/>
        <v>Str (+2)</v>
      </c>
      <c r="U22" s="272" t="s">
        <v>256</v>
      </c>
      <c r="V22" s="272">
        <f t="shared" si="1"/>
        <v>2</v>
      </c>
      <c r="W22" s="273">
        <f t="shared" ca="1" si="2"/>
        <v>6</v>
      </c>
      <c r="X22" s="272">
        <f t="shared" ca="1" si="3"/>
        <v>8</v>
      </c>
      <c r="Y22" s="271"/>
    </row>
    <row r="23" spans="1:25" s="295" customFormat="1" ht="16.8" x14ac:dyDescent="0.3">
      <c r="A23" s="294" t="s">
        <v>283</v>
      </c>
      <c r="B23" s="277">
        <v>9</v>
      </c>
      <c r="C23" s="277"/>
      <c r="D23" s="277">
        <v>2</v>
      </c>
      <c r="E23" s="277">
        <v>2</v>
      </c>
      <c r="F23" s="277">
        <v>1</v>
      </c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93" t="s">
        <v>238</v>
      </c>
      <c r="S23" s="292" t="str">
        <f>INDEX(Members!$L$2:$V$17,MATCH($AA$2,Members!$A$2:$A$17,0),MATCH(R23,Members!$L$1:$V$1,0))</f>
        <v>+3</v>
      </c>
      <c r="T23" s="291" t="str">
        <f t="shared" si="0"/>
        <v>Int (+3)</v>
      </c>
      <c r="U23" s="272" t="s">
        <v>256</v>
      </c>
      <c r="V23" s="272">
        <f t="shared" si="1"/>
        <v>12</v>
      </c>
      <c r="W23" s="273">
        <f t="shared" ca="1" si="2"/>
        <v>16</v>
      </c>
      <c r="X23" s="272">
        <f t="shared" ca="1" si="3"/>
        <v>28</v>
      </c>
      <c r="Y23" s="271"/>
    </row>
    <row r="24" spans="1:25" s="295" customFormat="1" ht="16.8" x14ac:dyDescent="0.3">
      <c r="A24" s="294" t="s">
        <v>282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93" t="s">
        <v>238</v>
      </c>
      <c r="S24" s="292" t="str">
        <f>INDEX(Members!$L$2:$V$17,MATCH($AA$2,Members!$A$2:$A$17,0),MATCH(R24,Members!$L$1:$V$1,0))</f>
        <v>+3</v>
      </c>
      <c r="T24" s="291" t="str">
        <f t="shared" si="0"/>
        <v>Int (+3)</v>
      </c>
      <c r="U24" s="272" t="s">
        <v>256</v>
      </c>
      <c r="V24" s="272">
        <f t="shared" si="1"/>
        <v>3</v>
      </c>
      <c r="W24" s="273">
        <f t="shared" ca="1" si="2"/>
        <v>18</v>
      </c>
      <c r="X24" s="272">
        <f t="shared" ca="1" si="3"/>
        <v>21</v>
      </c>
      <c r="Y24" s="271"/>
    </row>
    <row r="25" spans="1:25" s="295" customFormat="1" ht="16.8" x14ac:dyDescent="0.3">
      <c r="A25" s="294" t="s">
        <v>281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93" t="s">
        <v>238</v>
      </c>
      <c r="S25" s="292" t="str">
        <f>INDEX(Members!$L$2:$V$17,MATCH($AA$2,Members!$A$2:$A$17,0),MATCH(R25,Members!$L$1:$V$1,0))</f>
        <v>+3</v>
      </c>
      <c r="T25" s="291" t="str">
        <f t="shared" si="0"/>
        <v>Int (+3)</v>
      </c>
      <c r="U25" s="272" t="s">
        <v>256</v>
      </c>
      <c r="V25" s="272">
        <f t="shared" si="1"/>
        <v>3</v>
      </c>
      <c r="W25" s="273">
        <f t="shared" ca="1" si="2"/>
        <v>5</v>
      </c>
      <c r="X25" s="272">
        <f t="shared" ca="1" si="3"/>
        <v>8</v>
      </c>
      <c r="Y25" s="271"/>
    </row>
    <row r="26" spans="1:25" s="295" customFormat="1" ht="16.8" x14ac:dyDescent="0.3">
      <c r="A26" s="294" t="s">
        <v>280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93" t="s">
        <v>238</v>
      </c>
      <c r="S26" s="292" t="str">
        <f>INDEX(Members!$L$2:$V$17,MATCH($AA$2,Members!$A$2:$A$17,0),MATCH(R26,Members!$L$1:$V$1,0))</f>
        <v>+3</v>
      </c>
      <c r="T26" s="291" t="str">
        <f t="shared" si="0"/>
        <v>Int (+3)</v>
      </c>
      <c r="U26" s="272" t="s">
        <v>256</v>
      </c>
      <c r="V26" s="272">
        <f t="shared" si="1"/>
        <v>3</v>
      </c>
      <c r="W26" s="273">
        <f t="shared" ca="1" si="2"/>
        <v>15</v>
      </c>
      <c r="X26" s="272">
        <f t="shared" ca="1" si="3"/>
        <v>18</v>
      </c>
      <c r="Y26" s="271"/>
    </row>
    <row r="27" spans="1:25" s="295" customFormat="1" ht="16.8" x14ac:dyDescent="0.3">
      <c r="A27" s="294" t="s">
        <v>279</v>
      </c>
      <c r="B27" s="277"/>
      <c r="C27" s="277"/>
      <c r="D27" s="277"/>
      <c r="E27" s="277">
        <v>7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93" t="s">
        <v>238</v>
      </c>
      <c r="S27" s="292" t="str">
        <f>INDEX(Members!$L$2:$V$17,MATCH($AA$2,Members!$A$2:$A$17,0),MATCH(R27,Members!$L$1:$V$1,0))</f>
        <v>+3</v>
      </c>
      <c r="T27" s="291" t="str">
        <f t="shared" si="0"/>
        <v>Int (+3)</v>
      </c>
      <c r="U27" s="272" t="s">
        <v>256</v>
      </c>
      <c r="V27" s="272">
        <f t="shared" si="1"/>
        <v>3</v>
      </c>
      <c r="W27" s="273">
        <f t="shared" ca="1" si="2"/>
        <v>19</v>
      </c>
      <c r="X27" s="272">
        <f t="shared" ca="1" si="3"/>
        <v>22</v>
      </c>
      <c r="Y27" s="271"/>
    </row>
    <row r="28" spans="1:25" s="295" customFormat="1" ht="16.8" x14ac:dyDescent="0.3">
      <c r="A28" s="294" t="s">
        <v>278</v>
      </c>
      <c r="B28" s="277"/>
      <c r="C28" s="277"/>
      <c r="D28" s="277">
        <v>5</v>
      </c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93" t="s">
        <v>238</v>
      </c>
      <c r="S28" s="292" t="str">
        <f>INDEX(Members!$L$2:$V$17,MATCH($AA$2,Members!$A$2:$A$17,0),MATCH(R28,Members!$L$1:$V$1,0))</f>
        <v>+3</v>
      </c>
      <c r="T28" s="291" t="str">
        <f t="shared" si="0"/>
        <v>Int (+3)</v>
      </c>
      <c r="U28" s="272" t="s">
        <v>256</v>
      </c>
      <c r="V28" s="272">
        <f t="shared" si="1"/>
        <v>3</v>
      </c>
      <c r="W28" s="273">
        <f t="shared" ca="1" si="2"/>
        <v>13</v>
      </c>
      <c r="X28" s="272">
        <f t="shared" ca="1" si="3"/>
        <v>16</v>
      </c>
      <c r="Y28" s="271"/>
    </row>
    <row r="29" spans="1:25" s="295" customFormat="1" ht="16.8" x14ac:dyDescent="0.3">
      <c r="A29" s="294" t="s">
        <v>277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93" t="s">
        <v>238</v>
      </c>
      <c r="S29" s="292" t="str">
        <f>INDEX(Members!$L$2:$V$17,MATCH($AA$2,Members!$A$2:$A$17,0),MATCH(R29,Members!$L$1:$V$1,0))</f>
        <v>+3</v>
      </c>
      <c r="T29" s="291" t="str">
        <f t="shared" si="0"/>
        <v>Int (+3)</v>
      </c>
      <c r="U29" s="272" t="s">
        <v>256</v>
      </c>
      <c r="V29" s="272">
        <f t="shared" si="1"/>
        <v>3</v>
      </c>
      <c r="W29" s="273">
        <f t="shared" ca="1" si="2"/>
        <v>11</v>
      </c>
      <c r="X29" s="272">
        <f t="shared" ca="1" si="3"/>
        <v>14</v>
      </c>
      <c r="Y29" s="271"/>
    </row>
    <row r="30" spans="1:25" s="295" customFormat="1" ht="16.8" x14ac:dyDescent="0.3">
      <c r="A30" s="294" t="s">
        <v>276</v>
      </c>
      <c r="B30" s="277"/>
      <c r="C30" s="277"/>
      <c r="D30" s="277"/>
      <c r="E30" s="277"/>
      <c r="F30" s="277"/>
      <c r="G30" s="277"/>
      <c r="H30" s="277">
        <v>3</v>
      </c>
      <c r="I30" s="277"/>
      <c r="J30" s="277"/>
      <c r="K30" s="277"/>
      <c r="L30" s="277"/>
      <c r="M30" s="277"/>
      <c r="N30" s="277"/>
      <c r="O30" s="277"/>
      <c r="P30" s="277"/>
      <c r="Q30" s="277"/>
      <c r="R30" s="293" t="s">
        <v>238</v>
      </c>
      <c r="S30" s="292" t="str">
        <f>INDEX(Members!$L$2:$V$17,MATCH($AA$2,Members!$A$2:$A$17,0),MATCH(R30,Members!$L$1:$V$1,0))</f>
        <v>+3</v>
      </c>
      <c r="T30" s="291" t="str">
        <f t="shared" si="0"/>
        <v>Int (+3)</v>
      </c>
      <c r="U30" s="272" t="s">
        <v>256</v>
      </c>
      <c r="V30" s="272">
        <f t="shared" si="1"/>
        <v>3</v>
      </c>
      <c r="W30" s="273">
        <f t="shared" ca="1" si="2"/>
        <v>9</v>
      </c>
      <c r="X30" s="272">
        <f t="shared" ca="1" si="3"/>
        <v>12</v>
      </c>
      <c r="Y30" s="271"/>
    </row>
    <row r="31" spans="1:25" s="295" customFormat="1" ht="16.8" x14ac:dyDescent="0.3">
      <c r="A31" s="294" t="s">
        <v>275</v>
      </c>
      <c r="B31" s="277"/>
      <c r="C31" s="277"/>
      <c r="D31" s="277"/>
      <c r="E31" s="277"/>
      <c r="F31" s="277"/>
      <c r="G31" s="277">
        <v>1</v>
      </c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93" t="s">
        <v>238</v>
      </c>
      <c r="S31" s="292" t="str">
        <f>INDEX(Members!$L$2:$V$17,MATCH($AA$2,Members!$A$2:$A$17,0),MATCH(R31,Members!$L$1:$V$1,0))</f>
        <v>+3</v>
      </c>
      <c r="T31" s="291" t="str">
        <f t="shared" si="0"/>
        <v>Int (+3)</v>
      </c>
      <c r="U31" s="272" t="s">
        <v>256</v>
      </c>
      <c r="V31" s="272">
        <f t="shared" si="1"/>
        <v>3</v>
      </c>
      <c r="W31" s="273">
        <f t="shared" ca="1" si="2"/>
        <v>7</v>
      </c>
      <c r="X31" s="272">
        <f t="shared" ca="1" si="3"/>
        <v>10</v>
      </c>
      <c r="Y31" s="271"/>
    </row>
    <row r="32" spans="1:25" s="295" customFormat="1" ht="16.8" x14ac:dyDescent="0.3">
      <c r="A32" s="294" t="s">
        <v>274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93" t="s">
        <v>238</v>
      </c>
      <c r="S32" s="292" t="str">
        <f>INDEX(Members!$L$2:$V$17,MATCH($AA$2,Members!$A$2:$A$17,0),MATCH(R32,Members!$L$1:$V$1,0))</f>
        <v>+3</v>
      </c>
      <c r="T32" s="291" t="str">
        <f t="shared" si="0"/>
        <v>Int (+3)</v>
      </c>
      <c r="U32" s="272" t="s">
        <v>256</v>
      </c>
      <c r="V32" s="272">
        <f t="shared" si="1"/>
        <v>3</v>
      </c>
      <c r="W32" s="273">
        <f t="shared" ca="1" si="2"/>
        <v>16</v>
      </c>
      <c r="X32" s="272">
        <f t="shared" ca="1" si="3"/>
        <v>19</v>
      </c>
      <c r="Y32" s="271"/>
    </row>
    <row r="33" spans="1:25" s="295" customFormat="1" ht="16.8" x14ac:dyDescent="0.3">
      <c r="A33" s="290" t="s">
        <v>273</v>
      </c>
      <c r="B33" s="277"/>
      <c r="C33" s="277"/>
      <c r="D33" s="277">
        <v>5</v>
      </c>
      <c r="E33" s="277"/>
      <c r="F33" s="277"/>
      <c r="G33" s="277">
        <v>2</v>
      </c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89" t="s">
        <v>236</v>
      </c>
      <c r="S33" s="288" t="str">
        <f>INDEX(Members!$L$2:$V$17,MATCH($AA$2,Members!$A$2:$A$17,0),MATCH(R33,Members!$L$1:$V$1,0))</f>
        <v>+0</v>
      </c>
      <c r="T33" s="287" t="str">
        <f t="shared" si="0"/>
        <v>Wis (+0)</v>
      </c>
      <c r="U33" s="272" t="s">
        <v>256</v>
      </c>
      <c r="V33" s="272">
        <f t="shared" si="1"/>
        <v>0</v>
      </c>
      <c r="W33" s="273">
        <f t="shared" ca="1" si="2"/>
        <v>19</v>
      </c>
      <c r="X33" s="272">
        <f t="shared" ca="1" si="3"/>
        <v>19</v>
      </c>
      <c r="Y33" s="271"/>
    </row>
    <row r="34" spans="1:25" s="295" customFormat="1" ht="16.8" x14ac:dyDescent="0.3">
      <c r="A34" s="282" t="s">
        <v>272</v>
      </c>
      <c r="B34" s="277"/>
      <c r="C34" s="277"/>
      <c r="D34" s="277">
        <v>5</v>
      </c>
      <c r="E34" s="277"/>
      <c r="F34" s="277"/>
      <c r="G34" s="277">
        <v>1</v>
      </c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81" t="s">
        <v>242</v>
      </c>
      <c r="S34" s="280" t="str">
        <f>INDEX(Members!$L$2:$V$17,MATCH($AA$2,Members!$A$2:$A$17,0),MATCH(R34,Members!$L$1:$V$1,0))</f>
        <v>+3</v>
      </c>
      <c r="T34" s="279" t="str">
        <f t="shared" si="0"/>
        <v>Dex (+3)</v>
      </c>
      <c r="U34" s="272" t="s">
        <v>256</v>
      </c>
      <c r="V34" s="272">
        <f t="shared" si="1"/>
        <v>3</v>
      </c>
      <c r="W34" s="273">
        <f t="shared" ca="1" si="2"/>
        <v>17</v>
      </c>
      <c r="X34" s="272">
        <f t="shared" ca="1" si="3"/>
        <v>20</v>
      </c>
      <c r="Y34" s="271"/>
    </row>
    <row r="35" spans="1:25" s="295" customFormat="1" ht="16.8" x14ac:dyDescent="0.3">
      <c r="A35" s="282" t="s">
        <v>271</v>
      </c>
      <c r="B35" s="277"/>
      <c r="C35" s="277"/>
      <c r="D35" s="277">
        <v>6</v>
      </c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81" t="s">
        <v>242</v>
      </c>
      <c r="S35" s="280" t="str">
        <f>INDEX(Members!$L$2:$V$17,MATCH($AA$2,Members!$A$2:$A$17,0),MATCH(R35,Members!$L$1:$V$1,0))</f>
        <v>+3</v>
      </c>
      <c r="T35" s="279" t="str">
        <f t="shared" si="0"/>
        <v>Dex (+3)</v>
      </c>
      <c r="U35" s="272" t="s">
        <v>256</v>
      </c>
      <c r="V35" s="272">
        <f t="shared" si="1"/>
        <v>3</v>
      </c>
      <c r="W35" s="273">
        <f t="shared" ca="1" si="2"/>
        <v>13</v>
      </c>
      <c r="X35" s="272">
        <f t="shared" ca="1" si="3"/>
        <v>16</v>
      </c>
      <c r="Y35" s="271"/>
    </row>
    <row r="36" spans="1:25" ht="16.8" x14ac:dyDescent="0.3">
      <c r="A36" s="278" t="s">
        <v>270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6" t="s">
        <v>234</v>
      </c>
      <c r="S36" s="275" t="str">
        <f>INDEX(Members!$L$2:$V$17,MATCH($AA$2,Members!$A$2:$A$17,0),MATCH(R36,Members!$L$1:$V$1,0))</f>
        <v>+2</v>
      </c>
      <c r="T36" s="274" t="str">
        <f t="shared" si="0"/>
        <v>Cha (+2)</v>
      </c>
      <c r="U36" s="272" t="s">
        <v>256</v>
      </c>
      <c r="V36" s="272">
        <f t="shared" si="1"/>
        <v>2</v>
      </c>
      <c r="W36" s="273">
        <f t="shared" ca="1" si="2"/>
        <v>7</v>
      </c>
      <c r="X36" s="272">
        <f t="shared" ca="1" si="3"/>
        <v>9</v>
      </c>
      <c r="Y36" s="271"/>
    </row>
    <row r="37" spans="1:25" ht="16.8" x14ac:dyDescent="0.3">
      <c r="A37" s="278" t="s">
        <v>269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89" t="s">
        <v>236</v>
      </c>
      <c r="S37" s="288" t="str">
        <f>INDEX(Members!$L$2:$V$17,MATCH($AA$2,Members!$A$2:$A$17,0),MATCH(R37,Members!$L$1:$V$1,0))</f>
        <v>+0</v>
      </c>
      <c r="T37" s="287" t="str">
        <f t="shared" si="0"/>
        <v>Wis (+0)</v>
      </c>
      <c r="U37" s="272" t="s">
        <v>256</v>
      </c>
      <c r="V37" s="272">
        <f t="shared" si="1"/>
        <v>0</v>
      </c>
      <c r="W37" s="273">
        <f t="shared" ca="1" si="2"/>
        <v>14</v>
      </c>
      <c r="X37" s="272">
        <f t="shared" ca="1" si="3"/>
        <v>14</v>
      </c>
      <c r="Y37" s="271"/>
    </row>
    <row r="38" spans="1:25" ht="16.8" x14ac:dyDescent="0.3">
      <c r="A38" s="282" t="s">
        <v>268</v>
      </c>
      <c r="B38" s="277"/>
      <c r="C38" s="277"/>
      <c r="D38" s="277"/>
      <c r="E38" s="277"/>
      <c r="F38" s="277"/>
      <c r="G38" s="277"/>
      <c r="H38" s="277">
        <v>12</v>
      </c>
      <c r="I38" s="277"/>
      <c r="J38" s="277"/>
      <c r="K38" s="277"/>
      <c r="L38" s="277"/>
      <c r="M38" s="277"/>
      <c r="N38" s="277"/>
      <c r="O38" s="277"/>
      <c r="P38" s="277"/>
      <c r="Q38" s="277"/>
      <c r="R38" s="281" t="s">
        <v>242</v>
      </c>
      <c r="S38" s="280" t="str">
        <f>INDEX(Members!$L$2:$V$17,MATCH($AA$2,Members!$A$2:$A$17,0),MATCH(R38,Members!$L$1:$V$1,0))</f>
        <v>+3</v>
      </c>
      <c r="T38" s="279" t="str">
        <f t="shared" si="0"/>
        <v>Dex (+3)</v>
      </c>
      <c r="U38" s="272" t="s">
        <v>256</v>
      </c>
      <c r="V38" s="272">
        <f t="shared" si="1"/>
        <v>3</v>
      </c>
      <c r="W38" s="273">
        <f t="shared" ca="1" si="2"/>
        <v>6</v>
      </c>
      <c r="X38" s="272">
        <f t="shared" ca="1" si="3"/>
        <v>9</v>
      </c>
      <c r="Y38" s="271"/>
    </row>
    <row r="39" spans="1:25" ht="16.8" x14ac:dyDescent="0.3">
      <c r="A39" s="294" t="s">
        <v>267</v>
      </c>
      <c r="B39" s="277"/>
      <c r="C39" s="277"/>
      <c r="D39" s="277">
        <v>4</v>
      </c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93" t="s">
        <v>238</v>
      </c>
      <c r="S39" s="292" t="str">
        <f>INDEX(Members!$L$2:$V$17,MATCH($AA$2,Members!$A$2:$A$17,0),MATCH(R39,Members!$L$1:$V$1,0))</f>
        <v>+3</v>
      </c>
      <c r="T39" s="291" t="str">
        <f t="shared" si="0"/>
        <v>Int (+3)</v>
      </c>
      <c r="U39" s="272" t="s">
        <v>256</v>
      </c>
      <c r="V39" s="272">
        <f t="shared" si="1"/>
        <v>3</v>
      </c>
      <c r="W39" s="273">
        <f t="shared" ca="1" si="2"/>
        <v>13</v>
      </c>
      <c r="X39" s="272">
        <f t="shared" ca="1" si="3"/>
        <v>16</v>
      </c>
      <c r="Y39" s="271"/>
    </row>
    <row r="40" spans="1:25" ht="16.8" x14ac:dyDescent="0.3">
      <c r="A40" s="290" t="s">
        <v>266</v>
      </c>
      <c r="B40" s="277"/>
      <c r="C40" s="277"/>
      <c r="D40" s="277"/>
      <c r="E40" s="277"/>
      <c r="F40" s="277">
        <v>12</v>
      </c>
      <c r="G40" s="277">
        <v>2</v>
      </c>
      <c r="H40" s="277">
        <v>1</v>
      </c>
      <c r="I40" s="277"/>
      <c r="J40" s="277"/>
      <c r="K40" s="277"/>
      <c r="L40" s="277"/>
      <c r="M40" s="277"/>
      <c r="N40" s="277"/>
      <c r="O40" s="277"/>
      <c r="P40" s="277"/>
      <c r="Q40" s="277"/>
      <c r="R40" s="289" t="s">
        <v>236</v>
      </c>
      <c r="S40" s="288" t="str">
        <f>INDEX(Members!$L$2:$V$17,MATCH($AA$2,Members!$A$2:$A$17,0),MATCH(R40,Members!$L$1:$V$1,0))</f>
        <v>+0</v>
      </c>
      <c r="T40" s="287" t="str">
        <f t="shared" si="0"/>
        <v>Wis (+0)</v>
      </c>
      <c r="U40" s="272" t="s">
        <v>256</v>
      </c>
      <c r="V40" s="272">
        <f t="shared" si="1"/>
        <v>0</v>
      </c>
      <c r="W40" s="273">
        <f t="shared" ca="1" si="2"/>
        <v>8</v>
      </c>
      <c r="X40" s="272">
        <f t="shared" ca="1" si="3"/>
        <v>8</v>
      </c>
      <c r="Y40" s="271"/>
    </row>
    <row r="41" spans="1:25" ht="16.8" x14ac:dyDescent="0.3">
      <c r="A41" s="282" t="s">
        <v>265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81" t="s">
        <v>242</v>
      </c>
      <c r="S41" s="280" t="str">
        <f>INDEX(Members!$L$2:$V$17,MATCH($AA$2,Members!$A$2:$A$17,0),MATCH(R41,Members!$L$1:$V$1,0))</f>
        <v>+3</v>
      </c>
      <c r="T41" s="279" t="str">
        <f t="shared" si="0"/>
        <v>Dex (+3)</v>
      </c>
      <c r="U41" s="272" t="s">
        <v>256</v>
      </c>
      <c r="V41" s="272">
        <f t="shared" si="1"/>
        <v>3</v>
      </c>
      <c r="W41" s="273">
        <f t="shared" ca="1" si="2"/>
        <v>11</v>
      </c>
      <c r="X41" s="272">
        <f t="shared" ca="1" si="3"/>
        <v>14</v>
      </c>
      <c r="Y41" s="271"/>
    </row>
    <row r="42" spans="1:25" ht="16.8" x14ac:dyDescent="0.3">
      <c r="A42" s="294" t="s">
        <v>264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93" t="s">
        <v>238</v>
      </c>
      <c r="S42" s="292" t="str">
        <f>INDEX(Members!$L$2:$V$17,MATCH($AA$2,Members!$A$2:$A$17,0),MATCH(R42,Members!$L$1:$V$1,0))</f>
        <v>+3</v>
      </c>
      <c r="T42" s="291" t="str">
        <f t="shared" si="0"/>
        <v>Int (+3)</v>
      </c>
      <c r="U42" s="272" t="s">
        <v>256</v>
      </c>
      <c r="V42" s="272">
        <f t="shared" si="1"/>
        <v>3</v>
      </c>
      <c r="W42" s="273">
        <f t="shared" ca="1" si="2"/>
        <v>16</v>
      </c>
      <c r="X42" s="272">
        <f t="shared" ca="1" si="3"/>
        <v>19</v>
      </c>
      <c r="Y42" s="271"/>
    </row>
    <row r="43" spans="1:25" ht="16.8" x14ac:dyDescent="0.3">
      <c r="A43" s="294" t="s">
        <v>263</v>
      </c>
      <c r="B43" s="277">
        <v>12</v>
      </c>
      <c r="C43" s="277">
        <v>12</v>
      </c>
      <c r="D43" s="277">
        <v>6</v>
      </c>
      <c r="E43" s="277">
        <v>9</v>
      </c>
      <c r="F43" s="277">
        <v>12</v>
      </c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93" t="s">
        <v>238</v>
      </c>
      <c r="S43" s="292" t="str">
        <f>INDEX(Members!$L$2:$V$17,MATCH($AA$2,Members!$A$2:$A$17,0),MATCH(R43,Members!$L$1:$V$1,0))</f>
        <v>+3</v>
      </c>
      <c r="T43" s="291" t="str">
        <f t="shared" si="0"/>
        <v>Int (+3)</v>
      </c>
      <c r="U43" s="272" t="s">
        <v>256</v>
      </c>
      <c r="V43" s="272">
        <f t="shared" si="1"/>
        <v>15</v>
      </c>
      <c r="W43" s="273">
        <f t="shared" ca="1" si="2"/>
        <v>19</v>
      </c>
      <c r="X43" s="272">
        <f t="shared" ca="1" si="3"/>
        <v>34</v>
      </c>
      <c r="Y43" s="271"/>
    </row>
    <row r="44" spans="1:25" ht="16.8" x14ac:dyDescent="0.3">
      <c r="A44" s="290" t="s">
        <v>262</v>
      </c>
      <c r="B44" s="277"/>
      <c r="C44" s="277"/>
      <c r="D44" s="277">
        <v>11</v>
      </c>
      <c r="E44" s="277"/>
      <c r="F44" s="277"/>
      <c r="G44" s="277">
        <v>3</v>
      </c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89" t="s">
        <v>236</v>
      </c>
      <c r="S44" s="288" t="str">
        <f>INDEX(Members!$L$2:$V$17,MATCH($AA$2,Members!$A$2:$A$17,0),MATCH(R44,Members!$L$1:$V$1,0))</f>
        <v>+0</v>
      </c>
      <c r="T44" s="287" t="str">
        <f t="shared" si="0"/>
        <v>Wis (+0)</v>
      </c>
      <c r="U44" s="272" t="s">
        <v>256</v>
      </c>
      <c r="V44" s="272">
        <f t="shared" si="1"/>
        <v>0</v>
      </c>
      <c r="W44" s="273">
        <f t="shared" ca="1" si="2"/>
        <v>20</v>
      </c>
      <c r="X44" s="272">
        <f t="shared" ca="1" si="3"/>
        <v>20</v>
      </c>
      <c r="Y44" s="271"/>
    </row>
    <row r="45" spans="1:25" ht="16.8" x14ac:dyDescent="0.3">
      <c r="A45" s="290" t="s">
        <v>261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89" t="s">
        <v>236</v>
      </c>
      <c r="S45" s="288" t="str">
        <f>INDEX(Members!$L$2:$V$17,MATCH($AA$2,Members!$A$2:$A$17,0),MATCH(R45,Members!$L$1:$V$1,0))</f>
        <v>+0</v>
      </c>
      <c r="T45" s="287" t="str">
        <f t="shared" si="0"/>
        <v>Wis (+0)</v>
      </c>
      <c r="U45" s="272" t="s">
        <v>256</v>
      </c>
      <c r="V45" s="272">
        <f t="shared" si="1"/>
        <v>0</v>
      </c>
      <c r="W45" s="273">
        <f t="shared" ca="1" si="2"/>
        <v>5</v>
      </c>
      <c r="X45" s="272">
        <f t="shared" ca="1" si="3"/>
        <v>5</v>
      </c>
      <c r="Y45" s="271"/>
    </row>
    <row r="46" spans="1:25" ht="16.8" x14ac:dyDescent="0.3">
      <c r="A46" s="286" t="s">
        <v>260</v>
      </c>
      <c r="B46" s="277"/>
      <c r="C46" s="277"/>
      <c r="D46" s="277"/>
      <c r="E46" s="277"/>
      <c r="F46" s="277"/>
      <c r="G46" s="277">
        <v>2</v>
      </c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85" t="s">
        <v>244</v>
      </c>
      <c r="S46" s="284" t="str">
        <f>INDEX(Members!$L$2:$V$17,MATCH($AA$2,Members!$A$2:$A$17,0),MATCH(R46,Members!$L$1:$V$1,0))</f>
        <v>+2</v>
      </c>
      <c r="T46" s="283" t="str">
        <f t="shared" si="0"/>
        <v>Str (+2)</v>
      </c>
      <c r="U46" s="272" t="s">
        <v>256</v>
      </c>
      <c r="V46" s="272">
        <f t="shared" si="1"/>
        <v>2</v>
      </c>
      <c r="W46" s="273">
        <f t="shared" ca="1" si="2"/>
        <v>4</v>
      </c>
      <c r="X46" s="272">
        <f t="shared" ca="1" si="3"/>
        <v>6</v>
      </c>
      <c r="Y46" s="271"/>
    </row>
    <row r="47" spans="1:25" ht="16.8" x14ac:dyDescent="0.3">
      <c r="A47" s="282" t="s">
        <v>259</v>
      </c>
      <c r="B47" s="277"/>
      <c r="C47" s="277"/>
      <c r="D47" s="277">
        <v>3</v>
      </c>
      <c r="E47" s="277"/>
      <c r="F47" s="277"/>
      <c r="G47" s="277">
        <v>5</v>
      </c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81" t="s">
        <v>242</v>
      </c>
      <c r="S47" s="280" t="str">
        <f>INDEX(Members!$L$2:$V$17,MATCH($AA$2,Members!$A$2:$A$17,0),MATCH(R47,Members!$L$1:$V$1,0))</f>
        <v>+3</v>
      </c>
      <c r="T47" s="279" t="str">
        <f t="shared" si="0"/>
        <v>Dex (+3)</v>
      </c>
      <c r="U47" s="272" t="s">
        <v>256</v>
      </c>
      <c r="V47" s="272">
        <f t="shared" si="1"/>
        <v>3</v>
      </c>
      <c r="W47" s="273">
        <f t="shared" ca="1" si="2"/>
        <v>3</v>
      </c>
      <c r="X47" s="272">
        <f t="shared" ca="1" si="3"/>
        <v>6</v>
      </c>
      <c r="Y47" s="271"/>
    </row>
    <row r="48" spans="1:25" ht="16.8" x14ac:dyDescent="0.3">
      <c r="A48" s="278" t="s">
        <v>258</v>
      </c>
      <c r="B48" s="277">
        <v>9</v>
      </c>
      <c r="C48" s="277"/>
      <c r="D48" s="277">
        <v>12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6" t="s">
        <v>234</v>
      </c>
      <c r="S48" s="275" t="str">
        <f>INDEX(Members!$L$2:$V$17,MATCH($AA$2,Members!$A$2:$A$17,0),MATCH(R48,Members!$L$1:$V$1,0))</f>
        <v>+2</v>
      </c>
      <c r="T48" s="274" t="str">
        <f t="shared" si="0"/>
        <v>Cha (+2)</v>
      </c>
      <c r="U48" s="272" t="s">
        <v>256</v>
      </c>
      <c r="V48" s="272">
        <f t="shared" si="1"/>
        <v>11</v>
      </c>
      <c r="W48" s="273">
        <f t="shared" ca="1" si="2"/>
        <v>1</v>
      </c>
      <c r="X48" s="272">
        <f t="shared" ca="1" si="3"/>
        <v>12</v>
      </c>
      <c r="Y48" s="271"/>
    </row>
    <row r="49" spans="1:25" ht="17.399999999999999" thickBot="1" x14ac:dyDescent="0.35">
      <c r="A49" s="270" t="s">
        <v>257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8" t="s">
        <v>242</v>
      </c>
      <c r="S49" s="267" t="str">
        <f>INDEX(Members!$L$2:$V$17,MATCH($AA$2,Members!$A$2:$A$17,0),MATCH(R49,Members!$L$1:$V$1,0))</f>
        <v>+3</v>
      </c>
      <c r="T49" s="266" t="str">
        <f t="shared" si="0"/>
        <v>Dex (+3)</v>
      </c>
      <c r="U49" s="264" t="s">
        <v>256</v>
      </c>
      <c r="V49" s="264">
        <f t="shared" si="1"/>
        <v>3</v>
      </c>
      <c r="W49" s="265">
        <f t="shared" ca="1" si="2"/>
        <v>1</v>
      </c>
      <c r="X49" s="264">
        <f t="shared" ca="1" si="3"/>
        <v>4</v>
      </c>
      <c r="Y49" s="263"/>
    </row>
    <row r="50" spans="1:25" ht="16.2" thickTop="1" x14ac:dyDescent="0.3">
      <c r="A50" s="258" t="s">
        <v>23</v>
      </c>
      <c r="B50" s="260">
        <f t="shared" ref="B50:Q50" si="4">SUM(B5:B49)</f>
        <v>48</v>
      </c>
      <c r="C50" s="260">
        <f t="shared" si="4"/>
        <v>57</v>
      </c>
      <c r="D50" s="260">
        <f t="shared" si="4"/>
        <v>93</v>
      </c>
      <c r="E50" s="260">
        <f t="shared" si="4"/>
        <v>30</v>
      </c>
      <c r="F50" s="260">
        <f t="shared" si="4"/>
        <v>48</v>
      </c>
      <c r="G50" s="260">
        <f t="shared" si="4"/>
        <v>48</v>
      </c>
      <c r="H50" s="260">
        <f t="shared" si="4"/>
        <v>30</v>
      </c>
      <c r="I50" s="260">
        <f t="shared" si="4"/>
        <v>0</v>
      </c>
      <c r="J50" s="260">
        <f t="shared" si="4"/>
        <v>0</v>
      </c>
      <c r="K50" s="260">
        <f t="shared" si="4"/>
        <v>0</v>
      </c>
      <c r="L50" s="260">
        <f t="shared" si="4"/>
        <v>0</v>
      </c>
      <c r="M50" s="260">
        <f t="shared" si="4"/>
        <v>0</v>
      </c>
      <c r="N50" s="260">
        <f t="shared" si="4"/>
        <v>0</v>
      </c>
      <c r="O50" s="260">
        <f t="shared" si="4"/>
        <v>0</v>
      </c>
      <c r="P50" s="260">
        <f t="shared" si="4"/>
        <v>0</v>
      </c>
      <c r="Q50" s="260">
        <f t="shared" si="4"/>
        <v>0</v>
      </c>
      <c r="T50" s="260"/>
      <c r="U50" s="262"/>
    </row>
    <row r="51" spans="1:25" x14ac:dyDescent="0.3">
      <c r="A51" s="258" t="s">
        <v>255</v>
      </c>
      <c r="B51" s="260">
        <f>VLOOKUP(B$1,Members!$A$2:$AJ$17,36,FALSE)</f>
        <v>48</v>
      </c>
      <c r="C51" s="260">
        <f>VLOOKUP(C$1,Members!$A$2:$AJ$17,36,FALSE)</f>
        <v>57</v>
      </c>
      <c r="D51" s="260">
        <f>VLOOKUP(D$1,Members!$A$2:$AJ$17,36,FALSE)</f>
        <v>93</v>
      </c>
      <c r="E51" s="260">
        <f>VLOOKUP(E$1,Members!$A$2:$AJ$17,36,FALSE)</f>
        <v>30</v>
      </c>
      <c r="F51" s="260">
        <f>VLOOKUP(F$1,Members!$A$2:$AJ$17,36,FALSE)</f>
        <v>48</v>
      </c>
      <c r="G51" s="260">
        <f>VLOOKUP(G$1,Members!$A$2:$AJ$17,36,FALSE)</f>
        <v>48</v>
      </c>
      <c r="H51" s="260">
        <f>VLOOKUP(H$1,Members!$A$2:$AJ$17,36,FALSE)</f>
        <v>30</v>
      </c>
      <c r="I51" s="260">
        <f>VLOOKUP(I$1,Members!$A$2:$AJ$17,36,FALSE)</f>
        <v>30</v>
      </c>
      <c r="J51" s="260">
        <f>VLOOKUP(J$1,Members!$A$2:$AJ$17,36,FALSE)</f>
        <v>120</v>
      </c>
      <c r="K51" s="260">
        <f>VLOOKUP(K$1,Members!$A$2:$AJ$17,36,FALSE)</f>
        <v>57</v>
      </c>
      <c r="L51" s="260">
        <f>VLOOKUP(L$1,Members!$A$2:$AJ$17,36,FALSE)</f>
        <v>57</v>
      </c>
      <c r="M51" s="260">
        <f>VLOOKUP(M$1,Members!$A$2:$AJ$17,36,FALSE)</f>
        <v>57</v>
      </c>
      <c r="N51" s="260">
        <f>VLOOKUP(N$1,Members!$A$2:$AJ$17,36,FALSE)</f>
        <v>21</v>
      </c>
      <c r="O51" s="260">
        <f>VLOOKUP(O$1,Members!$A$2:$AJ$17,36,FALSE)</f>
        <v>39</v>
      </c>
      <c r="P51" s="260">
        <f>VLOOKUP(P$1,Members!$A$2:$AJ$17,36,FALSE)</f>
        <v>39</v>
      </c>
      <c r="Q51" s="260">
        <f>VLOOKUP(Q$1,Members!$A$2:$AJ$17,36,FALSE)</f>
        <v>57</v>
      </c>
      <c r="T51" s="260"/>
    </row>
    <row r="52" spans="1:25" x14ac:dyDescent="0.3">
      <c r="B52" s="261"/>
      <c r="T52" s="260"/>
    </row>
    <row r="53" spans="1:25" x14ac:dyDescent="0.3">
      <c r="T53" s="260"/>
    </row>
    <row r="54" spans="1:25" x14ac:dyDescent="0.3">
      <c r="T54" s="260"/>
    </row>
    <row r="55" spans="1:25" x14ac:dyDescent="0.3">
      <c r="T55" s="260"/>
    </row>
    <row r="56" spans="1:25" x14ac:dyDescent="0.3">
      <c r="T56" s="260"/>
    </row>
    <row r="57" spans="1:25" x14ac:dyDescent="0.3">
      <c r="T57" s="260"/>
    </row>
    <row r="58" spans="1:25" x14ac:dyDescent="0.3">
      <c r="T58" s="260"/>
    </row>
    <row r="59" spans="1:25" x14ac:dyDescent="0.3">
      <c r="T59" s="260"/>
    </row>
    <row r="60" spans="1:25" x14ac:dyDescent="0.3">
      <c r="T60" s="260"/>
    </row>
    <row r="61" spans="1:25" x14ac:dyDescent="0.3">
      <c r="T61" s="260"/>
    </row>
  </sheetData>
  <conditionalFormatting sqref="B1:Q1">
    <cfRule type="cellIs" dxfId="16" priority="1" operator="equal">
      <formula>$AA$2</formula>
    </cfRule>
  </conditionalFormatting>
  <dataValidations count="1">
    <dataValidation type="list" allowBlank="1" showInputMessage="1" showErrorMessage="1" sqref="AA2" xr:uid="{6BAE278D-62B3-4030-B0AA-F9137039C156}">
      <formula1>$B$1:$Q$1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17.2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30" t="s">
        <v>78</v>
      </c>
      <c r="P1" s="61">
        <v>4</v>
      </c>
      <c r="Q1" s="131" t="s">
        <v>96</v>
      </c>
      <c r="R1" s="132">
        <v>0.5</v>
      </c>
      <c r="S1" s="133" t="s">
        <v>97</v>
      </c>
      <c r="T1" s="132">
        <f>R1+((P1)/(24*60*10))</f>
        <v>0.50027777777777782</v>
      </c>
    </row>
    <row r="2" spans="1:20" ht="16.8" x14ac:dyDescent="0.3">
      <c r="A2" s="148" t="s">
        <v>115</v>
      </c>
      <c r="B2" s="53" t="s">
        <v>139</v>
      </c>
      <c r="C2" s="53">
        <v>0</v>
      </c>
      <c r="D2" s="53">
        <v>11</v>
      </c>
      <c r="E2" s="54" t="s">
        <v>79</v>
      </c>
      <c r="F2" s="54" t="s">
        <v>105</v>
      </c>
      <c r="G2" s="54" t="s">
        <v>79</v>
      </c>
      <c r="H2" s="54" t="s">
        <v>79</v>
      </c>
      <c r="I2" s="53"/>
      <c r="J2" s="53">
        <f t="shared" ref="J2:J17" si="0">IF($E2="þ",$D2,IF($F2="þ",($D2*10),IF($G2="þ",($D2*100),IF($H2="þ",($D2*600),$I2))))</f>
        <v>110</v>
      </c>
      <c r="K2" s="53">
        <f t="shared" ref="K2" si="1">J2+C2</f>
        <v>110</v>
      </c>
      <c r="L2" s="54" t="s">
        <v>105</v>
      </c>
      <c r="M2" s="55" t="str">
        <f t="shared" ref="M2:M4" si="2">IF(C2="","",IF(K2&lt;=$P$1,"þ","q"))</f>
        <v>q</v>
      </c>
      <c r="O2" s="63"/>
      <c r="Q2" s="63"/>
    </row>
    <row r="3" spans="1:20" ht="16.8" x14ac:dyDescent="0.3">
      <c r="A3" s="148" t="s">
        <v>115</v>
      </c>
      <c r="B3" s="53" t="s">
        <v>310</v>
      </c>
      <c r="C3" s="53">
        <v>0</v>
      </c>
      <c r="D3" s="53">
        <v>11</v>
      </c>
      <c r="E3" s="54" t="s">
        <v>79</v>
      </c>
      <c r="F3" s="54" t="s">
        <v>105</v>
      </c>
      <c r="G3" s="54" t="s">
        <v>79</v>
      </c>
      <c r="H3" s="54" t="s">
        <v>79</v>
      </c>
      <c r="I3" s="53"/>
      <c r="J3" s="53">
        <f t="shared" si="0"/>
        <v>110</v>
      </c>
      <c r="K3" s="53">
        <f t="shared" ref="K3" si="3">J3+C3</f>
        <v>110</v>
      </c>
      <c r="L3" s="54" t="s">
        <v>79</v>
      </c>
      <c r="M3" s="55" t="str">
        <f t="shared" si="2"/>
        <v>q</v>
      </c>
      <c r="O3" s="63"/>
      <c r="Q3" s="63"/>
    </row>
    <row r="4" spans="1:20" ht="16.8" x14ac:dyDescent="0.3">
      <c r="A4" s="148" t="s">
        <v>115</v>
      </c>
      <c r="B4" s="135" t="s">
        <v>375</v>
      </c>
      <c r="C4" s="53">
        <v>4</v>
      </c>
      <c r="D4" s="53">
        <v>11</v>
      </c>
      <c r="E4" s="54" t="s">
        <v>79</v>
      </c>
      <c r="F4" s="54" t="s">
        <v>105</v>
      </c>
      <c r="G4" s="54" t="s">
        <v>79</v>
      </c>
      <c r="H4" s="54" t="s">
        <v>79</v>
      </c>
      <c r="I4" s="53"/>
      <c r="J4" s="53">
        <f t="shared" si="0"/>
        <v>110</v>
      </c>
      <c r="K4" s="53">
        <f t="shared" ref="K4" si="4">J4+C4</f>
        <v>114</v>
      </c>
      <c r="L4" s="54" t="s">
        <v>105</v>
      </c>
      <c r="M4" s="55" t="str">
        <f t="shared" si="2"/>
        <v>q</v>
      </c>
      <c r="O4" s="63"/>
      <c r="Q4" s="63"/>
    </row>
    <row r="5" spans="1:20" ht="16.8" x14ac:dyDescent="0.3">
      <c r="A5" s="148" t="s">
        <v>115</v>
      </c>
      <c r="B5" s="135"/>
      <c r="C5" s="53"/>
      <c r="D5" s="53"/>
      <c r="E5" s="54" t="s">
        <v>79</v>
      </c>
      <c r="F5" s="54" t="s">
        <v>79</v>
      </c>
      <c r="G5" s="54" t="s">
        <v>79</v>
      </c>
      <c r="H5" s="54" t="s">
        <v>79</v>
      </c>
      <c r="I5" s="53"/>
      <c r="J5" s="53">
        <f t="shared" si="0"/>
        <v>0</v>
      </c>
      <c r="K5" s="53">
        <f t="shared" ref="K5" si="5">J5+C5</f>
        <v>0</v>
      </c>
      <c r="L5" s="54" t="s">
        <v>79</v>
      </c>
      <c r="M5" s="55" t="str">
        <f t="shared" ref="M5" si="6">IF(C5="","",IF(K5&lt;=$P$1,"þ","q"))</f>
        <v/>
      </c>
    </row>
    <row r="6" spans="1:20" ht="16.8" x14ac:dyDescent="0.3">
      <c r="A6" s="149" t="s">
        <v>113</v>
      </c>
      <c r="B6" s="135"/>
      <c r="C6" s="53"/>
      <c r="D6" s="53"/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ref="K6" si="7">J6+C6</f>
        <v>0</v>
      </c>
      <c r="L6" s="54" t="s">
        <v>79</v>
      </c>
      <c r="M6" s="55" t="str">
        <f t="shared" ref="M6" si="8">IF(C6="","",IF(K6&lt;=$P$1,"þ","q"))</f>
        <v/>
      </c>
    </row>
    <row r="7" spans="1:20" ht="16.8" x14ac:dyDescent="0.3">
      <c r="A7" s="149" t="s">
        <v>113</v>
      </c>
      <c r="B7" s="141"/>
      <c r="C7" s="53"/>
      <c r="D7" s="53"/>
      <c r="E7" s="54" t="s">
        <v>79</v>
      </c>
      <c r="F7" s="54" t="s">
        <v>79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9">J7+C7</f>
        <v>0</v>
      </c>
      <c r="L7" s="54" t="s">
        <v>79</v>
      </c>
      <c r="M7" s="55" t="str">
        <f t="shared" ref="M7" si="10">IF(C7="","",IF(K7&lt;=$P$1,"þ","q"))</f>
        <v/>
      </c>
    </row>
    <row r="8" spans="1:20" ht="16.8" x14ac:dyDescent="0.3">
      <c r="A8" s="149" t="s">
        <v>113</v>
      </c>
      <c r="B8" s="141"/>
      <c r="C8" s="53"/>
      <c r="D8" s="53"/>
      <c r="E8" s="54" t="s">
        <v>79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0</v>
      </c>
      <c r="K8" s="53">
        <f t="shared" ref="K8:K9" si="11">J8+C8</f>
        <v>0</v>
      </c>
      <c r="L8" s="54" t="s">
        <v>79</v>
      </c>
      <c r="M8" s="55" t="str">
        <f t="shared" ref="M8:M9" si="12">IF(C8="","",IF(K8&lt;=$P$1,"þ","q"))</f>
        <v/>
      </c>
    </row>
    <row r="9" spans="1:20" ht="16.8" x14ac:dyDescent="0.3">
      <c r="A9" s="149" t="s">
        <v>113</v>
      </c>
      <c r="B9" s="141"/>
      <c r="C9" s="53"/>
      <c r="D9" s="53"/>
      <c r="E9" s="54" t="s">
        <v>79</v>
      </c>
      <c r="F9" s="54" t="s">
        <v>79</v>
      </c>
      <c r="G9" s="54" t="s">
        <v>79</v>
      </c>
      <c r="H9" s="54" t="s">
        <v>79</v>
      </c>
      <c r="I9" s="53"/>
      <c r="J9" s="53">
        <f t="shared" si="0"/>
        <v>0</v>
      </c>
      <c r="K9" s="53">
        <f t="shared" si="11"/>
        <v>0</v>
      </c>
      <c r="L9" s="54" t="s">
        <v>79</v>
      </c>
      <c r="M9" s="55" t="str">
        <f t="shared" si="12"/>
        <v/>
      </c>
    </row>
    <row r="10" spans="1:20" ht="16.8" x14ac:dyDescent="0.3">
      <c r="A10" s="145" t="s">
        <v>202</v>
      </c>
      <c r="B10" s="135" t="s">
        <v>378</v>
      </c>
      <c r="C10" s="53">
        <v>4</v>
      </c>
      <c r="D10" s="53">
        <v>6</v>
      </c>
      <c r="E10" s="54" t="s">
        <v>79</v>
      </c>
      <c r="F10" s="54" t="s">
        <v>79</v>
      </c>
      <c r="G10" s="54" t="s">
        <v>105</v>
      </c>
      <c r="H10" s="54" t="s">
        <v>79</v>
      </c>
      <c r="I10" s="53"/>
      <c r="J10" s="53">
        <f t="shared" si="0"/>
        <v>600</v>
      </c>
      <c r="K10" s="53">
        <f t="shared" ref="K10:K12" si="13">J10+C10</f>
        <v>604</v>
      </c>
      <c r="L10" s="54" t="s">
        <v>79</v>
      </c>
      <c r="M10" s="55" t="str">
        <f t="shared" ref="M10:M12" si="14">IF(C10="","",IF(K10&lt;=$P$1,"þ","q"))</f>
        <v>q</v>
      </c>
    </row>
    <row r="11" spans="1:20" ht="16.8" x14ac:dyDescent="0.3">
      <c r="A11" s="145"/>
      <c r="B11" s="135"/>
      <c r="C11" s="53">
        <v>4</v>
      </c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5">J11+C11</f>
        <v>4</v>
      </c>
      <c r="L11" s="54" t="s">
        <v>79</v>
      </c>
      <c r="M11" s="55" t="str">
        <f t="shared" ref="M11" si="16">IF(C11="","",IF(K11&lt;=$P$1,"þ","q"))</f>
        <v>þ</v>
      </c>
    </row>
    <row r="12" spans="1:20" ht="16.8" x14ac:dyDescent="0.3">
      <c r="A12" s="145"/>
      <c r="B12" s="135"/>
      <c r="C12" s="53">
        <v>4</v>
      </c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si="13"/>
        <v>4</v>
      </c>
      <c r="L12" s="54" t="s">
        <v>79</v>
      </c>
      <c r="M12" s="55" t="str">
        <f t="shared" si="14"/>
        <v>þ</v>
      </c>
    </row>
    <row r="13" spans="1:20" ht="16.8" x14ac:dyDescent="0.3">
      <c r="A13" s="145"/>
      <c r="B13" s="135"/>
      <c r="C13" s="53">
        <v>4</v>
      </c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ref="K13" si="17">J13+C13</f>
        <v>4</v>
      </c>
      <c r="L13" s="54" t="s">
        <v>79</v>
      </c>
      <c r="M13" s="55" t="str">
        <f t="shared" ref="M13" si="18">IF(C13="","",IF(K13&lt;=$P$1,"þ","q"))</f>
        <v>þ</v>
      </c>
    </row>
    <row r="14" spans="1:20" ht="16.8" x14ac:dyDescent="0.3">
      <c r="A14" s="166"/>
      <c r="B14" s="135"/>
      <c r="C14" s="53">
        <v>4</v>
      </c>
      <c r="D14" s="53"/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7" si="19">J14+C14</f>
        <v>4</v>
      </c>
      <c r="L14" s="54" t="s">
        <v>79</v>
      </c>
      <c r="M14" s="55" t="str">
        <f t="shared" ref="M14:M17" si="20">IF(C14="","",IF(K14&lt;=$P$1,"þ","q"))</f>
        <v>þ</v>
      </c>
    </row>
    <row r="15" spans="1:20" ht="16.8" x14ac:dyDescent="0.3">
      <c r="A15" s="166"/>
      <c r="B15" s="135"/>
      <c r="C15" s="53">
        <v>4</v>
      </c>
      <c r="D15" s="53"/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9"/>
        <v>4</v>
      </c>
      <c r="L15" s="54" t="s">
        <v>79</v>
      </c>
      <c r="M15" s="55" t="str">
        <f t="shared" si="20"/>
        <v>þ</v>
      </c>
    </row>
    <row r="16" spans="1:20" ht="16.8" x14ac:dyDescent="0.3">
      <c r="A16" s="166"/>
      <c r="B16" s="135"/>
      <c r="C16" s="53">
        <v>4</v>
      </c>
      <c r="D16" s="53"/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si="19"/>
        <v>4</v>
      </c>
      <c r="L16" s="54" t="s">
        <v>79</v>
      </c>
      <c r="M16" s="55" t="str">
        <f t="shared" si="20"/>
        <v>þ</v>
      </c>
    </row>
    <row r="17" spans="1:13" ht="16.8" x14ac:dyDescent="0.3">
      <c r="A17" s="166"/>
      <c r="B17" s="135"/>
      <c r="C17" s="53">
        <v>4</v>
      </c>
      <c r="D17" s="53"/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si="19"/>
        <v>4</v>
      </c>
      <c r="L17" s="54" t="s">
        <v>79</v>
      </c>
      <c r="M17" s="55" t="str">
        <f t="shared" si="20"/>
        <v>þ</v>
      </c>
    </row>
  </sheetData>
  <sortState xmlns:xlrd2="http://schemas.microsoft.com/office/spreadsheetml/2017/richdata2" ref="A2:M4">
    <sortCondition ref="A2:A4"/>
    <sortCondition ref="C2:C4"/>
  </sortState>
  <conditionalFormatting sqref="E12:G12">
    <cfRule type="cellIs" dxfId="15" priority="55" stopIfTrue="1" operator="equal">
      <formula>"þ"</formula>
    </cfRule>
  </conditionalFormatting>
  <conditionalFormatting sqref="E2:H2 L2:M17 E3:E17">
    <cfRule type="cellIs" dxfId="14" priority="2" stopIfTrue="1" operator="equal">
      <formula>"þ"</formula>
    </cfRule>
  </conditionalFormatting>
  <conditionalFormatting sqref="F13:G17">
    <cfRule type="cellIs" dxfId="13" priority="37" stopIfTrue="1" operator="equal">
      <formula>"þ"</formula>
    </cfRule>
  </conditionalFormatting>
  <conditionalFormatting sqref="F3:H11">
    <cfRule type="cellIs" dxfId="12" priority="1" stopIfTrue="1" operator="equal">
      <formula>"þ"</formula>
    </cfRule>
  </conditionalFormatting>
  <conditionalFormatting sqref="H12:H17">
    <cfRule type="cellIs" dxfId="11" priority="117" stopIfTrue="1" operator="equal">
      <formula>"þ"</formula>
    </cfRule>
  </conditionalFormatting>
  <conditionalFormatting sqref="K2:K17">
    <cfRule type="cellIs" dxfId="10" priority="34" operator="lessThan">
      <formula>$P$1</formula>
    </cfRule>
  </conditionalFormatting>
  <conditionalFormatting sqref="L3:L17">
    <cfRule type="cellIs" dxfId="9" priority="35" stopIfTrue="1" operator="equal">
      <formula>"þ"</formula>
    </cfRule>
  </conditionalFormatting>
  <conditionalFormatting sqref="M13:M17">
    <cfRule type="cellIs" dxfId="8" priority="153" stopIfTrue="1" operator="equal">
      <formula>"þ"</formula>
    </cfRule>
  </conditionalFormatting>
  <conditionalFormatting sqref="P1">
    <cfRule type="cellIs" dxfId="7" priority="1043" operator="equal">
      <formula>0</formula>
    </cfRule>
  </conditionalFormatting>
  <conditionalFormatting sqref="R1">
    <cfRule type="cellIs" dxfId="6" priority="1042" operator="equal">
      <formula>0</formula>
    </cfRule>
  </conditionalFormatting>
  <conditionalFormatting sqref="T1">
    <cfRule type="cellIs" dxfId="5" priority="104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0.19921875" style="48" bestFit="1" customWidth="1"/>
    <col min="2" max="2" width="19.5" style="48" bestFit="1" customWidth="1"/>
    <col min="3" max="3" width="10.3984375" style="48" bestFit="1" customWidth="1"/>
    <col min="4" max="4" width="8.19921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3.19921875" style="157" bestFit="1" customWidth="1"/>
    <col min="16" max="16384" width="8.796875" style="43"/>
  </cols>
  <sheetData>
    <row r="1" spans="1:15" ht="31.8" thickBot="1" x14ac:dyDescent="0.35">
      <c r="A1" s="112" t="s">
        <v>0</v>
      </c>
      <c r="B1" s="108" t="s">
        <v>32</v>
      </c>
      <c r="C1" s="108" t="s">
        <v>33</v>
      </c>
      <c r="D1" s="109" t="s">
        <v>308</v>
      </c>
      <c r="E1" s="111" t="s">
        <v>34</v>
      </c>
      <c r="F1" s="110" t="s">
        <v>86</v>
      </c>
      <c r="G1" s="109" t="s">
        <v>85</v>
      </c>
      <c r="H1" s="108" t="s">
        <v>35</v>
      </c>
      <c r="I1" s="108" t="s">
        <v>36</v>
      </c>
      <c r="J1" s="105" t="s">
        <v>84</v>
      </c>
      <c r="K1" s="107" t="s">
        <v>3</v>
      </c>
      <c r="L1" s="105" t="s">
        <v>23</v>
      </c>
      <c r="M1" s="106" t="s">
        <v>82</v>
      </c>
      <c r="N1" s="105" t="s">
        <v>81</v>
      </c>
      <c r="O1" s="105" t="s">
        <v>83</v>
      </c>
    </row>
    <row r="2" spans="1:15" x14ac:dyDescent="0.3">
      <c r="A2" s="158" t="s">
        <v>210</v>
      </c>
      <c r="B2" s="62" t="s">
        <v>348</v>
      </c>
      <c r="C2" s="44" t="s">
        <v>349</v>
      </c>
      <c r="D2" s="104" t="s">
        <v>105</v>
      </c>
      <c r="E2" s="103">
        <v>6</v>
      </c>
      <c r="F2" s="102">
        <v>0</v>
      </c>
      <c r="G2" s="101">
        <v>3</v>
      </c>
      <c r="H2" s="44">
        <v>2</v>
      </c>
      <c r="I2" s="44">
        <v>0</v>
      </c>
      <c r="J2" s="44">
        <f t="shared" ref="J2:J3" si="0">IF(D2="þ",SUM(E2,G2:I2),SUM(E2,F2,H2,I2))</f>
        <v>11</v>
      </c>
      <c r="K2" s="45">
        <f t="shared" ref="K2:K3" ca="1" si="1">RANDBETWEEN(1,20)</f>
        <v>6</v>
      </c>
      <c r="L2" s="44">
        <f t="shared" ref="L2:L3" ca="1" si="2">SUM(J2:K2)</f>
        <v>17</v>
      </c>
      <c r="M2" s="57">
        <v>20</v>
      </c>
      <c r="N2" s="60" t="str">
        <f t="shared" ref="N2:N3" ca="1" si="3">IF(K2&gt;(M2-1),"þ","ý")</f>
        <v>ý</v>
      </c>
      <c r="O2" s="140"/>
    </row>
    <row r="3" spans="1:15" x14ac:dyDescent="0.3">
      <c r="A3" s="159" t="s">
        <v>210</v>
      </c>
      <c r="B3" s="46" t="s">
        <v>123</v>
      </c>
      <c r="C3" s="46" t="s">
        <v>123</v>
      </c>
      <c r="D3" s="100" t="s">
        <v>79</v>
      </c>
      <c r="E3" s="99">
        <v>6</v>
      </c>
      <c r="F3" s="98">
        <v>0</v>
      </c>
      <c r="G3" s="97">
        <v>3</v>
      </c>
      <c r="H3" s="46">
        <v>0</v>
      </c>
      <c r="I3" s="46">
        <v>0</v>
      </c>
      <c r="J3" s="46">
        <f t="shared" si="0"/>
        <v>6</v>
      </c>
      <c r="K3" s="47">
        <f t="shared" ca="1" si="1"/>
        <v>11</v>
      </c>
      <c r="L3" s="46">
        <f t="shared" ca="1" si="2"/>
        <v>17</v>
      </c>
      <c r="M3" s="58">
        <v>20</v>
      </c>
      <c r="N3" s="59" t="str">
        <f t="shared" ca="1" si="3"/>
        <v>ý</v>
      </c>
      <c r="O3" s="156"/>
    </row>
    <row r="4" spans="1:15" x14ac:dyDescent="0.3">
      <c r="A4" s="158" t="s">
        <v>217</v>
      </c>
      <c r="B4" s="62" t="s">
        <v>328</v>
      </c>
      <c r="C4" s="44" t="s">
        <v>347</v>
      </c>
      <c r="D4" s="104" t="s">
        <v>79</v>
      </c>
      <c r="E4" s="103">
        <v>9</v>
      </c>
      <c r="F4" s="102">
        <v>2</v>
      </c>
      <c r="G4" s="101">
        <v>3</v>
      </c>
      <c r="H4" s="44">
        <v>2</v>
      </c>
      <c r="I4" s="44">
        <v>0</v>
      </c>
      <c r="J4" s="44">
        <f t="shared" ref="J4:J6" si="4">IF(D4="þ",SUM(E4,G4:I4),SUM(E4,F4,H4,I4))</f>
        <v>13</v>
      </c>
      <c r="K4" s="45">
        <f t="shared" ref="K4:K6" ca="1" si="5">RANDBETWEEN(1,20)</f>
        <v>1</v>
      </c>
      <c r="L4" s="44">
        <f t="shared" ref="L4:L6" ca="1" si="6">SUM(J4:K4)</f>
        <v>14</v>
      </c>
      <c r="M4" s="57">
        <v>20</v>
      </c>
      <c r="N4" s="60" t="str">
        <f t="shared" ref="N4:N6" ca="1" si="7">IF(K4&gt;(M4-1),"þ","ý")</f>
        <v>ý</v>
      </c>
      <c r="O4" s="140"/>
    </row>
    <row r="5" spans="1:15" x14ac:dyDescent="0.3">
      <c r="A5" s="158" t="s">
        <v>217</v>
      </c>
      <c r="B5" s="62" t="s">
        <v>346</v>
      </c>
      <c r="C5" s="44" t="s">
        <v>341</v>
      </c>
      <c r="D5" s="104" t="s">
        <v>79</v>
      </c>
      <c r="E5" s="103">
        <f>E4-5</f>
        <v>4</v>
      </c>
      <c r="F5" s="102">
        <v>2</v>
      </c>
      <c r="G5" s="101">
        <v>3</v>
      </c>
      <c r="H5" s="44">
        <v>1</v>
      </c>
      <c r="I5" s="44">
        <v>0</v>
      </c>
      <c r="J5" s="44">
        <f t="shared" si="4"/>
        <v>7</v>
      </c>
      <c r="K5" s="45">
        <f t="shared" ca="1" si="5"/>
        <v>12</v>
      </c>
      <c r="L5" s="44">
        <f t="shared" ca="1" si="6"/>
        <v>19</v>
      </c>
      <c r="M5" s="57">
        <v>20</v>
      </c>
      <c r="N5" s="60" t="str">
        <f t="shared" ca="1" si="7"/>
        <v>ý</v>
      </c>
      <c r="O5" s="140"/>
    </row>
    <row r="6" spans="1:15" x14ac:dyDescent="0.3">
      <c r="A6" s="159" t="s">
        <v>217</v>
      </c>
      <c r="B6" s="46" t="s">
        <v>123</v>
      </c>
      <c r="C6" s="46" t="s">
        <v>123</v>
      </c>
      <c r="D6" s="100" t="s">
        <v>79</v>
      </c>
      <c r="E6" s="99">
        <v>9</v>
      </c>
      <c r="F6" s="98">
        <v>2</v>
      </c>
      <c r="G6" s="97">
        <v>3</v>
      </c>
      <c r="H6" s="46">
        <v>0</v>
      </c>
      <c r="I6" s="46">
        <v>0</v>
      </c>
      <c r="J6" s="46">
        <f t="shared" si="4"/>
        <v>11</v>
      </c>
      <c r="K6" s="47">
        <f t="shared" ca="1" si="5"/>
        <v>13</v>
      </c>
      <c r="L6" s="46">
        <f t="shared" ca="1" si="6"/>
        <v>24</v>
      </c>
      <c r="M6" s="58">
        <v>20</v>
      </c>
      <c r="N6" s="59" t="str">
        <f t="shared" ca="1" si="7"/>
        <v>ý</v>
      </c>
      <c r="O6" s="156"/>
    </row>
    <row r="7" spans="1:15" x14ac:dyDescent="0.3">
      <c r="A7" s="158" t="s">
        <v>202</v>
      </c>
      <c r="B7" s="62" t="s">
        <v>339</v>
      </c>
      <c r="C7" s="44" t="s">
        <v>341</v>
      </c>
      <c r="D7" s="104" t="s">
        <v>79</v>
      </c>
      <c r="E7" s="103">
        <v>6</v>
      </c>
      <c r="F7" s="102">
        <v>1</v>
      </c>
      <c r="G7" s="101">
        <v>1</v>
      </c>
      <c r="H7" s="44">
        <v>2</v>
      </c>
      <c r="I7" s="44">
        <v>0</v>
      </c>
      <c r="J7" s="44">
        <f t="shared" ref="J7:J9" si="8">IF(D7="þ",SUM(E7,G7:I7),SUM(E7,F7,H7,I7))</f>
        <v>9</v>
      </c>
      <c r="K7" s="45">
        <f t="shared" ref="K7:K15" ca="1" si="9">RANDBETWEEN(1,20)</f>
        <v>6</v>
      </c>
      <c r="L7" s="44">
        <f t="shared" ref="L7:L9" ca="1" si="10">SUM(J7:K7)</f>
        <v>15</v>
      </c>
      <c r="M7" s="57">
        <v>20</v>
      </c>
      <c r="N7" s="60" t="str">
        <f t="shared" ref="N7:N9" ca="1" si="11">IF(K7&gt;(M7-1),"þ","ý")</f>
        <v>ý</v>
      </c>
      <c r="O7" s="140"/>
    </row>
    <row r="8" spans="1:15" x14ac:dyDescent="0.3">
      <c r="A8" s="158" t="s">
        <v>202</v>
      </c>
      <c r="B8" s="62" t="s">
        <v>340</v>
      </c>
      <c r="C8" s="44" t="s">
        <v>341</v>
      </c>
      <c r="D8" s="104" t="s">
        <v>79</v>
      </c>
      <c r="E8" s="103">
        <f>E7-5</f>
        <v>1</v>
      </c>
      <c r="F8" s="102">
        <v>1</v>
      </c>
      <c r="G8" s="101">
        <v>1</v>
      </c>
      <c r="H8" s="44">
        <v>2</v>
      </c>
      <c r="I8" s="44">
        <v>0</v>
      </c>
      <c r="J8" s="44">
        <f t="shared" si="8"/>
        <v>4</v>
      </c>
      <c r="K8" s="45">
        <f t="shared" ca="1" si="9"/>
        <v>13</v>
      </c>
      <c r="L8" s="44">
        <f t="shared" ca="1" si="10"/>
        <v>17</v>
      </c>
      <c r="M8" s="57">
        <v>20</v>
      </c>
      <c r="N8" s="60" t="str">
        <f t="shared" ca="1" si="11"/>
        <v>ý</v>
      </c>
      <c r="O8" s="140"/>
    </row>
    <row r="9" spans="1:15" x14ac:dyDescent="0.3">
      <c r="A9" s="159" t="s">
        <v>202</v>
      </c>
      <c r="B9" s="46" t="s">
        <v>123</v>
      </c>
      <c r="C9" s="46" t="s">
        <v>123</v>
      </c>
      <c r="D9" s="100" t="s">
        <v>79</v>
      </c>
      <c r="E9" s="99">
        <v>6</v>
      </c>
      <c r="F9" s="98">
        <v>1</v>
      </c>
      <c r="G9" s="97">
        <v>1</v>
      </c>
      <c r="H9" s="46">
        <v>0</v>
      </c>
      <c r="I9" s="46">
        <v>0</v>
      </c>
      <c r="J9" s="46">
        <f t="shared" si="8"/>
        <v>7</v>
      </c>
      <c r="K9" s="47">
        <f t="shared" ca="1" si="9"/>
        <v>15</v>
      </c>
      <c r="L9" s="46">
        <f t="shared" ca="1" si="10"/>
        <v>22</v>
      </c>
      <c r="M9" s="58">
        <v>20</v>
      </c>
      <c r="N9" s="59" t="str">
        <f t="shared" ca="1" si="11"/>
        <v>ý</v>
      </c>
      <c r="O9" s="156"/>
    </row>
    <row r="10" spans="1:15" x14ac:dyDescent="0.3">
      <c r="A10" s="158" t="s">
        <v>357</v>
      </c>
      <c r="B10" s="62" t="s">
        <v>343</v>
      </c>
      <c r="C10" s="44" t="s">
        <v>344</v>
      </c>
      <c r="D10" s="104" t="s">
        <v>79</v>
      </c>
      <c r="E10" s="103">
        <v>6</v>
      </c>
      <c r="F10" s="102">
        <v>3</v>
      </c>
      <c r="G10" s="101">
        <v>1</v>
      </c>
      <c r="H10" s="44">
        <v>0</v>
      </c>
      <c r="I10" s="44">
        <v>0</v>
      </c>
      <c r="J10" s="44">
        <f t="shared" ref="J10:J15" si="12">IF(D10="þ",SUM(E10,G10:I10),SUM(E10,F10,H10,I10))</f>
        <v>9</v>
      </c>
      <c r="K10" s="45">
        <f t="shared" ca="1" si="9"/>
        <v>13</v>
      </c>
      <c r="L10" s="44">
        <f t="shared" ref="L10:L15" ca="1" si="13">SUM(J10:K10)</f>
        <v>22</v>
      </c>
      <c r="M10" s="57">
        <v>20</v>
      </c>
      <c r="N10" s="60" t="str">
        <f t="shared" ref="N10:N15" ca="1" si="14">IF(K10&gt;(M10-1),"þ","ý")</f>
        <v>ý</v>
      </c>
      <c r="O10" s="140"/>
    </row>
    <row r="11" spans="1:15" x14ac:dyDescent="0.3">
      <c r="A11" s="158" t="s">
        <v>357</v>
      </c>
      <c r="B11" s="62" t="s">
        <v>343</v>
      </c>
      <c r="C11" s="44" t="s">
        <v>344</v>
      </c>
      <c r="D11" s="104" t="s">
        <v>79</v>
      </c>
      <c r="E11" s="103">
        <f>E10-5</f>
        <v>1</v>
      </c>
      <c r="F11" s="102">
        <v>3</v>
      </c>
      <c r="G11" s="101">
        <v>1</v>
      </c>
      <c r="H11" s="44">
        <v>0</v>
      </c>
      <c r="I11" s="44">
        <v>0</v>
      </c>
      <c r="J11" s="44">
        <f t="shared" si="12"/>
        <v>4</v>
      </c>
      <c r="K11" s="45">
        <f t="shared" ca="1" si="9"/>
        <v>9</v>
      </c>
      <c r="L11" s="44">
        <f t="shared" ca="1" si="13"/>
        <v>13</v>
      </c>
      <c r="M11" s="57">
        <v>20</v>
      </c>
      <c r="N11" s="60" t="str">
        <f t="shared" ca="1" si="14"/>
        <v>ý</v>
      </c>
      <c r="O11" s="140"/>
    </row>
    <row r="12" spans="1:15" x14ac:dyDescent="0.3">
      <c r="A12" s="159" t="s">
        <v>357</v>
      </c>
      <c r="B12" s="46" t="s">
        <v>123</v>
      </c>
      <c r="C12" s="46" t="s">
        <v>123</v>
      </c>
      <c r="D12" s="100" t="s">
        <v>79</v>
      </c>
      <c r="E12" s="99">
        <v>6</v>
      </c>
      <c r="F12" s="98">
        <v>3</v>
      </c>
      <c r="G12" s="97">
        <v>1</v>
      </c>
      <c r="H12" s="46">
        <v>0</v>
      </c>
      <c r="I12" s="46">
        <v>0</v>
      </c>
      <c r="J12" s="46">
        <f t="shared" si="12"/>
        <v>9</v>
      </c>
      <c r="K12" s="47">
        <f t="shared" ca="1" si="9"/>
        <v>2</v>
      </c>
      <c r="L12" s="46">
        <f t="shared" ca="1" si="13"/>
        <v>11</v>
      </c>
      <c r="M12" s="58">
        <v>20</v>
      </c>
      <c r="N12" s="59" t="str">
        <f t="shared" ca="1" si="14"/>
        <v>ý</v>
      </c>
      <c r="O12" s="156"/>
    </row>
    <row r="13" spans="1:15" x14ac:dyDescent="0.3">
      <c r="A13" s="158" t="s">
        <v>196</v>
      </c>
      <c r="B13" s="62" t="s">
        <v>382</v>
      </c>
      <c r="C13" s="44" t="s">
        <v>384</v>
      </c>
      <c r="D13" s="104" t="s">
        <v>79</v>
      </c>
      <c r="E13" s="103">
        <f t="shared" ref="E13:E15" si="15">4+6</f>
        <v>10</v>
      </c>
      <c r="F13" s="102">
        <v>3</v>
      </c>
      <c r="G13" s="101">
        <v>3</v>
      </c>
      <c r="H13" s="44">
        <v>2</v>
      </c>
      <c r="I13" s="44">
        <v>0</v>
      </c>
      <c r="J13" s="44">
        <f t="shared" si="12"/>
        <v>15</v>
      </c>
      <c r="K13" s="45">
        <f t="shared" ca="1" si="9"/>
        <v>5</v>
      </c>
      <c r="L13" s="44">
        <f t="shared" ca="1" si="13"/>
        <v>20</v>
      </c>
      <c r="M13" s="57">
        <v>19</v>
      </c>
      <c r="N13" s="60" t="str">
        <f t="shared" ca="1" si="14"/>
        <v>ý</v>
      </c>
      <c r="O13" s="140"/>
    </row>
    <row r="14" spans="1:15" x14ac:dyDescent="0.3">
      <c r="A14" s="158" t="s">
        <v>196</v>
      </c>
      <c r="B14" s="62" t="s">
        <v>383</v>
      </c>
      <c r="C14" s="44" t="s">
        <v>384</v>
      </c>
      <c r="D14" s="104" t="s">
        <v>79</v>
      </c>
      <c r="E14" s="103">
        <f t="shared" si="15"/>
        <v>10</v>
      </c>
      <c r="F14" s="102">
        <v>3</v>
      </c>
      <c r="G14" s="101">
        <v>3</v>
      </c>
      <c r="H14" s="44">
        <v>2</v>
      </c>
      <c r="I14" s="44">
        <v>0</v>
      </c>
      <c r="J14" s="44">
        <f t="shared" si="12"/>
        <v>15</v>
      </c>
      <c r="K14" s="45">
        <f t="shared" ca="1" si="9"/>
        <v>1</v>
      </c>
      <c r="L14" s="44">
        <f t="shared" ca="1" si="13"/>
        <v>16</v>
      </c>
      <c r="M14" s="57">
        <v>19</v>
      </c>
      <c r="N14" s="60" t="str">
        <f t="shared" ca="1" si="14"/>
        <v>ý</v>
      </c>
      <c r="O14" s="140"/>
    </row>
    <row r="15" spans="1:15" x14ac:dyDescent="0.3">
      <c r="A15" s="159" t="s">
        <v>196</v>
      </c>
      <c r="B15" s="46" t="s">
        <v>123</v>
      </c>
      <c r="C15" s="46" t="s">
        <v>123</v>
      </c>
      <c r="D15" s="100" t="s">
        <v>79</v>
      </c>
      <c r="E15" s="99">
        <f t="shared" si="15"/>
        <v>10</v>
      </c>
      <c r="F15" s="98">
        <v>3</v>
      </c>
      <c r="G15" s="97">
        <v>3</v>
      </c>
      <c r="H15" s="46">
        <v>0</v>
      </c>
      <c r="I15" s="46">
        <v>0</v>
      </c>
      <c r="J15" s="46">
        <f t="shared" si="12"/>
        <v>13</v>
      </c>
      <c r="K15" s="47">
        <f t="shared" ca="1" si="9"/>
        <v>14</v>
      </c>
      <c r="L15" s="46">
        <f t="shared" ca="1" si="13"/>
        <v>27</v>
      </c>
      <c r="M15" s="58">
        <v>20</v>
      </c>
      <c r="N15" s="59" t="str">
        <f t="shared" ca="1" si="14"/>
        <v>ý</v>
      </c>
      <c r="O15" s="156"/>
    </row>
    <row r="16" spans="1:15" x14ac:dyDescent="0.3">
      <c r="A16" s="158" t="s">
        <v>128</v>
      </c>
      <c r="B16" s="62" t="s">
        <v>133</v>
      </c>
      <c r="C16" s="44" t="s">
        <v>138</v>
      </c>
      <c r="D16" s="104" t="s">
        <v>105</v>
      </c>
      <c r="E16" s="103">
        <f t="shared" ref="E16:E18" si="16">4+6</f>
        <v>10</v>
      </c>
      <c r="F16" s="102">
        <v>3</v>
      </c>
      <c r="G16" s="101">
        <v>3</v>
      </c>
      <c r="H16" s="44">
        <v>1</v>
      </c>
      <c r="I16" s="44">
        <v>0</v>
      </c>
      <c r="J16" s="44">
        <f t="shared" ref="J16:J18" si="17">IF(D16="þ",SUM(E16,G16:I16),SUM(E16,F16,H16,I16))</f>
        <v>14</v>
      </c>
      <c r="K16" s="45">
        <f t="shared" ref="K16:K51" ca="1" si="18">RANDBETWEEN(1,20)</f>
        <v>4</v>
      </c>
      <c r="L16" s="44">
        <f t="shared" ref="L16:L18" ca="1" si="19">SUM(J16:K16)</f>
        <v>18</v>
      </c>
      <c r="M16" s="57">
        <v>20</v>
      </c>
      <c r="N16" s="60" t="str">
        <f t="shared" ref="N16:N18" ca="1" si="20">IF(K16&gt;(M16-1),"þ","ý")</f>
        <v>ý</v>
      </c>
      <c r="O16" s="140"/>
    </row>
    <row r="17" spans="1:15" x14ac:dyDescent="0.3">
      <c r="A17" s="158" t="s">
        <v>128</v>
      </c>
      <c r="B17" s="62" t="s">
        <v>134</v>
      </c>
      <c r="C17" s="44" t="s">
        <v>131</v>
      </c>
      <c r="D17" s="104" t="s">
        <v>79</v>
      </c>
      <c r="E17" s="103">
        <f t="shared" si="16"/>
        <v>10</v>
      </c>
      <c r="F17" s="102">
        <v>3</v>
      </c>
      <c r="G17" s="101">
        <v>3</v>
      </c>
      <c r="H17" s="44">
        <v>1</v>
      </c>
      <c r="I17" s="44">
        <v>0</v>
      </c>
      <c r="J17" s="44">
        <f t="shared" si="17"/>
        <v>14</v>
      </c>
      <c r="K17" s="45">
        <f t="shared" ca="1" si="18"/>
        <v>17</v>
      </c>
      <c r="L17" s="44">
        <f t="shared" ca="1" si="19"/>
        <v>31</v>
      </c>
      <c r="M17" s="57">
        <v>20</v>
      </c>
      <c r="N17" s="60" t="str">
        <f t="shared" ca="1" si="20"/>
        <v>ý</v>
      </c>
      <c r="O17" s="140"/>
    </row>
    <row r="18" spans="1:15" x14ac:dyDescent="0.3">
      <c r="A18" s="159" t="s">
        <v>128</v>
      </c>
      <c r="B18" s="46" t="s">
        <v>123</v>
      </c>
      <c r="C18" s="46" t="s">
        <v>123</v>
      </c>
      <c r="D18" s="100" t="s">
        <v>79</v>
      </c>
      <c r="E18" s="99">
        <f t="shared" si="16"/>
        <v>10</v>
      </c>
      <c r="F18" s="98">
        <v>3</v>
      </c>
      <c r="G18" s="97">
        <v>3</v>
      </c>
      <c r="H18" s="46">
        <v>0</v>
      </c>
      <c r="I18" s="46">
        <v>0</v>
      </c>
      <c r="J18" s="46">
        <f t="shared" si="17"/>
        <v>13</v>
      </c>
      <c r="K18" s="47">
        <f t="shared" ca="1" si="18"/>
        <v>7</v>
      </c>
      <c r="L18" s="46">
        <f t="shared" ca="1" si="19"/>
        <v>20</v>
      </c>
      <c r="M18" s="58">
        <v>20</v>
      </c>
      <c r="N18" s="59" t="str">
        <f t="shared" ca="1" si="20"/>
        <v>ý</v>
      </c>
      <c r="O18" s="156"/>
    </row>
    <row r="19" spans="1:15" x14ac:dyDescent="0.3">
      <c r="A19" s="158" t="s">
        <v>311</v>
      </c>
      <c r="B19" s="62" t="s">
        <v>136</v>
      </c>
      <c r="C19" s="44" t="s">
        <v>137</v>
      </c>
      <c r="D19" s="104" t="s">
        <v>79</v>
      </c>
      <c r="E19" s="103">
        <f t="shared" ref="E19:E21" si="21">4+8</f>
        <v>12</v>
      </c>
      <c r="F19" s="102">
        <v>4</v>
      </c>
      <c r="G19" s="101">
        <v>2</v>
      </c>
      <c r="H19" s="44">
        <v>1</v>
      </c>
      <c r="I19" s="44">
        <v>0</v>
      </c>
      <c r="J19" s="44">
        <f t="shared" ref="J19:J51" si="22">IF(D19="þ",SUM(E19,G19:I19),SUM(E19,F19,H19,I19))</f>
        <v>17</v>
      </c>
      <c r="K19" s="45">
        <f t="shared" ca="1" si="18"/>
        <v>7</v>
      </c>
      <c r="L19" s="44">
        <f t="shared" ref="L19:L51" ca="1" si="23">SUM(J19:K19)</f>
        <v>24</v>
      </c>
      <c r="M19" s="57">
        <v>20</v>
      </c>
      <c r="N19" s="60" t="str">
        <f t="shared" ref="N19:N51" ca="1" si="24">IF(K19&gt;(M19-1),"þ","ý")</f>
        <v>ý</v>
      </c>
      <c r="O19" s="140"/>
    </row>
    <row r="20" spans="1:15" x14ac:dyDescent="0.3">
      <c r="A20" s="158" t="s">
        <v>311</v>
      </c>
      <c r="B20" s="62" t="s">
        <v>135</v>
      </c>
      <c r="C20" s="44" t="s">
        <v>132</v>
      </c>
      <c r="D20" s="104" t="s">
        <v>79</v>
      </c>
      <c r="E20" s="103">
        <f t="shared" si="21"/>
        <v>12</v>
      </c>
      <c r="F20" s="102">
        <v>4</v>
      </c>
      <c r="G20" s="101">
        <v>2</v>
      </c>
      <c r="H20" s="44">
        <v>1</v>
      </c>
      <c r="I20" s="44">
        <v>0</v>
      </c>
      <c r="J20" s="44">
        <f t="shared" si="22"/>
        <v>17</v>
      </c>
      <c r="K20" s="45">
        <f t="shared" ca="1" si="18"/>
        <v>12</v>
      </c>
      <c r="L20" s="44">
        <f t="shared" ca="1" si="23"/>
        <v>29</v>
      </c>
      <c r="M20" s="57">
        <v>20</v>
      </c>
      <c r="N20" s="60" t="str">
        <f t="shared" ca="1" si="24"/>
        <v>ý</v>
      </c>
      <c r="O20" s="140"/>
    </row>
    <row r="21" spans="1:15" x14ac:dyDescent="0.3">
      <c r="A21" s="159" t="s">
        <v>311</v>
      </c>
      <c r="B21" s="46" t="s">
        <v>123</v>
      </c>
      <c r="C21" s="46" t="s">
        <v>123</v>
      </c>
      <c r="D21" s="100" t="s">
        <v>79</v>
      </c>
      <c r="E21" s="99">
        <f t="shared" si="21"/>
        <v>12</v>
      </c>
      <c r="F21" s="98">
        <v>4</v>
      </c>
      <c r="G21" s="97">
        <v>2</v>
      </c>
      <c r="H21" s="46">
        <v>0</v>
      </c>
      <c r="I21" s="46">
        <v>0</v>
      </c>
      <c r="J21" s="46">
        <f t="shared" si="22"/>
        <v>16</v>
      </c>
      <c r="K21" s="47">
        <f t="shared" ca="1" si="18"/>
        <v>12</v>
      </c>
      <c r="L21" s="46">
        <f t="shared" ca="1" si="23"/>
        <v>28</v>
      </c>
      <c r="M21" s="58">
        <v>20</v>
      </c>
      <c r="N21" s="59" t="str">
        <f t="shared" ca="1" si="24"/>
        <v>ý</v>
      </c>
      <c r="O21" s="156"/>
    </row>
    <row r="22" spans="1:15" x14ac:dyDescent="0.3">
      <c r="A22" s="158" t="s">
        <v>320</v>
      </c>
      <c r="B22" s="62" t="s">
        <v>312</v>
      </c>
      <c r="C22" s="44" t="s">
        <v>313</v>
      </c>
      <c r="D22" s="104" t="s">
        <v>79</v>
      </c>
      <c r="E22" s="103">
        <v>10</v>
      </c>
      <c r="F22" s="102">
        <v>3</v>
      </c>
      <c r="G22" s="101">
        <v>3</v>
      </c>
      <c r="H22" s="44">
        <v>0</v>
      </c>
      <c r="I22" s="44">
        <v>0</v>
      </c>
      <c r="J22" s="44">
        <f t="shared" si="22"/>
        <v>13</v>
      </c>
      <c r="K22" s="45">
        <f t="shared" ca="1" si="18"/>
        <v>3</v>
      </c>
      <c r="L22" s="44">
        <f t="shared" ca="1" si="23"/>
        <v>16</v>
      </c>
      <c r="M22" s="57">
        <v>20</v>
      </c>
      <c r="N22" s="60" t="str">
        <f t="shared" ca="1" si="24"/>
        <v>ý</v>
      </c>
      <c r="O22" s="140"/>
    </row>
    <row r="23" spans="1:15" x14ac:dyDescent="0.3">
      <c r="A23" s="158" t="s">
        <v>320</v>
      </c>
      <c r="B23" s="62" t="s">
        <v>314</v>
      </c>
      <c r="C23" s="44" t="s">
        <v>138</v>
      </c>
      <c r="D23" s="104" t="s">
        <v>105</v>
      </c>
      <c r="E23" s="103">
        <v>10</v>
      </c>
      <c r="F23" s="102">
        <v>3</v>
      </c>
      <c r="G23" s="101">
        <v>3</v>
      </c>
      <c r="H23" s="44">
        <v>0</v>
      </c>
      <c r="I23" s="44">
        <v>0</v>
      </c>
      <c r="J23" s="44">
        <f t="shared" si="22"/>
        <v>13</v>
      </c>
      <c r="K23" s="45">
        <f t="shared" ca="1" si="18"/>
        <v>13</v>
      </c>
      <c r="L23" s="44">
        <f t="shared" ca="1" si="23"/>
        <v>26</v>
      </c>
      <c r="M23" s="57">
        <v>20</v>
      </c>
      <c r="N23" s="60" t="str">
        <f t="shared" ca="1" si="24"/>
        <v>ý</v>
      </c>
      <c r="O23" s="140"/>
    </row>
    <row r="24" spans="1:15" x14ac:dyDescent="0.3">
      <c r="A24" s="158" t="s">
        <v>320</v>
      </c>
      <c r="B24" s="62" t="s">
        <v>314</v>
      </c>
      <c r="C24" s="44" t="s">
        <v>138</v>
      </c>
      <c r="D24" s="104" t="s">
        <v>105</v>
      </c>
      <c r="E24" s="103">
        <v>10</v>
      </c>
      <c r="F24" s="102">
        <v>3</v>
      </c>
      <c r="G24" s="101">
        <v>3</v>
      </c>
      <c r="H24" s="44">
        <v>0</v>
      </c>
      <c r="I24" s="44">
        <v>0</v>
      </c>
      <c r="J24" s="44">
        <f t="shared" ref="J24:J42" si="25">IF(D24="þ",SUM(E24,G24:I24),SUM(E24,F24,H24,I24))</f>
        <v>13</v>
      </c>
      <c r="K24" s="45">
        <f t="shared" ca="1" si="18"/>
        <v>9</v>
      </c>
      <c r="L24" s="44">
        <f t="shared" ref="L24:L42" ca="1" si="26">SUM(J24:K24)</f>
        <v>22</v>
      </c>
      <c r="M24" s="57">
        <v>20</v>
      </c>
      <c r="N24" s="60" t="str">
        <f t="shared" ref="N24:N42" ca="1" si="27">IF(K24&gt;(M24-1),"þ","ý")</f>
        <v>ý</v>
      </c>
      <c r="O24" s="140"/>
    </row>
    <row r="25" spans="1:15" x14ac:dyDescent="0.3">
      <c r="A25" s="158" t="s">
        <v>320</v>
      </c>
      <c r="B25" s="62" t="s">
        <v>314</v>
      </c>
      <c r="C25" s="44" t="s">
        <v>138</v>
      </c>
      <c r="D25" s="104" t="s">
        <v>105</v>
      </c>
      <c r="E25" s="103">
        <v>10</v>
      </c>
      <c r="F25" s="102">
        <v>3</v>
      </c>
      <c r="G25" s="101">
        <v>3</v>
      </c>
      <c r="H25" s="44">
        <v>0</v>
      </c>
      <c r="I25" s="44">
        <v>0</v>
      </c>
      <c r="J25" s="44">
        <f t="shared" si="25"/>
        <v>13</v>
      </c>
      <c r="K25" s="45">
        <f t="shared" ca="1" si="18"/>
        <v>10</v>
      </c>
      <c r="L25" s="44">
        <f t="shared" ca="1" si="26"/>
        <v>23</v>
      </c>
      <c r="M25" s="57">
        <v>20</v>
      </c>
      <c r="N25" s="60" t="str">
        <f t="shared" ca="1" si="27"/>
        <v>ý</v>
      </c>
      <c r="O25" s="140"/>
    </row>
    <row r="26" spans="1:15" x14ac:dyDescent="0.3">
      <c r="A26" s="158" t="s">
        <v>320</v>
      </c>
      <c r="B26" s="62" t="s">
        <v>314</v>
      </c>
      <c r="C26" s="44" t="s">
        <v>138</v>
      </c>
      <c r="D26" s="104" t="s">
        <v>105</v>
      </c>
      <c r="E26" s="103">
        <v>10</v>
      </c>
      <c r="F26" s="102">
        <v>3</v>
      </c>
      <c r="G26" s="101">
        <v>3</v>
      </c>
      <c r="H26" s="44">
        <v>0</v>
      </c>
      <c r="I26" s="44">
        <v>0</v>
      </c>
      <c r="J26" s="44">
        <f t="shared" si="25"/>
        <v>13</v>
      </c>
      <c r="K26" s="45">
        <f t="shared" ca="1" si="18"/>
        <v>1</v>
      </c>
      <c r="L26" s="44">
        <f t="shared" ca="1" si="26"/>
        <v>14</v>
      </c>
      <c r="M26" s="57">
        <v>20</v>
      </c>
      <c r="N26" s="60" t="str">
        <f t="shared" ca="1" si="27"/>
        <v>ý</v>
      </c>
      <c r="O26" s="140"/>
    </row>
    <row r="27" spans="1:15" x14ac:dyDescent="0.3">
      <c r="A27" s="158" t="s">
        <v>320</v>
      </c>
      <c r="B27" s="62" t="s">
        <v>314</v>
      </c>
      <c r="C27" s="44" t="s">
        <v>138</v>
      </c>
      <c r="D27" s="104" t="s">
        <v>105</v>
      </c>
      <c r="E27" s="103">
        <v>10</v>
      </c>
      <c r="F27" s="102">
        <v>3</v>
      </c>
      <c r="G27" s="101">
        <v>3</v>
      </c>
      <c r="H27" s="44">
        <v>0</v>
      </c>
      <c r="I27" s="44">
        <v>0</v>
      </c>
      <c r="J27" s="44">
        <f t="shared" si="25"/>
        <v>13</v>
      </c>
      <c r="K27" s="45">
        <f t="shared" ca="1" si="18"/>
        <v>10</v>
      </c>
      <c r="L27" s="44">
        <f t="shared" ca="1" si="26"/>
        <v>23</v>
      </c>
      <c r="M27" s="57">
        <v>20</v>
      </c>
      <c r="N27" s="60" t="str">
        <f t="shared" ca="1" si="27"/>
        <v>ý</v>
      </c>
      <c r="O27" s="140"/>
    </row>
    <row r="28" spans="1:15" x14ac:dyDescent="0.3">
      <c r="A28" s="158" t="s">
        <v>320</v>
      </c>
      <c r="B28" s="62" t="s">
        <v>314</v>
      </c>
      <c r="C28" s="44" t="s">
        <v>138</v>
      </c>
      <c r="D28" s="104" t="s">
        <v>105</v>
      </c>
      <c r="E28" s="103">
        <v>10</v>
      </c>
      <c r="F28" s="102">
        <v>3</v>
      </c>
      <c r="G28" s="101">
        <v>3</v>
      </c>
      <c r="H28" s="44">
        <v>0</v>
      </c>
      <c r="I28" s="44">
        <v>0</v>
      </c>
      <c r="J28" s="44">
        <f t="shared" si="25"/>
        <v>13</v>
      </c>
      <c r="K28" s="45">
        <f t="shared" ca="1" si="18"/>
        <v>3</v>
      </c>
      <c r="L28" s="44">
        <f t="shared" ca="1" si="26"/>
        <v>16</v>
      </c>
      <c r="M28" s="57">
        <v>20</v>
      </c>
      <c r="N28" s="60" t="str">
        <f t="shared" ca="1" si="27"/>
        <v>ý</v>
      </c>
      <c r="O28" s="140"/>
    </row>
    <row r="29" spans="1:15" x14ac:dyDescent="0.3">
      <c r="A29" s="158" t="s">
        <v>320</v>
      </c>
      <c r="B29" s="62" t="s">
        <v>314</v>
      </c>
      <c r="C29" s="44" t="s">
        <v>138</v>
      </c>
      <c r="D29" s="104" t="s">
        <v>105</v>
      </c>
      <c r="E29" s="103">
        <v>10</v>
      </c>
      <c r="F29" s="102">
        <v>3</v>
      </c>
      <c r="G29" s="101">
        <v>3</v>
      </c>
      <c r="H29" s="44">
        <v>0</v>
      </c>
      <c r="I29" s="44">
        <v>0</v>
      </c>
      <c r="J29" s="44">
        <f t="shared" si="25"/>
        <v>13</v>
      </c>
      <c r="K29" s="45">
        <f t="shared" ca="1" si="18"/>
        <v>8</v>
      </c>
      <c r="L29" s="44">
        <f t="shared" ca="1" si="26"/>
        <v>21</v>
      </c>
      <c r="M29" s="57">
        <v>20</v>
      </c>
      <c r="N29" s="60" t="str">
        <f t="shared" ca="1" si="27"/>
        <v>ý</v>
      </c>
      <c r="O29" s="140"/>
    </row>
    <row r="30" spans="1:15" x14ac:dyDescent="0.3">
      <c r="A30" s="158" t="s">
        <v>320</v>
      </c>
      <c r="B30" s="62" t="s">
        <v>314</v>
      </c>
      <c r="C30" s="44" t="s">
        <v>138</v>
      </c>
      <c r="D30" s="104" t="s">
        <v>105</v>
      </c>
      <c r="E30" s="103">
        <v>10</v>
      </c>
      <c r="F30" s="102">
        <v>3</v>
      </c>
      <c r="G30" s="101">
        <v>3</v>
      </c>
      <c r="H30" s="44">
        <v>0</v>
      </c>
      <c r="I30" s="44">
        <v>0</v>
      </c>
      <c r="J30" s="44">
        <f t="shared" si="25"/>
        <v>13</v>
      </c>
      <c r="K30" s="45">
        <f t="shared" ca="1" si="18"/>
        <v>6</v>
      </c>
      <c r="L30" s="44">
        <f t="shared" ca="1" si="26"/>
        <v>19</v>
      </c>
      <c r="M30" s="57">
        <v>20</v>
      </c>
      <c r="N30" s="60" t="str">
        <f t="shared" ca="1" si="27"/>
        <v>ý</v>
      </c>
      <c r="O30" s="140"/>
    </row>
    <row r="31" spans="1:15" x14ac:dyDescent="0.3">
      <c r="A31" s="158" t="s">
        <v>320</v>
      </c>
      <c r="B31" s="62" t="s">
        <v>314</v>
      </c>
      <c r="C31" s="44" t="s">
        <v>138</v>
      </c>
      <c r="D31" s="104" t="s">
        <v>105</v>
      </c>
      <c r="E31" s="103">
        <v>10</v>
      </c>
      <c r="F31" s="102">
        <v>3</v>
      </c>
      <c r="G31" s="101">
        <v>3</v>
      </c>
      <c r="H31" s="44">
        <v>0</v>
      </c>
      <c r="I31" s="44">
        <v>0</v>
      </c>
      <c r="J31" s="44">
        <f t="shared" si="25"/>
        <v>13</v>
      </c>
      <c r="K31" s="45">
        <f t="shared" ca="1" si="18"/>
        <v>17</v>
      </c>
      <c r="L31" s="44">
        <f t="shared" ca="1" si="26"/>
        <v>30</v>
      </c>
      <c r="M31" s="57">
        <v>20</v>
      </c>
      <c r="N31" s="60" t="str">
        <f t="shared" ca="1" si="27"/>
        <v>ý</v>
      </c>
      <c r="O31" s="140"/>
    </row>
    <row r="32" spans="1:15" x14ac:dyDescent="0.3">
      <c r="A32" s="158" t="s">
        <v>320</v>
      </c>
      <c r="B32" s="62" t="s">
        <v>314</v>
      </c>
      <c r="C32" s="44" t="s">
        <v>138</v>
      </c>
      <c r="D32" s="104" t="s">
        <v>105</v>
      </c>
      <c r="E32" s="103">
        <v>10</v>
      </c>
      <c r="F32" s="102">
        <v>3</v>
      </c>
      <c r="G32" s="101">
        <v>3</v>
      </c>
      <c r="H32" s="44">
        <v>0</v>
      </c>
      <c r="I32" s="44">
        <v>0</v>
      </c>
      <c r="J32" s="44">
        <f t="shared" si="25"/>
        <v>13</v>
      </c>
      <c r="K32" s="45">
        <f t="shared" ca="1" si="18"/>
        <v>2</v>
      </c>
      <c r="L32" s="44">
        <f t="shared" ca="1" si="26"/>
        <v>15</v>
      </c>
      <c r="M32" s="57">
        <v>20</v>
      </c>
      <c r="N32" s="60" t="str">
        <f t="shared" ca="1" si="27"/>
        <v>ý</v>
      </c>
      <c r="O32" s="140"/>
    </row>
    <row r="33" spans="1:15" x14ac:dyDescent="0.3">
      <c r="A33" s="158" t="s">
        <v>320</v>
      </c>
      <c r="B33" s="62" t="s">
        <v>314</v>
      </c>
      <c r="C33" s="44" t="s">
        <v>138</v>
      </c>
      <c r="D33" s="104" t="s">
        <v>105</v>
      </c>
      <c r="E33" s="103">
        <v>10</v>
      </c>
      <c r="F33" s="102">
        <v>3</v>
      </c>
      <c r="G33" s="101">
        <v>3</v>
      </c>
      <c r="H33" s="44">
        <v>0</v>
      </c>
      <c r="I33" s="44">
        <v>0</v>
      </c>
      <c r="J33" s="44">
        <f t="shared" si="25"/>
        <v>13</v>
      </c>
      <c r="K33" s="45">
        <f t="shared" ca="1" si="18"/>
        <v>10</v>
      </c>
      <c r="L33" s="44">
        <f t="shared" ca="1" si="26"/>
        <v>23</v>
      </c>
      <c r="M33" s="57">
        <v>20</v>
      </c>
      <c r="N33" s="60" t="str">
        <f t="shared" ca="1" si="27"/>
        <v>ý</v>
      </c>
      <c r="O33" s="140"/>
    </row>
    <row r="34" spans="1:15" x14ac:dyDescent="0.3">
      <c r="A34" s="158" t="s">
        <v>320</v>
      </c>
      <c r="B34" s="62" t="s">
        <v>314</v>
      </c>
      <c r="C34" s="44" t="s">
        <v>138</v>
      </c>
      <c r="D34" s="104" t="s">
        <v>105</v>
      </c>
      <c r="E34" s="103">
        <v>10</v>
      </c>
      <c r="F34" s="102">
        <v>3</v>
      </c>
      <c r="G34" s="101">
        <v>3</v>
      </c>
      <c r="H34" s="44">
        <v>0</v>
      </c>
      <c r="I34" s="44">
        <v>0</v>
      </c>
      <c r="J34" s="44">
        <f t="shared" si="25"/>
        <v>13</v>
      </c>
      <c r="K34" s="45">
        <f t="shared" ca="1" si="18"/>
        <v>2</v>
      </c>
      <c r="L34" s="44">
        <f t="shared" ca="1" si="26"/>
        <v>15</v>
      </c>
      <c r="M34" s="57">
        <v>20</v>
      </c>
      <c r="N34" s="60" t="str">
        <f t="shared" ca="1" si="27"/>
        <v>ý</v>
      </c>
      <c r="O34" s="140"/>
    </row>
    <row r="35" spans="1:15" x14ac:dyDescent="0.3">
      <c r="A35" s="158" t="s">
        <v>320</v>
      </c>
      <c r="B35" s="62" t="s">
        <v>314</v>
      </c>
      <c r="C35" s="44" t="s">
        <v>138</v>
      </c>
      <c r="D35" s="104" t="s">
        <v>105</v>
      </c>
      <c r="E35" s="103">
        <v>10</v>
      </c>
      <c r="F35" s="102">
        <v>3</v>
      </c>
      <c r="G35" s="101">
        <v>3</v>
      </c>
      <c r="H35" s="44">
        <v>0</v>
      </c>
      <c r="I35" s="44">
        <v>0</v>
      </c>
      <c r="J35" s="44">
        <f t="shared" si="25"/>
        <v>13</v>
      </c>
      <c r="K35" s="45">
        <f t="shared" ca="1" si="18"/>
        <v>11</v>
      </c>
      <c r="L35" s="44">
        <f t="shared" ca="1" si="26"/>
        <v>24</v>
      </c>
      <c r="M35" s="57">
        <v>20</v>
      </c>
      <c r="N35" s="60" t="str">
        <f t="shared" ca="1" si="27"/>
        <v>ý</v>
      </c>
      <c r="O35" s="140"/>
    </row>
    <row r="36" spans="1:15" x14ac:dyDescent="0.3">
      <c r="A36" s="158" t="s">
        <v>320</v>
      </c>
      <c r="B36" s="62" t="s">
        <v>314</v>
      </c>
      <c r="C36" s="44" t="s">
        <v>138</v>
      </c>
      <c r="D36" s="104" t="s">
        <v>105</v>
      </c>
      <c r="E36" s="103">
        <v>10</v>
      </c>
      <c r="F36" s="102">
        <v>3</v>
      </c>
      <c r="G36" s="101">
        <v>3</v>
      </c>
      <c r="H36" s="44">
        <v>0</v>
      </c>
      <c r="I36" s="44">
        <v>0</v>
      </c>
      <c r="J36" s="44">
        <f t="shared" si="25"/>
        <v>13</v>
      </c>
      <c r="K36" s="45">
        <f t="shared" ca="1" si="18"/>
        <v>14</v>
      </c>
      <c r="L36" s="44">
        <f t="shared" ca="1" si="26"/>
        <v>27</v>
      </c>
      <c r="M36" s="57">
        <v>20</v>
      </c>
      <c r="N36" s="60" t="str">
        <f t="shared" ca="1" si="27"/>
        <v>ý</v>
      </c>
      <c r="O36" s="140"/>
    </row>
    <row r="37" spans="1:15" x14ac:dyDescent="0.3">
      <c r="A37" s="158" t="s">
        <v>320</v>
      </c>
      <c r="B37" s="62" t="s">
        <v>314</v>
      </c>
      <c r="C37" s="44" t="s">
        <v>138</v>
      </c>
      <c r="D37" s="104" t="s">
        <v>105</v>
      </c>
      <c r="E37" s="103">
        <v>10</v>
      </c>
      <c r="F37" s="102">
        <v>3</v>
      </c>
      <c r="G37" s="101">
        <v>3</v>
      </c>
      <c r="H37" s="44">
        <v>0</v>
      </c>
      <c r="I37" s="44">
        <v>0</v>
      </c>
      <c r="J37" s="44">
        <f t="shared" si="25"/>
        <v>13</v>
      </c>
      <c r="K37" s="45">
        <f t="shared" ca="1" si="18"/>
        <v>1</v>
      </c>
      <c r="L37" s="44">
        <f t="shared" ca="1" si="26"/>
        <v>14</v>
      </c>
      <c r="M37" s="57">
        <v>20</v>
      </c>
      <c r="N37" s="60" t="str">
        <f t="shared" ca="1" si="27"/>
        <v>ý</v>
      </c>
      <c r="O37" s="140"/>
    </row>
    <row r="38" spans="1:15" x14ac:dyDescent="0.3">
      <c r="A38" s="158" t="s">
        <v>320</v>
      </c>
      <c r="B38" s="62" t="s">
        <v>314</v>
      </c>
      <c r="C38" s="44" t="s">
        <v>138</v>
      </c>
      <c r="D38" s="104" t="s">
        <v>105</v>
      </c>
      <c r="E38" s="103">
        <v>10</v>
      </c>
      <c r="F38" s="102">
        <v>3</v>
      </c>
      <c r="G38" s="101">
        <v>3</v>
      </c>
      <c r="H38" s="44">
        <v>0</v>
      </c>
      <c r="I38" s="44">
        <v>0</v>
      </c>
      <c r="J38" s="44">
        <f t="shared" si="25"/>
        <v>13</v>
      </c>
      <c r="K38" s="45">
        <f t="shared" ca="1" si="18"/>
        <v>6</v>
      </c>
      <c r="L38" s="44">
        <f t="shared" ca="1" si="26"/>
        <v>19</v>
      </c>
      <c r="M38" s="57">
        <v>20</v>
      </c>
      <c r="N38" s="60" t="str">
        <f t="shared" ca="1" si="27"/>
        <v>ý</v>
      </c>
      <c r="O38" s="140"/>
    </row>
    <row r="39" spans="1:15" x14ac:dyDescent="0.3">
      <c r="A39" s="158" t="s">
        <v>320</v>
      </c>
      <c r="B39" s="62" t="s">
        <v>314</v>
      </c>
      <c r="C39" s="44" t="s">
        <v>138</v>
      </c>
      <c r="D39" s="104" t="s">
        <v>105</v>
      </c>
      <c r="E39" s="103">
        <v>10</v>
      </c>
      <c r="F39" s="102">
        <v>3</v>
      </c>
      <c r="G39" s="101">
        <v>3</v>
      </c>
      <c r="H39" s="44">
        <v>0</v>
      </c>
      <c r="I39" s="44">
        <v>0</v>
      </c>
      <c r="J39" s="44">
        <f t="shared" si="25"/>
        <v>13</v>
      </c>
      <c r="K39" s="45">
        <f t="shared" ca="1" si="18"/>
        <v>17</v>
      </c>
      <c r="L39" s="44">
        <f t="shared" ca="1" si="26"/>
        <v>30</v>
      </c>
      <c r="M39" s="57">
        <v>20</v>
      </c>
      <c r="N39" s="60" t="str">
        <f t="shared" ca="1" si="27"/>
        <v>ý</v>
      </c>
      <c r="O39" s="140"/>
    </row>
    <row r="40" spans="1:15" x14ac:dyDescent="0.3">
      <c r="A40" s="158" t="s">
        <v>320</v>
      </c>
      <c r="B40" s="62" t="s">
        <v>314</v>
      </c>
      <c r="C40" s="44" t="s">
        <v>138</v>
      </c>
      <c r="D40" s="104" t="s">
        <v>105</v>
      </c>
      <c r="E40" s="103">
        <v>10</v>
      </c>
      <c r="F40" s="102">
        <v>3</v>
      </c>
      <c r="G40" s="101">
        <v>3</v>
      </c>
      <c r="H40" s="44">
        <v>0</v>
      </c>
      <c r="I40" s="44">
        <v>0</v>
      </c>
      <c r="J40" s="44">
        <f t="shared" si="25"/>
        <v>13</v>
      </c>
      <c r="K40" s="45">
        <f t="shared" ca="1" si="18"/>
        <v>13</v>
      </c>
      <c r="L40" s="44">
        <f t="shared" ca="1" si="26"/>
        <v>26</v>
      </c>
      <c r="M40" s="57">
        <v>20</v>
      </c>
      <c r="N40" s="60" t="str">
        <f t="shared" ca="1" si="27"/>
        <v>ý</v>
      </c>
      <c r="O40" s="140"/>
    </row>
    <row r="41" spans="1:15" x14ac:dyDescent="0.3">
      <c r="A41" s="158" t="s">
        <v>320</v>
      </c>
      <c r="B41" s="62" t="s">
        <v>314</v>
      </c>
      <c r="C41" s="44" t="s">
        <v>138</v>
      </c>
      <c r="D41" s="104" t="s">
        <v>105</v>
      </c>
      <c r="E41" s="103">
        <v>10</v>
      </c>
      <c r="F41" s="102">
        <v>3</v>
      </c>
      <c r="G41" s="101">
        <v>3</v>
      </c>
      <c r="H41" s="44">
        <v>0</v>
      </c>
      <c r="I41" s="44">
        <v>0</v>
      </c>
      <c r="J41" s="44">
        <f t="shared" si="25"/>
        <v>13</v>
      </c>
      <c r="K41" s="45">
        <f t="shared" ca="1" si="18"/>
        <v>4</v>
      </c>
      <c r="L41" s="44">
        <f t="shared" ca="1" si="26"/>
        <v>17</v>
      </c>
      <c r="M41" s="57">
        <v>20</v>
      </c>
      <c r="N41" s="60" t="str">
        <f t="shared" ca="1" si="27"/>
        <v>ý</v>
      </c>
      <c r="O41" s="140"/>
    </row>
    <row r="42" spans="1:15" x14ac:dyDescent="0.3">
      <c r="A42" s="158" t="s">
        <v>320</v>
      </c>
      <c r="B42" s="62" t="s">
        <v>314</v>
      </c>
      <c r="C42" s="44" t="s">
        <v>138</v>
      </c>
      <c r="D42" s="104" t="s">
        <v>105</v>
      </c>
      <c r="E42" s="103">
        <v>10</v>
      </c>
      <c r="F42" s="102">
        <v>3</v>
      </c>
      <c r="G42" s="101">
        <v>3</v>
      </c>
      <c r="H42" s="44">
        <v>0</v>
      </c>
      <c r="I42" s="44">
        <v>0</v>
      </c>
      <c r="J42" s="44">
        <f t="shared" si="25"/>
        <v>13</v>
      </c>
      <c r="K42" s="45">
        <f t="shared" ca="1" si="18"/>
        <v>3</v>
      </c>
      <c r="L42" s="44">
        <f t="shared" ca="1" si="26"/>
        <v>16</v>
      </c>
      <c r="M42" s="57">
        <v>20</v>
      </c>
      <c r="N42" s="60" t="str">
        <f t="shared" ca="1" si="27"/>
        <v>ý</v>
      </c>
      <c r="O42" s="140"/>
    </row>
    <row r="43" spans="1:15" x14ac:dyDescent="0.3">
      <c r="A43" s="159" t="s">
        <v>320</v>
      </c>
      <c r="B43" s="46" t="s">
        <v>123</v>
      </c>
      <c r="C43" s="46" t="s">
        <v>123</v>
      </c>
      <c r="D43" s="100" t="s">
        <v>79</v>
      </c>
      <c r="E43" s="99">
        <v>10</v>
      </c>
      <c r="F43" s="98">
        <v>3</v>
      </c>
      <c r="G43" s="97">
        <v>3</v>
      </c>
      <c r="H43" s="46">
        <v>0</v>
      </c>
      <c r="I43" s="46">
        <v>0</v>
      </c>
      <c r="J43" s="46">
        <f t="shared" si="22"/>
        <v>13</v>
      </c>
      <c r="K43" s="47">
        <f t="shared" ca="1" si="18"/>
        <v>2</v>
      </c>
      <c r="L43" s="46">
        <f t="shared" ca="1" si="23"/>
        <v>15</v>
      </c>
      <c r="M43" s="58">
        <v>20</v>
      </c>
      <c r="N43" s="59" t="str">
        <f t="shared" ca="1" si="24"/>
        <v>ý</v>
      </c>
      <c r="O43" s="156"/>
    </row>
    <row r="44" spans="1:15" x14ac:dyDescent="0.3">
      <c r="A44" s="347" t="s">
        <v>345</v>
      </c>
      <c r="B44" s="62" t="s">
        <v>121</v>
      </c>
      <c r="C44" s="44" t="s">
        <v>362</v>
      </c>
      <c r="D44" s="104" t="s">
        <v>79</v>
      </c>
      <c r="E44" s="103">
        <v>20</v>
      </c>
      <c r="F44" s="102">
        <v>6</v>
      </c>
      <c r="G44" s="101">
        <v>0</v>
      </c>
      <c r="H44" s="44">
        <v>0</v>
      </c>
      <c r="I44" s="44">
        <v>0</v>
      </c>
      <c r="J44" s="44">
        <f t="shared" si="22"/>
        <v>26</v>
      </c>
      <c r="K44" s="45">
        <f t="shared" ca="1" si="18"/>
        <v>2</v>
      </c>
      <c r="L44" s="44">
        <f t="shared" ca="1" si="23"/>
        <v>28</v>
      </c>
      <c r="M44" s="57">
        <v>20</v>
      </c>
      <c r="N44" s="60" t="str">
        <f t="shared" ca="1" si="24"/>
        <v>ý</v>
      </c>
      <c r="O44" s="140"/>
    </row>
    <row r="45" spans="1:15" x14ac:dyDescent="0.3">
      <c r="A45" s="347" t="s">
        <v>345</v>
      </c>
      <c r="B45" s="62" t="s">
        <v>363</v>
      </c>
      <c r="C45" s="44" t="s">
        <v>365</v>
      </c>
      <c r="D45" s="104" t="s">
        <v>79</v>
      </c>
      <c r="E45" s="103">
        <v>20</v>
      </c>
      <c r="F45" s="102">
        <v>1</v>
      </c>
      <c r="G45" s="101">
        <v>0</v>
      </c>
      <c r="H45" s="44">
        <v>0</v>
      </c>
      <c r="I45" s="44">
        <v>0</v>
      </c>
      <c r="J45" s="44">
        <f t="shared" si="22"/>
        <v>21</v>
      </c>
      <c r="K45" s="45">
        <f t="shared" ca="1" si="18"/>
        <v>8</v>
      </c>
      <c r="L45" s="44">
        <f t="shared" ca="1" si="23"/>
        <v>29</v>
      </c>
      <c r="M45" s="57">
        <v>20</v>
      </c>
      <c r="N45" s="60" t="str">
        <f t="shared" ca="1" si="24"/>
        <v>ý</v>
      </c>
      <c r="O45" s="140"/>
    </row>
    <row r="46" spans="1:15" x14ac:dyDescent="0.3">
      <c r="A46" s="347" t="s">
        <v>345</v>
      </c>
      <c r="B46" s="62" t="s">
        <v>364</v>
      </c>
      <c r="C46" s="44" t="s">
        <v>365</v>
      </c>
      <c r="D46" s="104" t="s">
        <v>79</v>
      </c>
      <c r="E46" s="103">
        <v>20</v>
      </c>
      <c r="F46" s="102">
        <v>1</v>
      </c>
      <c r="G46" s="101">
        <v>0</v>
      </c>
      <c r="H46" s="44">
        <v>0</v>
      </c>
      <c r="I46" s="44">
        <v>0</v>
      </c>
      <c r="J46" s="44">
        <f t="shared" ref="J46:J47" si="28">IF(D46="þ",SUM(E46,G46:I46),SUM(E46,F46,H46,I46))</f>
        <v>21</v>
      </c>
      <c r="K46" s="45">
        <f t="shared" ca="1" si="18"/>
        <v>20</v>
      </c>
      <c r="L46" s="44">
        <f t="shared" ref="L46:L47" ca="1" si="29">SUM(J46:K46)</f>
        <v>41</v>
      </c>
      <c r="M46" s="57">
        <v>20</v>
      </c>
      <c r="N46" s="60" t="str">
        <f t="shared" ref="N46:N47" ca="1" si="30">IF(K46&gt;(M46-1),"þ","ý")</f>
        <v>þ</v>
      </c>
      <c r="O46" s="140"/>
    </row>
    <row r="47" spans="1:15" x14ac:dyDescent="0.3">
      <c r="A47" s="347" t="s">
        <v>345</v>
      </c>
      <c r="B47" s="62" t="s">
        <v>368</v>
      </c>
      <c r="C47" s="44" t="s">
        <v>370</v>
      </c>
      <c r="D47" s="104" t="s">
        <v>79</v>
      </c>
      <c r="E47" s="103">
        <v>20</v>
      </c>
      <c r="F47" s="102">
        <v>1</v>
      </c>
      <c r="G47" s="101">
        <v>0</v>
      </c>
      <c r="H47" s="44">
        <v>0</v>
      </c>
      <c r="I47" s="44">
        <v>0</v>
      </c>
      <c r="J47" s="44">
        <f t="shared" si="28"/>
        <v>21</v>
      </c>
      <c r="K47" s="45">
        <f t="shared" ca="1" si="18"/>
        <v>4</v>
      </c>
      <c r="L47" s="44">
        <f t="shared" ca="1" si="29"/>
        <v>25</v>
      </c>
      <c r="M47" s="57">
        <v>20</v>
      </c>
      <c r="N47" s="60" t="str">
        <f t="shared" ca="1" si="30"/>
        <v>ý</v>
      </c>
      <c r="O47" s="140"/>
    </row>
    <row r="48" spans="1:15" x14ac:dyDescent="0.3">
      <c r="A48" s="347" t="s">
        <v>345</v>
      </c>
      <c r="B48" s="62" t="s">
        <v>369</v>
      </c>
      <c r="C48" s="44" t="s">
        <v>370</v>
      </c>
      <c r="D48" s="104" t="s">
        <v>79</v>
      </c>
      <c r="E48" s="103">
        <v>20</v>
      </c>
      <c r="F48" s="102">
        <v>1</v>
      </c>
      <c r="G48" s="101">
        <v>0</v>
      </c>
      <c r="H48" s="44">
        <v>0</v>
      </c>
      <c r="I48" s="44">
        <v>0</v>
      </c>
      <c r="J48" s="44">
        <f t="shared" ref="J48" si="31">IF(D48="þ",SUM(E48,G48:I48),SUM(E48,F48,H48,I48))</f>
        <v>21</v>
      </c>
      <c r="K48" s="45">
        <f t="shared" ca="1" si="18"/>
        <v>8</v>
      </c>
      <c r="L48" s="44">
        <f t="shared" ref="L48" ca="1" si="32">SUM(J48:K48)</f>
        <v>29</v>
      </c>
      <c r="M48" s="57">
        <v>20</v>
      </c>
      <c r="N48" s="60" t="str">
        <f t="shared" ref="N48" ca="1" si="33">IF(K48&gt;(M48-1),"þ","ý")</f>
        <v>ý</v>
      </c>
      <c r="O48" s="140"/>
    </row>
    <row r="49" spans="1:15" x14ac:dyDescent="0.3">
      <c r="A49" s="347" t="s">
        <v>345</v>
      </c>
      <c r="B49" s="62" t="s">
        <v>366</v>
      </c>
      <c r="C49" s="44" t="s">
        <v>367</v>
      </c>
      <c r="D49" s="104" t="s">
        <v>79</v>
      </c>
      <c r="E49" s="103">
        <v>20</v>
      </c>
      <c r="F49" s="102">
        <v>6</v>
      </c>
      <c r="G49" s="101">
        <v>0</v>
      </c>
      <c r="H49" s="44">
        <v>0</v>
      </c>
      <c r="I49" s="44">
        <v>0</v>
      </c>
      <c r="J49" s="44">
        <f t="shared" si="22"/>
        <v>26</v>
      </c>
      <c r="K49" s="45">
        <f t="shared" ca="1" si="18"/>
        <v>8</v>
      </c>
      <c r="L49" s="44">
        <f t="shared" ca="1" si="23"/>
        <v>34</v>
      </c>
      <c r="M49" s="57">
        <v>20</v>
      </c>
      <c r="N49" s="60" t="str">
        <f t="shared" ca="1" si="24"/>
        <v>ý</v>
      </c>
      <c r="O49" s="140"/>
    </row>
    <row r="50" spans="1:15" x14ac:dyDescent="0.3">
      <c r="A50" s="347" t="s">
        <v>345</v>
      </c>
      <c r="B50" s="62" t="s">
        <v>371</v>
      </c>
      <c r="C50" s="44" t="s">
        <v>372</v>
      </c>
      <c r="D50" s="104"/>
      <c r="E50" s="103"/>
      <c r="F50" s="102"/>
      <c r="G50" s="101"/>
      <c r="H50" s="44"/>
      <c r="I50" s="44" t="s">
        <v>374</v>
      </c>
      <c r="J50" s="44"/>
      <c r="K50" s="44"/>
      <c r="L50" s="44"/>
      <c r="M50" s="44"/>
      <c r="N50" s="44"/>
      <c r="O50" s="140" t="s">
        <v>373</v>
      </c>
    </row>
    <row r="51" spans="1:15" x14ac:dyDescent="0.3">
      <c r="A51" s="348" t="s">
        <v>345</v>
      </c>
      <c r="B51" s="46" t="s">
        <v>123</v>
      </c>
      <c r="C51" s="46" t="s">
        <v>123</v>
      </c>
      <c r="D51" s="100" t="s">
        <v>79</v>
      </c>
      <c r="E51" s="99">
        <v>20</v>
      </c>
      <c r="F51" s="98">
        <v>16</v>
      </c>
      <c r="G51" s="97">
        <v>0</v>
      </c>
      <c r="H51" s="46">
        <v>0</v>
      </c>
      <c r="I51" s="46">
        <v>0</v>
      </c>
      <c r="J51" s="46">
        <f t="shared" si="22"/>
        <v>36</v>
      </c>
      <c r="K51" s="47">
        <f t="shared" ca="1" si="18"/>
        <v>10</v>
      </c>
      <c r="L51" s="46">
        <f t="shared" ca="1" si="23"/>
        <v>46</v>
      </c>
      <c r="M51" s="58">
        <v>20</v>
      </c>
      <c r="N51" s="59" t="str">
        <f t="shared" ca="1" si="24"/>
        <v>ý</v>
      </c>
      <c r="O51" s="156"/>
    </row>
    <row r="52" spans="1:15" x14ac:dyDescent="0.3">
      <c r="A52" s="347" t="s">
        <v>330</v>
      </c>
      <c r="B52" s="62" t="s">
        <v>331</v>
      </c>
      <c r="C52" s="44" t="s">
        <v>333</v>
      </c>
      <c r="D52" s="104" t="s">
        <v>79</v>
      </c>
      <c r="E52" s="103">
        <v>10</v>
      </c>
      <c r="F52" s="102">
        <v>5</v>
      </c>
      <c r="G52" s="101">
        <v>3</v>
      </c>
      <c r="H52" s="44">
        <v>0</v>
      </c>
      <c r="I52" s="44">
        <v>0</v>
      </c>
      <c r="J52" s="44">
        <f t="shared" ref="J52:J55" si="34">IF(D52="þ",SUM(E52,G52:I52),SUM(E52,F52,H52,I52))</f>
        <v>15</v>
      </c>
      <c r="K52" s="45">
        <f t="shared" ref="K52:K59" ca="1" si="35">RANDBETWEEN(1,20)</f>
        <v>18</v>
      </c>
      <c r="L52" s="44">
        <f t="shared" ref="L52:L55" ca="1" si="36">SUM(J52:K52)</f>
        <v>33</v>
      </c>
      <c r="M52" s="57">
        <v>20</v>
      </c>
      <c r="N52" s="60" t="str">
        <f t="shared" ref="N52:N55" ca="1" si="37">IF(K52&gt;(M52-1),"þ","ý")</f>
        <v>ý</v>
      </c>
      <c r="O52" s="140" t="s">
        <v>334</v>
      </c>
    </row>
    <row r="53" spans="1:15" x14ac:dyDescent="0.3">
      <c r="A53" s="347" t="s">
        <v>330</v>
      </c>
      <c r="B53" s="62" t="s">
        <v>332</v>
      </c>
      <c r="C53" s="44" t="s">
        <v>333</v>
      </c>
      <c r="D53" s="104" t="s">
        <v>79</v>
      </c>
      <c r="E53" s="103">
        <v>10</v>
      </c>
      <c r="F53" s="102">
        <v>5</v>
      </c>
      <c r="G53" s="101">
        <v>3</v>
      </c>
      <c r="H53" s="44">
        <v>0</v>
      </c>
      <c r="I53" s="44">
        <v>0</v>
      </c>
      <c r="J53" s="44">
        <f t="shared" ref="J53" si="38">IF(D53="þ",SUM(E53,G53:I53),SUM(E53,F53,H53,I53))</f>
        <v>15</v>
      </c>
      <c r="K53" s="45">
        <f t="shared" ca="1" si="35"/>
        <v>16</v>
      </c>
      <c r="L53" s="44">
        <f t="shared" ref="L53" ca="1" si="39">SUM(J53:K53)</f>
        <v>31</v>
      </c>
      <c r="M53" s="57">
        <v>20</v>
      </c>
      <c r="N53" s="60" t="str">
        <f t="shared" ref="N53" ca="1" si="40">IF(K53&gt;(M53-1),"þ","ý")</f>
        <v>ý</v>
      </c>
      <c r="O53" s="140" t="s">
        <v>334</v>
      </c>
    </row>
    <row r="54" spans="1:15" x14ac:dyDescent="0.3">
      <c r="A54" s="347" t="s">
        <v>330</v>
      </c>
      <c r="B54" s="62" t="s">
        <v>121</v>
      </c>
      <c r="C54" s="44" t="s">
        <v>335</v>
      </c>
      <c r="D54" s="104" t="s">
        <v>79</v>
      </c>
      <c r="E54" s="103">
        <v>10</v>
      </c>
      <c r="F54" s="102">
        <v>0</v>
      </c>
      <c r="G54" s="101">
        <v>3</v>
      </c>
      <c r="H54" s="44">
        <v>0</v>
      </c>
      <c r="I54" s="44">
        <v>0</v>
      </c>
      <c r="J54" s="44">
        <f t="shared" ref="J54" si="41">IF(D54="þ",SUM(E54,G54:I54),SUM(E54,F54,H54,I54))</f>
        <v>10</v>
      </c>
      <c r="K54" s="45">
        <f t="shared" ca="1" si="35"/>
        <v>11</v>
      </c>
      <c r="L54" s="44">
        <f t="shared" ref="L54" ca="1" si="42">SUM(J54:K54)</f>
        <v>21</v>
      </c>
      <c r="M54" s="57">
        <v>20</v>
      </c>
      <c r="N54" s="60" t="str">
        <f t="shared" ref="N54" ca="1" si="43">IF(K54&gt;(M54-1),"þ","ý")</f>
        <v>ý</v>
      </c>
      <c r="O54" s="140"/>
    </row>
    <row r="55" spans="1:15" x14ac:dyDescent="0.3">
      <c r="A55" s="348" t="s">
        <v>330</v>
      </c>
      <c r="B55" s="46" t="s">
        <v>123</v>
      </c>
      <c r="C55" s="46" t="s">
        <v>123</v>
      </c>
      <c r="D55" s="100" t="s">
        <v>79</v>
      </c>
      <c r="E55" s="99">
        <v>10</v>
      </c>
      <c r="F55" s="98">
        <v>10</v>
      </c>
      <c r="G55" s="97">
        <v>3</v>
      </c>
      <c r="H55" s="46">
        <v>0</v>
      </c>
      <c r="I55" s="46">
        <v>0</v>
      </c>
      <c r="J55" s="46">
        <f t="shared" si="34"/>
        <v>20</v>
      </c>
      <c r="K55" s="47">
        <f t="shared" ca="1" si="35"/>
        <v>16</v>
      </c>
      <c r="L55" s="46">
        <f t="shared" ca="1" si="36"/>
        <v>36</v>
      </c>
      <c r="M55" s="58">
        <v>20</v>
      </c>
      <c r="N55" s="59" t="str">
        <f t="shared" ca="1" si="37"/>
        <v>ý</v>
      </c>
      <c r="O55" s="156"/>
    </row>
    <row r="56" spans="1:15" x14ac:dyDescent="0.3">
      <c r="A56" s="345" t="s">
        <v>120</v>
      </c>
      <c r="B56" s="62" t="s">
        <v>121</v>
      </c>
      <c r="C56" s="44" t="s">
        <v>122</v>
      </c>
      <c r="D56" s="104" t="s">
        <v>79</v>
      </c>
      <c r="E56" s="103">
        <v>1</v>
      </c>
      <c r="F56" s="102">
        <v>2</v>
      </c>
      <c r="G56" s="101">
        <v>2</v>
      </c>
      <c r="H56" s="44">
        <v>0</v>
      </c>
      <c r="I56" s="44">
        <v>0</v>
      </c>
      <c r="J56" s="44">
        <f t="shared" ref="J56:J59" si="44">IF(D56="þ",SUM(E56,G56:I56),SUM(E56,F56,H56,I56))</f>
        <v>3</v>
      </c>
      <c r="K56" s="45">
        <f t="shared" ca="1" si="35"/>
        <v>10</v>
      </c>
      <c r="L56" s="44">
        <f t="shared" ref="L56:L59" ca="1" si="45">SUM(J56:K56)</f>
        <v>13</v>
      </c>
      <c r="M56" s="57">
        <v>20</v>
      </c>
      <c r="N56" s="60" t="str">
        <f t="shared" ref="N56:N59" ca="1" si="46">IF(K56&gt;(M56-1),"þ","ý")</f>
        <v>ý</v>
      </c>
      <c r="O56" s="140"/>
    </row>
    <row r="57" spans="1:15" x14ac:dyDescent="0.3">
      <c r="A57" s="346" t="s">
        <v>120</v>
      </c>
      <c r="B57" s="46" t="s">
        <v>123</v>
      </c>
      <c r="C57" s="46" t="s">
        <v>123</v>
      </c>
      <c r="D57" s="100" t="s">
        <v>79</v>
      </c>
      <c r="E57" s="99">
        <v>1</v>
      </c>
      <c r="F57" s="98">
        <v>2</v>
      </c>
      <c r="G57" s="97">
        <v>2</v>
      </c>
      <c r="H57" s="46">
        <v>0</v>
      </c>
      <c r="I57" s="46">
        <v>0</v>
      </c>
      <c r="J57" s="46">
        <f t="shared" si="44"/>
        <v>3</v>
      </c>
      <c r="K57" s="47">
        <f t="shared" ca="1" si="35"/>
        <v>12</v>
      </c>
      <c r="L57" s="46">
        <f t="shared" ca="1" si="45"/>
        <v>15</v>
      </c>
      <c r="M57" s="58">
        <v>20</v>
      </c>
      <c r="N57" s="59" t="str">
        <f t="shared" ca="1" si="46"/>
        <v>ý</v>
      </c>
      <c r="O57" s="156"/>
    </row>
    <row r="58" spans="1:15" ht="31.2" x14ac:dyDescent="0.3">
      <c r="A58" s="345" t="s">
        <v>124</v>
      </c>
      <c r="B58" s="62" t="s">
        <v>125</v>
      </c>
      <c r="C58" s="44" t="s">
        <v>126</v>
      </c>
      <c r="D58" s="104" t="s">
        <v>79</v>
      </c>
      <c r="E58" s="103">
        <v>2</v>
      </c>
      <c r="F58" s="102">
        <v>2</v>
      </c>
      <c r="G58" s="101">
        <v>2</v>
      </c>
      <c r="H58" s="44">
        <v>0</v>
      </c>
      <c r="I58" s="44">
        <v>0</v>
      </c>
      <c r="J58" s="44">
        <f t="shared" si="44"/>
        <v>4</v>
      </c>
      <c r="K58" s="45">
        <f t="shared" ca="1" si="35"/>
        <v>12</v>
      </c>
      <c r="L58" s="44">
        <f t="shared" ca="1" si="45"/>
        <v>16</v>
      </c>
      <c r="M58" s="57">
        <v>20</v>
      </c>
      <c r="N58" s="60" t="str">
        <f t="shared" ca="1" si="46"/>
        <v>ý</v>
      </c>
      <c r="O58" s="140" t="s">
        <v>127</v>
      </c>
    </row>
    <row r="59" spans="1:15" x14ac:dyDescent="0.3">
      <c r="A59" s="346" t="s">
        <v>124</v>
      </c>
      <c r="B59" s="46" t="s">
        <v>123</v>
      </c>
      <c r="C59" s="46" t="s">
        <v>123</v>
      </c>
      <c r="D59" s="100" t="s">
        <v>79</v>
      </c>
      <c r="E59" s="99">
        <v>2</v>
      </c>
      <c r="F59" s="98">
        <v>2</v>
      </c>
      <c r="G59" s="97">
        <v>2</v>
      </c>
      <c r="H59" s="46">
        <v>0</v>
      </c>
      <c r="I59" s="46">
        <v>0</v>
      </c>
      <c r="J59" s="46">
        <f t="shared" si="44"/>
        <v>4</v>
      </c>
      <c r="K59" s="47">
        <f t="shared" ca="1" si="35"/>
        <v>17</v>
      </c>
      <c r="L59" s="46">
        <f t="shared" ca="1" si="45"/>
        <v>21</v>
      </c>
      <c r="M59" s="58">
        <v>20</v>
      </c>
      <c r="N59" s="59" t="str">
        <f t="shared" ca="1" si="46"/>
        <v>ý</v>
      </c>
      <c r="O59" s="156"/>
    </row>
  </sheetData>
  <conditionalFormatting sqref="D2:D59">
    <cfRule type="cellIs" dxfId="4" priority="1" operator="equal">
      <formula>"þ"</formula>
    </cfRule>
  </conditionalFormatting>
  <conditionalFormatting sqref="K2:K49 K51:K59">
    <cfRule type="cellIs" dxfId="3" priority="3" operator="greaterThanOrEqual">
      <formula>$M2</formula>
    </cfRule>
  </conditionalFormatting>
  <conditionalFormatting sqref="N2:N59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3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3.5976562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79" t="s">
        <v>0</v>
      </c>
      <c r="B1" s="79" t="s">
        <v>62</v>
      </c>
      <c r="C1" s="79" t="s">
        <v>37</v>
      </c>
      <c r="D1" s="80" t="s">
        <v>3</v>
      </c>
      <c r="E1" s="79" t="s">
        <v>98</v>
      </c>
      <c r="F1" s="18"/>
      <c r="G1" s="79" t="s">
        <v>0</v>
      </c>
      <c r="H1" s="79" t="s">
        <v>94</v>
      </c>
      <c r="I1" s="79" t="s">
        <v>37</v>
      </c>
      <c r="J1" s="80" t="s">
        <v>3</v>
      </c>
      <c r="K1" s="79" t="s">
        <v>98</v>
      </c>
    </row>
    <row r="2" spans="1:11" x14ac:dyDescent="0.3">
      <c r="A2" s="167" t="s">
        <v>322</v>
      </c>
      <c r="B2" s="5" t="s">
        <v>38</v>
      </c>
      <c r="C2" s="168">
        <v>10</v>
      </c>
      <c r="D2" s="169">
        <f t="shared" ref="D2:D7" ca="1" si="0">RANDBETWEEN(1,20)</f>
        <v>3</v>
      </c>
      <c r="E2" s="168">
        <f t="shared" ref="E2:E4" ca="1" si="1">D2+C2</f>
        <v>13</v>
      </c>
      <c r="G2" s="128" t="s">
        <v>320</v>
      </c>
      <c r="H2" s="5" t="s">
        <v>38</v>
      </c>
      <c r="I2" s="154">
        <v>10</v>
      </c>
      <c r="J2" s="45">
        <f t="shared" ref="J2:J31" ca="1" si="2">RANDBETWEEN(1,20)</f>
        <v>13</v>
      </c>
      <c r="K2" s="44">
        <f t="shared" ref="K2:K4" ca="1" si="3">J2+I2</f>
        <v>23</v>
      </c>
    </row>
    <row r="3" spans="1:11" x14ac:dyDescent="0.3">
      <c r="A3" s="126" t="s">
        <v>322</v>
      </c>
      <c r="B3" s="5" t="s">
        <v>39</v>
      </c>
      <c r="C3" s="44">
        <v>10</v>
      </c>
      <c r="D3" s="45">
        <f t="shared" ca="1" si="0"/>
        <v>9</v>
      </c>
      <c r="E3" s="44">
        <f t="shared" ca="1" si="1"/>
        <v>19</v>
      </c>
      <c r="G3" s="128" t="s">
        <v>320</v>
      </c>
      <c r="H3" s="5" t="s">
        <v>39</v>
      </c>
      <c r="I3" s="154">
        <v>7</v>
      </c>
      <c r="J3" s="45">
        <f t="shared" ca="1" si="2"/>
        <v>18</v>
      </c>
      <c r="K3" s="44">
        <f t="shared" ca="1" si="3"/>
        <v>25</v>
      </c>
    </row>
    <row r="4" spans="1:11" x14ac:dyDescent="0.3">
      <c r="A4" s="127" t="s">
        <v>322</v>
      </c>
      <c r="B4" s="81" t="s">
        <v>40</v>
      </c>
      <c r="C4" s="46">
        <v>5</v>
      </c>
      <c r="D4" s="47">
        <f t="shared" ca="1" si="0"/>
        <v>7</v>
      </c>
      <c r="E4" s="46">
        <f t="shared" ca="1" si="1"/>
        <v>12</v>
      </c>
      <c r="G4" s="129" t="s">
        <v>320</v>
      </c>
      <c r="H4" s="81" t="s">
        <v>40</v>
      </c>
      <c r="I4" s="155">
        <v>4</v>
      </c>
      <c r="J4" s="47">
        <f t="shared" ca="1" si="2"/>
        <v>10</v>
      </c>
      <c r="K4" s="46">
        <f t="shared" ca="1" si="3"/>
        <v>14</v>
      </c>
    </row>
    <row r="5" spans="1:11" x14ac:dyDescent="0.3">
      <c r="A5" s="167" t="s">
        <v>345</v>
      </c>
      <c r="B5" s="5" t="s">
        <v>38</v>
      </c>
      <c r="C5" s="168">
        <v>17</v>
      </c>
      <c r="D5" s="169">
        <f t="shared" ca="1" si="0"/>
        <v>4</v>
      </c>
      <c r="E5" s="168">
        <f t="shared" ref="E5:E7" ca="1" si="4">D5+C5</f>
        <v>21</v>
      </c>
      <c r="G5" s="129" t="s">
        <v>320</v>
      </c>
      <c r="H5" s="81" t="s">
        <v>40</v>
      </c>
      <c r="I5" s="155">
        <v>4</v>
      </c>
      <c r="J5" s="47">
        <f t="shared" ca="1" si="2"/>
        <v>11</v>
      </c>
      <c r="K5" s="46">
        <f t="shared" ref="K5:K31" ca="1" si="5">J5+I5</f>
        <v>15</v>
      </c>
    </row>
    <row r="6" spans="1:11" x14ac:dyDescent="0.3">
      <c r="A6" s="126" t="s">
        <v>345</v>
      </c>
      <c r="B6" s="5" t="s">
        <v>39</v>
      </c>
      <c r="C6" s="44">
        <v>12</v>
      </c>
      <c r="D6" s="45">
        <f t="shared" ca="1" si="0"/>
        <v>10</v>
      </c>
      <c r="E6" s="44">
        <f t="shared" ca="1" si="4"/>
        <v>22</v>
      </c>
      <c r="G6" s="129" t="s">
        <v>320</v>
      </c>
      <c r="H6" s="81" t="s">
        <v>40</v>
      </c>
      <c r="I6" s="155">
        <v>4</v>
      </c>
      <c r="J6" s="47">
        <f t="shared" ca="1" si="2"/>
        <v>14</v>
      </c>
      <c r="K6" s="46">
        <f t="shared" ca="1" si="5"/>
        <v>18</v>
      </c>
    </row>
    <row r="7" spans="1:11" x14ac:dyDescent="0.3">
      <c r="A7" s="127" t="s">
        <v>345</v>
      </c>
      <c r="B7" s="81" t="s">
        <v>40</v>
      </c>
      <c r="C7" s="46">
        <v>15</v>
      </c>
      <c r="D7" s="47">
        <f t="shared" ca="1" si="0"/>
        <v>10</v>
      </c>
      <c r="E7" s="46">
        <f t="shared" ca="1" si="4"/>
        <v>25</v>
      </c>
      <c r="G7" s="129" t="s">
        <v>320</v>
      </c>
      <c r="H7" s="81" t="s">
        <v>40</v>
      </c>
      <c r="I7" s="155">
        <v>4</v>
      </c>
      <c r="J7" s="47">
        <f t="shared" ca="1" si="2"/>
        <v>2</v>
      </c>
      <c r="K7" s="46">
        <f t="shared" ca="1" si="5"/>
        <v>6</v>
      </c>
    </row>
    <row r="8" spans="1:11" x14ac:dyDescent="0.3">
      <c r="G8" s="129" t="s">
        <v>320</v>
      </c>
      <c r="H8" s="81" t="s">
        <v>40</v>
      </c>
      <c r="I8" s="155">
        <v>4</v>
      </c>
      <c r="J8" s="47">
        <f t="shared" ca="1" si="2"/>
        <v>16</v>
      </c>
      <c r="K8" s="46">
        <f t="shared" ca="1" si="5"/>
        <v>20</v>
      </c>
    </row>
    <row r="9" spans="1:11" x14ac:dyDescent="0.3">
      <c r="G9" s="129" t="s">
        <v>320</v>
      </c>
      <c r="H9" s="81" t="s">
        <v>40</v>
      </c>
      <c r="I9" s="155">
        <v>4</v>
      </c>
      <c r="J9" s="47">
        <f t="shared" ca="1" si="2"/>
        <v>20</v>
      </c>
      <c r="K9" s="46">
        <f t="shared" ca="1" si="5"/>
        <v>24</v>
      </c>
    </row>
    <row r="10" spans="1:11" x14ac:dyDescent="0.3">
      <c r="G10" s="129" t="s">
        <v>320</v>
      </c>
      <c r="H10" s="81" t="s">
        <v>40</v>
      </c>
      <c r="I10" s="155">
        <v>4</v>
      </c>
      <c r="J10" s="47">
        <f t="shared" ca="1" si="2"/>
        <v>18</v>
      </c>
      <c r="K10" s="46">
        <f t="shared" ca="1" si="5"/>
        <v>22</v>
      </c>
    </row>
    <row r="11" spans="1:11" x14ac:dyDescent="0.3">
      <c r="G11" s="129" t="s">
        <v>320</v>
      </c>
      <c r="H11" s="81" t="s">
        <v>40</v>
      </c>
      <c r="I11" s="155">
        <v>4</v>
      </c>
      <c r="J11" s="47">
        <f t="shared" ca="1" si="2"/>
        <v>5</v>
      </c>
      <c r="K11" s="46">
        <f t="shared" ca="1" si="5"/>
        <v>9</v>
      </c>
    </row>
    <row r="12" spans="1:11" x14ac:dyDescent="0.3">
      <c r="G12" s="129" t="s">
        <v>320</v>
      </c>
      <c r="H12" s="81" t="s">
        <v>40</v>
      </c>
      <c r="I12" s="155">
        <v>4</v>
      </c>
      <c r="J12" s="47">
        <f t="shared" ca="1" si="2"/>
        <v>3</v>
      </c>
      <c r="K12" s="46">
        <f t="shared" ca="1" si="5"/>
        <v>7</v>
      </c>
    </row>
    <row r="13" spans="1:11" x14ac:dyDescent="0.3">
      <c r="G13" s="129" t="s">
        <v>320</v>
      </c>
      <c r="H13" s="81" t="s">
        <v>40</v>
      </c>
      <c r="I13" s="155">
        <v>4</v>
      </c>
      <c r="J13" s="47">
        <f t="shared" ca="1" si="2"/>
        <v>18</v>
      </c>
      <c r="K13" s="46">
        <f t="shared" ca="1" si="5"/>
        <v>22</v>
      </c>
    </row>
    <row r="14" spans="1:11" x14ac:dyDescent="0.3">
      <c r="G14" s="129" t="s">
        <v>320</v>
      </c>
      <c r="H14" s="81" t="s">
        <v>40</v>
      </c>
      <c r="I14" s="155">
        <v>4</v>
      </c>
      <c r="J14" s="47">
        <f t="shared" ca="1" si="2"/>
        <v>7</v>
      </c>
      <c r="K14" s="46">
        <f t="shared" ca="1" si="5"/>
        <v>11</v>
      </c>
    </row>
    <row r="15" spans="1:11" x14ac:dyDescent="0.3">
      <c r="G15" s="129" t="s">
        <v>320</v>
      </c>
      <c r="H15" s="81" t="s">
        <v>40</v>
      </c>
      <c r="I15" s="155">
        <v>4</v>
      </c>
      <c r="J15" s="47">
        <f t="shared" ca="1" si="2"/>
        <v>18</v>
      </c>
      <c r="K15" s="46">
        <f t="shared" ca="1" si="5"/>
        <v>22</v>
      </c>
    </row>
    <row r="16" spans="1:11" x14ac:dyDescent="0.3">
      <c r="G16" s="129" t="s">
        <v>320</v>
      </c>
      <c r="H16" s="81" t="s">
        <v>40</v>
      </c>
      <c r="I16" s="155">
        <v>4</v>
      </c>
      <c r="J16" s="47">
        <f t="shared" ca="1" si="2"/>
        <v>2</v>
      </c>
      <c r="K16" s="46">
        <f t="shared" ca="1" si="5"/>
        <v>6</v>
      </c>
    </row>
    <row r="17" spans="7:11" x14ac:dyDescent="0.3">
      <c r="G17" s="129" t="s">
        <v>320</v>
      </c>
      <c r="H17" s="81" t="s">
        <v>40</v>
      </c>
      <c r="I17" s="155">
        <v>4</v>
      </c>
      <c r="J17" s="47">
        <f t="shared" ca="1" si="2"/>
        <v>17</v>
      </c>
      <c r="K17" s="46">
        <f t="shared" ca="1" si="5"/>
        <v>21</v>
      </c>
    </row>
    <row r="18" spans="7:11" x14ac:dyDescent="0.3">
      <c r="G18" s="129" t="s">
        <v>320</v>
      </c>
      <c r="H18" s="81" t="s">
        <v>40</v>
      </c>
      <c r="I18" s="155">
        <v>4</v>
      </c>
      <c r="J18" s="47">
        <f t="shared" ca="1" si="2"/>
        <v>16</v>
      </c>
      <c r="K18" s="46">
        <f t="shared" ca="1" si="5"/>
        <v>20</v>
      </c>
    </row>
    <row r="19" spans="7:11" x14ac:dyDescent="0.3">
      <c r="G19" s="129" t="s">
        <v>320</v>
      </c>
      <c r="H19" s="81" t="s">
        <v>40</v>
      </c>
      <c r="I19" s="155">
        <v>4</v>
      </c>
      <c r="J19" s="47">
        <f t="shared" ca="1" si="2"/>
        <v>18</v>
      </c>
      <c r="K19" s="46">
        <f t="shared" ca="1" si="5"/>
        <v>22</v>
      </c>
    </row>
    <row r="20" spans="7:11" x14ac:dyDescent="0.3">
      <c r="G20" s="129" t="s">
        <v>320</v>
      </c>
      <c r="H20" s="81" t="s">
        <v>40</v>
      </c>
      <c r="I20" s="155">
        <v>4</v>
      </c>
      <c r="J20" s="47">
        <f t="shared" ca="1" si="2"/>
        <v>19</v>
      </c>
      <c r="K20" s="46">
        <f t="shared" ca="1" si="5"/>
        <v>23</v>
      </c>
    </row>
    <row r="21" spans="7:11" x14ac:dyDescent="0.3">
      <c r="G21" s="129" t="s">
        <v>320</v>
      </c>
      <c r="H21" s="81" t="s">
        <v>40</v>
      </c>
      <c r="I21" s="155">
        <v>4</v>
      </c>
      <c r="J21" s="47">
        <f t="shared" ca="1" si="2"/>
        <v>7</v>
      </c>
      <c r="K21" s="46">
        <f t="shared" ca="1" si="5"/>
        <v>11</v>
      </c>
    </row>
    <row r="22" spans="7:11" x14ac:dyDescent="0.3">
      <c r="G22" s="129" t="s">
        <v>320</v>
      </c>
      <c r="H22" s="81" t="s">
        <v>40</v>
      </c>
      <c r="I22" s="155">
        <v>4</v>
      </c>
      <c r="J22" s="47">
        <f t="shared" ca="1" si="2"/>
        <v>9</v>
      </c>
      <c r="K22" s="46">
        <f t="shared" ca="1" si="5"/>
        <v>13</v>
      </c>
    </row>
    <row r="23" spans="7:11" x14ac:dyDescent="0.3">
      <c r="G23" s="129" t="s">
        <v>320</v>
      </c>
      <c r="H23" s="81" t="s">
        <v>40</v>
      </c>
      <c r="I23" s="155">
        <v>4</v>
      </c>
      <c r="J23" s="47">
        <f t="shared" ca="1" si="2"/>
        <v>11</v>
      </c>
      <c r="K23" s="46">
        <f t="shared" ca="1" si="5"/>
        <v>15</v>
      </c>
    </row>
    <row r="24" spans="7:11" x14ac:dyDescent="0.3">
      <c r="G24" s="129" t="s">
        <v>320</v>
      </c>
      <c r="H24" s="81" t="s">
        <v>40</v>
      </c>
      <c r="I24" s="155">
        <v>4</v>
      </c>
      <c r="J24" s="47">
        <f t="shared" ca="1" si="2"/>
        <v>2</v>
      </c>
      <c r="K24" s="46">
        <f t="shared" ca="1" si="5"/>
        <v>6</v>
      </c>
    </row>
    <row r="25" spans="7:11" x14ac:dyDescent="0.3">
      <c r="G25" s="129" t="s">
        <v>320</v>
      </c>
      <c r="H25" s="81" t="s">
        <v>40</v>
      </c>
      <c r="I25" s="155">
        <v>4</v>
      </c>
      <c r="J25" s="47">
        <f t="shared" ca="1" si="2"/>
        <v>16</v>
      </c>
      <c r="K25" s="46">
        <f t="shared" ca="1" si="5"/>
        <v>20</v>
      </c>
    </row>
    <row r="26" spans="7:11" x14ac:dyDescent="0.3">
      <c r="G26" s="129" t="s">
        <v>320</v>
      </c>
      <c r="H26" s="81" t="s">
        <v>40</v>
      </c>
      <c r="I26" s="155">
        <v>4</v>
      </c>
      <c r="J26" s="47">
        <f t="shared" ca="1" si="2"/>
        <v>10</v>
      </c>
      <c r="K26" s="46">
        <f t="shared" ca="1" si="5"/>
        <v>14</v>
      </c>
    </row>
    <row r="27" spans="7:11" x14ac:dyDescent="0.3">
      <c r="G27" s="129" t="s">
        <v>320</v>
      </c>
      <c r="H27" s="81" t="s">
        <v>40</v>
      </c>
      <c r="I27" s="155">
        <v>4</v>
      </c>
      <c r="J27" s="47">
        <f t="shared" ca="1" si="2"/>
        <v>4</v>
      </c>
      <c r="K27" s="46">
        <f t="shared" ca="1" si="5"/>
        <v>8</v>
      </c>
    </row>
    <row r="28" spans="7:11" x14ac:dyDescent="0.3">
      <c r="G28" s="129" t="s">
        <v>320</v>
      </c>
      <c r="H28" s="81" t="s">
        <v>40</v>
      </c>
      <c r="I28" s="155">
        <v>4</v>
      </c>
      <c r="J28" s="47">
        <f t="shared" ca="1" si="2"/>
        <v>18</v>
      </c>
      <c r="K28" s="46">
        <f t="shared" ca="1" si="5"/>
        <v>22</v>
      </c>
    </row>
    <row r="29" spans="7:11" x14ac:dyDescent="0.3">
      <c r="G29" s="129" t="s">
        <v>320</v>
      </c>
      <c r="H29" s="81" t="s">
        <v>40</v>
      </c>
      <c r="I29" s="155">
        <v>4</v>
      </c>
      <c r="J29" s="47">
        <f t="shared" ca="1" si="2"/>
        <v>11</v>
      </c>
      <c r="K29" s="46">
        <f t="shared" ca="1" si="5"/>
        <v>15</v>
      </c>
    </row>
    <row r="30" spans="7:11" x14ac:dyDescent="0.3">
      <c r="G30" s="129" t="s">
        <v>320</v>
      </c>
      <c r="H30" s="81" t="s">
        <v>40</v>
      </c>
      <c r="I30" s="155">
        <v>4</v>
      </c>
      <c r="J30" s="47">
        <f t="shared" ca="1" si="2"/>
        <v>16</v>
      </c>
      <c r="K30" s="46">
        <f t="shared" ca="1" si="5"/>
        <v>20</v>
      </c>
    </row>
    <row r="31" spans="7:11" x14ac:dyDescent="0.3">
      <c r="G31" s="129" t="s">
        <v>320</v>
      </c>
      <c r="H31" s="81" t="s">
        <v>40</v>
      </c>
      <c r="I31" s="155">
        <v>4</v>
      </c>
      <c r="J31" s="47">
        <f t="shared" ca="1" si="2"/>
        <v>8</v>
      </c>
      <c r="K31" s="46">
        <f t="shared" ca="1" si="5"/>
        <v>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7"/>
  <sheetViews>
    <sheetView showGridLines="0" tabSelected="1" zoomScaleNormal="100" workbookViewId="0">
      <pane xSplit="1" ySplit="1" topLeftCell="B3" activePane="bottomRight" state="frozen"/>
      <selection pane="topRight"/>
      <selection pane="bottomLeft"/>
      <selection pane="bottomRight" activeCell="A27" sqref="A27"/>
    </sheetView>
  </sheetViews>
  <sheetFormatPr defaultColWidth="9.69921875" defaultRowHeight="15.6" x14ac:dyDescent="0.3"/>
  <cols>
    <col min="1" max="1" width="18.296875" style="1" bestFit="1" customWidth="1"/>
    <col min="2" max="2" width="5.69921875" style="1" customWidth="1"/>
    <col min="3" max="3" width="11.09765625" style="1" bestFit="1" customWidth="1"/>
    <col min="4" max="4" width="6.398437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8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31" width="1.59765625" style="48" customWidth="1"/>
    <col min="32" max="16384" width="9.69921875" style="48"/>
  </cols>
  <sheetData>
    <row r="1" spans="1:32" s="16" customFormat="1" ht="32.4" thickTop="1" thickBot="1" x14ac:dyDescent="0.35">
      <c r="A1" s="30" t="s">
        <v>0</v>
      </c>
      <c r="B1" s="125" t="s">
        <v>95</v>
      </c>
      <c r="C1" s="185" t="s">
        <v>106</v>
      </c>
      <c r="D1" s="160" t="s">
        <v>42</v>
      </c>
      <c r="E1" s="161" t="s">
        <v>41</v>
      </c>
      <c r="F1" s="162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  <c r="AF1" s="184" t="s">
        <v>107</v>
      </c>
    </row>
    <row r="2" spans="1:32" ht="16.2" thickTop="1" x14ac:dyDescent="0.3">
      <c r="A2" s="86" t="s">
        <v>113</v>
      </c>
      <c r="B2" s="339">
        <v>1</v>
      </c>
      <c r="C2" s="181">
        <v>0</v>
      </c>
      <c r="D2" s="82">
        <v>16</v>
      </c>
      <c r="E2" s="197">
        <f>15+4</f>
        <v>19</v>
      </c>
      <c r="F2" s="195">
        <f>18+4</f>
        <v>22</v>
      </c>
      <c r="G2" s="88">
        <v>0</v>
      </c>
      <c r="H2" s="122" t="s">
        <v>61</v>
      </c>
      <c r="I2" s="89">
        <v>0</v>
      </c>
      <c r="J2" s="333"/>
      <c r="K2" s="334"/>
      <c r="L2" s="200"/>
      <c r="M2" s="124"/>
      <c r="N2" s="330"/>
      <c r="O2" s="201" t="s">
        <v>129</v>
      </c>
      <c r="P2" s="202"/>
      <c r="Q2" s="331"/>
      <c r="R2" s="172" t="s">
        <v>93</v>
      </c>
      <c r="S2" s="173" t="s">
        <v>93</v>
      </c>
      <c r="T2" s="176"/>
      <c r="U2" s="179"/>
      <c r="V2" s="180"/>
      <c r="W2" s="83"/>
      <c r="X2" s="84">
        <f t="shared" ref="X2:X25" si="0">SUM(J2:W2)</f>
        <v>0</v>
      </c>
      <c r="Y2" s="174"/>
      <c r="Z2" s="94"/>
      <c r="AA2" s="177"/>
      <c r="AB2" s="85">
        <v>69</v>
      </c>
      <c r="AC2" s="53">
        <f>SUM(AA2:AB2)-(X2+Y2)</f>
        <v>69</v>
      </c>
      <c r="AD2" s="123">
        <f t="shared" ref="AD2:AD22" si="1">SMALL(AB2:AC2,1)+Z2</f>
        <v>69</v>
      </c>
      <c r="AF2" s="182"/>
    </row>
    <row r="3" spans="1:32" x14ac:dyDescent="0.3">
      <c r="A3" s="196" t="str">
        <f>Members!A2</f>
        <v>Alim</v>
      </c>
      <c r="B3" s="196">
        <v>1</v>
      </c>
      <c r="C3" s="181">
        <v>0</v>
      </c>
      <c r="D3" s="82">
        <f>VLOOKUP($A3,Members!$A$2:$AH$17,32,FALSE)</f>
        <v>13</v>
      </c>
      <c r="E3" s="96">
        <f>VLOOKUP($A3,Members!$A$2:$AH$17,33,FALSE)</f>
        <v>14</v>
      </c>
      <c r="F3" s="87">
        <f>VLOOKUP($A3,Members!$A$2:$AH$17,34,FALSE)</f>
        <v>17</v>
      </c>
      <c r="G3" s="88">
        <v>0</v>
      </c>
      <c r="H3" s="122" t="s">
        <v>61</v>
      </c>
      <c r="I3" s="89">
        <v>0</v>
      </c>
      <c r="J3" s="193"/>
      <c r="K3" s="194"/>
      <c r="L3" s="175"/>
      <c r="M3" s="124"/>
      <c r="N3" s="170">
        <v>26</v>
      </c>
      <c r="O3" s="90"/>
      <c r="P3" s="192"/>
      <c r="Q3" s="335"/>
      <c r="R3" s="172" t="s">
        <v>93</v>
      </c>
      <c r="S3" s="173" t="s">
        <v>93</v>
      </c>
      <c r="T3" s="91"/>
      <c r="U3" s="92"/>
      <c r="V3" s="93"/>
      <c r="W3" s="83"/>
      <c r="X3" s="84">
        <f t="shared" si="0"/>
        <v>26</v>
      </c>
      <c r="Y3" s="203"/>
      <c r="Z3" s="94"/>
      <c r="AA3" s="95"/>
      <c r="AB3" s="85">
        <f>VLOOKUP($A3,Members!$A$2:$AI$17,35,FALSE)</f>
        <v>50.5</v>
      </c>
      <c r="AC3" s="53">
        <f t="shared" ref="AC3:AC26" si="2">SUM(AA3:AB3)-(X3+Y3)</f>
        <v>24.5</v>
      </c>
      <c r="AD3" s="123">
        <f t="shared" si="1"/>
        <v>24.5</v>
      </c>
      <c r="AF3" s="182"/>
    </row>
    <row r="4" spans="1:32" x14ac:dyDescent="0.3">
      <c r="A4" s="196" t="str">
        <f>Members!A3</f>
        <v>Jarid</v>
      </c>
      <c r="B4" s="196">
        <v>1</v>
      </c>
      <c r="C4" s="181">
        <v>0</v>
      </c>
      <c r="D4" s="82">
        <f>VLOOKUP($A4,Members!$A$2:$AH$17,32,FALSE)</f>
        <v>12</v>
      </c>
      <c r="E4" s="96">
        <f>VLOOKUP($A4,Members!$A$2:$AH$17,33,FALSE)</f>
        <v>14</v>
      </c>
      <c r="F4" s="87">
        <f>VLOOKUP($A4,Members!$A$2:$AH$17,34,FALSE)</f>
        <v>16</v>
      </c>
      <c r="G4" s="88">
        <v>0</v>
      </c>
      <c r="H4" s="122" t="s">
        <v>61</v>
      </c>
      <c r="I4" s="89">
        <v>0</v>
      </c>
      <c r="J4" s="193"/>
      <c r="K4" s="194"/>
      <c r="L4" s="175"/>
      <c r="M4" s="124"/>
      <c r="N4" s="329">
        <v>52</v>
      </c>
      <c r="O4" s="90"/>
      <c r="P4" s="192"/>
      <c r="Q4" s="335"/>
      <c r="R4" s="172" t="s">
        <v>93</v>
      </c>
      <c r="S4" s="332"/>
      <c r="T4" s="91"/>
      <c r="U4" s="92"/>
      <c r="V4" s="93"/>
      <c r="W4" s="83"/>
      <c r="X4" s="84">
        <f t="shared" si="0"/>
        <v>52</v>
      </c>
      <c r="Y4" s="203"/>
      <c r="Z4" s="94"/>
      <c r="AA4" s="95"/>
      <c r="AB4" s="85">
        <f>VLOOKUP($A4,Members!$A$2:$AI$17,35,FALSE)</f>
        <v>49.5</v>
      </c>
      <c r="AC4" s="53">
        <f t="shared" si="2"/>
        <v>-2.5</v>
      </c>
      <c r="AD4" s="123">
        <f t="shared" si="1"/>
        <v>-2.5</v>
      </c>
      <c r="AF4" s="182"/>
    </row>
    <row r="5" spans="1:32" x14ac:dyDescent="0.3">
      <c r="A5" s="196" t="str">
        <f>Members!A4</f>
        <v>Felcity</v>
      </c>
      <c r="B5" s="196">
        <v>1</v>
      </c>
      <c r="C5" s="181">
        <v>0</v>
      </c>
      <c r="D5" s="82">
        <f>VLOOKUP($A5,Members!$A$2:$AH$17,32,FALSE)</f>
        <v>12</v>
      </c>
      <c r="E5" s="96">
        <f>VLOOKUP($A5,Members!$A$2:$AH$17,33,FALSE)</f>
        <v>14</v>
      </c>
      <c r="F5" s="87">
        <f>VLOOKUP($A5,Members!$A$2:$AH$17,34,FALSE)</f>
        <v>16</v>
      </c>
      <c r="G5" s="88">
        <v>0</v>
      </c>
      <c r="H5" s="122" t="s">
        <v>61</v>
      </c>
      <c r="I5" s="89">
        <v>0</v>
      </c>
      <c r="J5" s="193">
        <v>12</v>
      </c>
      <c r="K5" s="194"/>
      <c r="L5" s="175"/>
      <c r="M5" s="124"/>
      <c r="N5" s="170">
        <v>52</v>
      </c>
      <c r="O5" s="90"/>
      <c r="P5" s="192"/>
      <c r="Q5" s="171"/>
      <c r="R5" s="172" t="s">
        <v>93</v>
      </c>
      <c r="S5" s="173"/>
      <c r="T5" s="91"/>
      <c r="U5" s="92"/>
      <c r="V5" s="93"/>
      <c r="W5" s="83"/>
      <c r="X5" s="84">
        <f t="shared" si="0"/>
        <v>64</v>
      </c>
      <c r="Y5" s="174"/>
      <c r="Z5" s="94"/>
      <c r="AA5" s="95"/>
      <c r="AB5" s="85">
        <f>VLOOKUP($A5,Members!$A$2:$AI$17,35,FALSE)</f>
        <v>48.5</v>
      </c>
      <c r="AC5" s="53">
        <f t="shared" si="2"/>
        <v>-15.5</v>
      </c>
      <c r="AD5" s="123">
        <f t="shared" si="1"/>
        <v>-15.5</v>
      </c>
      <c r="AF5" s="187"/>
    </row>
    <row r="6" spans="1:32" x14ac:dyDescent="0.3">
      <c r="A6" s="196" t="str">
        <f>Members!A5</f>
        <v>Lassister</v>
      </c>
      <c r="B6" s="196">
        <v>1</v>
      </c>
      <c r="C6" s="181">
        <v>0</v>
      </c>
      <c r="D6" s="82">
        <f>VLOOKUP($A6,Members!$A$2:$AH$17,32,FALSE)</f>
        <v>12</v>
      </c>
      <c r="E6" s="96">
        <f>VLOOKUP($A6,Members!$A$2:$AH$17,33,FALSE)</f>
        <v>14</v>
      </c>
      <c r="F6" s="87">
        <f>VLOOKUP($A6,Members!$A$2:$AH$17,34,FALSE)</f>
        <v>16</v>
      </c>
      <c r="G6" s="88">
        <v>0</v>
      </c>
      <c r="H6" s="122" t="s">
        <v>61</v>
      </c>
      <c r="I6" s="89">
        <v>0</v>
      </c>
      <c r="J6" s="193"/>
      <c r="K6" s="194"/>
      <c r="L6" s="175"/>
      <c r="M6" s="124"/>
      <c r="N6" s="170">
        <v>26</v>
      </c>
      <c r="O6" s="90"/>
      <c r="P6" s="192"/>
      <c r="Q6" s="171"/>
      <c r="R6" s="172" t="s">
        <v>93</v>
      </c>
      <c r="S6" s="173"/>
      <c r="T6" s="91"/>
      <c r="U6" s="92"/>
      <c r="V6" s="93"/>
      <c r="W6" s="83"/>
      <c r="X6" s="84">
        <f t="shared" si="0"/>
        <v>26</v>
      </c>
      <c r="Y6" s="174"/>
      <c r="Z6" s="94"/>
      <c r="AA6" s="95"/>
      <c r="AB6" s="85">
        <f>VLOOKUP($A6,Members!$A$2:$AI$17,35,FALSE)</f>
        <v>49.5</v>
      </c>
      <c r="AC6" s="53">
        <f t="shared" si="2"/>
        <v>23.5</v>
      </c>
      <c r="AD6" s="123">
        <f t="shared" si="1"/>
        <v>23.5</v>
      </c>
      <c r="AF6" s="187"/>
    </row>
    <row r="7" spans="1:32" x14ac:dyDescent="0.3">
      <c r="A7" s="86" t="s">
        <v>115</v>
      </c>
      <c r="B7" s="86">
        <v>2</v>
      </c>
      <c r="C7" s="181">
        <v>0</v>
      </c>
      <c r="D7" s="328">
        <f>13+3</f>
        <v>16</v>
      </c>
      <c r="E7" s="340">
        <v>21</v>
      </c>
      <c r="F7" s="195">
        <f>23+3</f>
        <v>26</v>
      </c>
      <c r="G7" s="88">
        <v>0</v>
      </c>
      <c r="H7" s="122" t="s">
        <v>61</v>
      </c>
      <c r="I7" s="89">
        <v>0</v>
      </c>
      <c r="J7" s="198"/>
      <c r="K7" s="199"/>
      <c r="L7" s="200"/>
      <c r="M7" s="124"/>
      <c r="N7" s="330"/>
      <c r="O7" s="201" t="s">
        <v>130</v>
      </c>
      <c r="P7" s="202"/>
      <c r="Q7" s="331"/>
      <c r="R7" s="172" t="s">
        <v>93</v>
      </c>
      <c r="S7" s="173" t="s">
        <v>93</v>
      </c>
      <c r="T7" s="91"/>
      <c r="U7" s="92"/>
      <c r="V7" s="93"/>
      <c r="W7" s="83"/>
      <c r="X7" s="84">
        <f t="shared" si="0"/>
        <v>0</v>
      </c>
      <c r="Y7" s="174"/>
      <c r="Z7" s="94"/>
      <c r="AA7" s="95"/>
      <c r="AB7" s="85">
        <v>100</v>
      </c>
      <c r="AC7" s="53">
        <f t="shared" si="2"/>
        <v>100</v>
      </c>
      <c r="AD7" s="123">
        <f t="shared" si="1"/>
        <v>100</v>
      </c>
      <c r="AF7" s="187"/>
    </row>
    <row r="8" spans="1:32" x14ac:dyDescent="0.3">
      <c r="A8" s="196" t="str">
        <f>Members!A6</f>
        <v>Arcanea</v>
      </c>
      <c r="B8" s="196">
        <v>2</v>
      </c>
      <c r="C8" s="181">
        <v>0</v>
      </c>
      <c r="D8" s="82">
        <f>VLOOKUP($A8,Members!$A$2:$AH$17,32,FALSE)</f>
        <v>11</v>
      </c>
      <c r="E8" s="96">
        <f>VLOOKUP($A8,Members!$A$2:$AH$17,33,FALSE)</f>
        <v>14</v>
      </c>
      <c r="F8" s="87">
        <f>VLOOKUP($A8,Members!$A$2:$AH$17,34,FALSE)</f>
        <v>15</v>
      </c>
      <c r="G8" s="88">
        <v>0</v>
      </c>
      <c r="H8" s="122" t="s">
        <v>61</v>
      </c>
      <c r="I8" s="89">
        <v>0</v>
      </c>
      <c r="J8" s="193"/>
      <c r="K8" s="194"/>
      <c r="L8" s="175"/>
      <c r="M8" s="124"/>
      <c r="N8" s="170"/>
      <c r="O8" s="90"/>
      <c r="P8" s="192"/>
      <c r="Q8" s="171"/>
      <c r="R8" s="172" t="s">
        <v>93</v>
      </c>
      <c r="S8" s="173"/>
      <c r="T8" s="344" t="s">
        <v>329</v>
      </c>
      <c r="U8" s="92"/>
      <c r="V8" s="93"/>
      <c r="W8" s="83"/>
      <c r="X8" s="84">
        <f t="shared" si="0"/>
        <v>0</v>
      </c>
      <c r="Y8" s="174"/>
      <c r="Z8" s="94"/>
      <c r="AA8" s="95"/>
      <c r="AB8" s="85">
        <f>VLOOKUP($A8,Members!$A$2:$AI$17,35,FALSE)</f>
        <v>50.5</v>
      </c>
      <c r="AC8" s="53">
        <f t="shared" si="2"/>
        <v>50.5</v>
      </c>
      <c r="AD8" s="123">
        <f t="shared" si="1"/>
        <v>50.5</v>
      </c>
      <c r="AF8" s="187"/>
    </row>
    <row r="9" spans="1:32" x14ac:dyDescent="0.3">
      <c r="A9" s="196" t="str">
        <f>Members!A7</f>
        <v>Brother Kizzer</v>
      </c>
      <c r="B9" s="196">
        <v>2</v>
      </c>
      <c r="C9" s="181">
        <v>0</v>
      </c>
      <c r="D9" s="328">
        <f>VLOOKUP($A9,Members!$A$2:$AH$17,32,FALSE)</f>
        <v>10</v>
      </c>
      <c r="E9" s="340">
        <f>VLOOKUP($A9,Members!$A$2:$AH$17,33,FALSE)</f>
        <v>14</v>
      </c>
      <c r="F9" s="195">
        <f>VLOOKUP($A9,Members!$A$2:$AH$17,34,FALSE)</f>
        <v>14</v>
      </c>
      <c r="G9" s="88">
        <v>0</v>
      </c>
      <c r="H9" s="122" t="s">
        <v>61</v>
      </c>
      <c r="I9" s="89">
        <v>0</v>
      </c>
      <c r="J9" s="193"/>
      <c r="K9" s="194"/>
      <c r="L9" s="175"/>
      <c r="M9" s="124"/>
      <c r="N9" s="170"/>
      <c r="O9" s="90"/>
      <c r="P9" s="192"/>
      <c r="Q9" s="171"/>
      <c r="R9" s="172" t="s">
        <v>93</v>
      </c>
      <c r="S9" s="173"/>
      <c r="T9" s="91"/>
      <c r="U9" s="92"/>
      <c r="V9" s="93"/>
      <c r="W9" s="83"/>
      <c r="X9" s="84">
        <f t="shared" si="0"/>
        <v>0</v>
      </c>
      <c r="Y9" s="174"/>
      <c r="Z9" s="94"/>
      <c r="AA9" s="95"/>
      <c r="AB9" s="85">
        <f>VLOOKUP($A9,Members!$A$2:$AI$17,35,FALSE)</f>
        <v>51.5</v>
      </c>
      <c r="AC9" s="53">
        <f t="shared" si="2"/>
        <v>51.5</v>
      </c>
      <c r="AD9" s="123">
        <f t="shared" si="1"/>
        <v>51.5</v>
      </c>
      <c r="AF9" s="187"/>
    </row>
    <row r="10" spans="1:32" x14ac:dyDescent="0.3">
      <c r="A10" s="196" t="str">
        <f>Members!A8</f>
        <v>Caase</v>
      </c>
      <c r="B10" s="196">
        <v>2</v>
      </c>
      <c r="C10" s="181">
        <v>0</v>
      </c>
      <c r="D10" s="82">
        <f>VLOOKUP($A10,Members!$A$2:$AH$17,32,FALSE)</f>
        <v>11</v>
      </c>
      <c r="E10" s="96">
        <f>VLOOKUP($A10,Members!$A$2:$AH$17,33,FALSE)</f>
        <v>22</v>
      </c>
      <c r="F10" s="87">
        <f>VLOOKUP($A10,Members!$A$2:$AH$17,34,FALSE)</f>
        <v>23</v>
      </c>
      <c r="G10" s="88">
        <v>0</v>
      </c>
      <c r="H10" s="122" t="s">
        <v>61</v>
      </c>
      <c r="I10" s="89">
        <v>0</v>
      </c>
      <c r="J10" s="193"/>
      <c r="K10" s="194"/>
      <c r="L10" s="175"/>
      <c r="M10" s="124"/>
      <c r="N10" s="170"/>
      <c r="O10" s="90"/>
      <c r="P10" s="192"/>
      <c r="Q10" s="171"/>
      <c r="R10" s="172" t="s">
        <v>93</v>
      </c>
      <c r="S10" s="173"/>
      <c r="T10" s="337" t="s">
        <v>93</v>
      </c>
      <c r="U10" s="92"/>
      <c r="V10" s="93"/>
      <c r="W10" s="83"/>
      <c r="X10" s="84">
        <f t="shared" si="0"/>
        <v>0</v>
      </c>
      <c r="Y10" s="174"/>
      <c r="Z10" s="94"/>
      <c r="AA10" s="95"/>
      <c r="AB10" s="85">
        <f>VLOOKUP($A10,Members!$A$2:$AI$17,35,FALSE)</f>
        <v>77.5</v>
      </c>
      <c r="AC10" s="53">
        <f t="shared" si="2"/>
        <v>77.5</v>
      </c>
      <c r="AD10" s="123">
        <f t="shared" si="1"/>
        <v>77.5</v>
      </c>
      <c r="AF10" s="187"/>
    </row>
    <row r="11" spans="1:32" x14ac:dyDescent="0.3">
      <c r="A11" s="196" t="str">
        <f>Members!A9</f>
        <v>Hinto</v>
      </c>
      <c r="B11" s="196">
        <v>2</v>
      </c>
      <c r="C11" s="181">
        <v>0</v>
      </c>
      <c r="D11" s="82">
        <f>VLOOKUP($A11,Members!$A$2:$AH$17,32,FALSE)</f>
        <v>11</v>
      </c>
      <c r="E11" s="96">
        <f>VLOOKUP($A11,Members!$A$2:$AH$17,33,FALSE)</f>
        <v>14</v>
      </c>
      <c r="F11" s="87">
        <f>VLOOKUP($A11,Members!$A$2:$AH$17,34,FALSE)</f>
        <v>15</v>
      </c>
      <c r="G11" s="88">
        <v>0</v>
      </c>
      <c r="H11" s="122" t="s">
        <v>61</v>
      </c>
      <c r="I11" s="89">
        <v>0</v>
      </c>
      <c r="J11" s="193"/>
      <c r="K11" s="194"/>
      <c r="L11" s="175"/>
      <c r="M11" s="124"/>
      <c r="N11" s="170"/>
      <c r="O11" s="90"/>
      <c r="P11" s="192"/>
      <c r="Q11" s="171"/>
      <c r="R11" s="172"/>
      <c r="S11" s="173"/>
      <c r="T11" s="91"/>
      <c r="U11" s="92"/>
      <c r="V11" s="93"/>
      <c r="W11" s="83"/>
      <c r="X11" s="84">
        <f t="shared" si="0"/>
        <v>0</v>
      </c>
      <c r="Y11" s="174"/>
      <c r="Z11" s="94"/>
      <c r="AA11" s="95"/>
      <c r="AB11" s="85">
        <f>VLOOKUP($A11,Members!$A$2:$AI$17,35,FALSE)</f>
        <v>37</v>
      </c>
      <c r="AC11" s="53">
        <f t="shared" si="2"/>
        <v>37</v>
      </c>
      <c r="AD11" s="123">
        <f t="shared" si="1"/>
        <v>37</v>
      </c>
      <c r="AF11" s="187"/>
    </row>
    <row r="12" spans="1:32" x14ac:dyDescent="0.3">
      <c r="A12" s="336" t="s">
        <v>108</v>
      </c>
      <c r="B12" s="336">
        <v>3</v>
      </c>
      <c r="C12" s="181">
        <v>0</v>
      </c>
      <c r="D12" s="82">
        <v>11</v>
      </c>
      <c r="E12" s="340">
        <f>18+4</f>
        <v>22</v>
      </c>
      <c r="F12" s="195">
        <f>19+4</f>
        <v>23</v>
      </c>
      <c r="G12" s="88">
        <v>0</v>
      </c>
      <c r="H12" s="122" t="s">
        <v>61</v>
      </c>
      <c r="I12" s="89">
        <v>0</v>
      </c>
      <c r="J12" s="193"/>
      <c r="K12" s="194"/>
      <c r="L12" s="175"/>
      <c r="M12" s="124"/>
      <c r="N12" s="170"/>
      <c r="O12" s="90"/>
      <c r="P12" s="192"/>
      <c r="Q12" s="171"/>
      <c r="R12" s="172" t="s">
        <v>93</v>
      </c>
      <c r="S12" s="178"/>
      <c r="T12" s="337" t="s">
        <v>93</v>
      </c>
      <c r="U12" s="92"/>
      <c r="V12" s="93"/>
      <c r="W12" s="83"/>
      <c r="X12" s="84">
        <f t="shared" si="0"/>
        <v>0</v>
      </c>
      <c r="Y12" s="174"/>
      <c r="Z12" s="94"/>
      <c r="AA12" s="95"/>
      <c r="AB12" s="85">
        <v>72</v>
      </c>
      <c r="AC12" s="53">
        <f t="shared" si="2"/>
        <v>72</v>
      </c>
      <c r="AD12" s="123">
        <f t="shared" si="1"/>
        <v>72</v>
      </c>
      <c r="AF12" s="187"/>
    </row>
    <row r="13" spans="1:32" x14ac:dyDescent="0.3">
      <c r="A13" s="196" t="str">
        <f>Members!A10</f>
        <v>Shivers</v>
      </c>
      <c r="B13" s="196">
        <v>3</v>
      </c>
      <c r="C13" s="181">
        <v>0</v>
      </c>
      <c r="D13" s="82">
        <f>VLOOKUP($A13,Members!$A$2:$AH$17,32,FALSE)</f>
        <v>12</v>
      </c>
      <c r="E13" s="340">
        <f>VLOOKUP($A13,Members!$A$2:$AH$17,33,FALSE)</f>
        <v>19</v>
      </c>
      <c r="F13" s="195">
        <f>VLOOKUP($A13,Members!$A$2:$AH$17,34,FALSE)</f>
        <v>21</v>
      </c>
      <c r="G13" s="88">
        <v>0</v>
      </c>
      <c r="H13" s="122" t="s">
        <v>61</v>
      </c>
      <c r="I13" s="89">
        <v>0</v>
      </c>
      <c r="J13" s="193"/>
      <c r="K13" s="194"/>
      <c r="L13" s="175"/>
      <c r="M13" s="124"/>
      <c r="N13" s="170"/>
      <c r="O13" s="90"/>
      <c r="P13" s="192"/>
      <c r="Q13" s="171"/>
      <c r="R13" s="172" t="s">
        <v>93</v>
      </c>
      <c r="S13" s="173"/>
      <c r="T13" s="91"/>
      <c r="U13" s="92"/>
      <c r="V13" s="93"/>
      <c r="W13" s="83"/>
      <c r="X13" s="84">
        <f t="shared" si="0"/>
        <v>0</v>
      </c>
      <c r="Y13" s="174"/>
      <c r="Z13" s="94"/>
      <c r="AA13" s="95"/>
      <c r="AB13" s="85">
        <f>VLOOKUP($A13,Members!$A$2:$AI$17,35,FALSE)</f>
        <v>52.5</v>
      </c>
      <c r="AC13" s="53">
        <f t="shared" si="2"/>
        <v>52.5</v>
      </c>
      <c r="AD13" s="123">
        <f t="shared" si="1"/>
        <v>52.5</v>
      </c>
      <c r="AF13" s="187"/>
    </row>
    <row r="14" spans="1:32" x14ac:dyDescent="0.3">
      <c r="A14" s="196" t="str">
        <f>Members!A11</f>
        <v>Mìngyùn</v>
      </c>
      <c r="B14" s="196">
        <v>3</v>
      </c>
      <c r="C14" s="181">
        <v>0</v>
      </c>
      <c r="D14" s="82">
        <f>VLOOKUP($A14,Members!$A$2:$AH$17,32,FALSE)</f>
        <v>9</v>
      </c>
      <c r="E14" s="340">
        <f>VLOOKUP($A14,Members!$A$2:$AH$17,33,FALSE)</f>
        <v>15</v>
      </c>
      <c r="F14" s="195">
        <f>VLOOKUP($A14,Members!$A$2:$AH$17,34,FALSE)</f>
        <v>14</v>
      </c>
      <c r="G14" s="88">
        <v>0</v>
      </c>
      <c r="H14" s="122" t="s">
        <v>61</v>
      </c>
      <c r="I14" s="89">
        <v>0</v>
      </c>
      <c r="J14" s="193"/>
      <c r="K14" s="194"/>
      <c r="L14" s="175"/>
      <c r="M14" s="124"/>
      <c r="N14" s="170"/>
      <c r="O14" s="90"/>
      <c r="P14" s="192"/>
      <c r="Q14" s="171"/>
      <c r="R14" s="172"/>
      <c r="S14" s="173" t="s">
        <v>93</v>
      </c>
      <c r="T14" s="91"/>
      <c r="U14" s="92"/>
      <c r="V14" s="93"/>
      <c r="W14" s="83"/>
      <c r="X14" s="84">
        <f t="shared" si="0"/>
        <v>0</v>
      </c>
      <c r="Y14" s="174"/>
      <c r="Z14" s="94"/>
      <c r="AA14" s="95"/>
      <c r="AB14" s="85">
        <f>VLOOKUP($A14,Members!$A$2:$AI$17,35,FALSE)</f>
        <v>36</v>
      </c>
      <c r="AC14" s="53">
        <f t="shared" si="2"/>
        <v>36</v>
      </c>
      <c r="AD14" s="123">
        <f t="shared" si="1"/>
        <v>36</v>
      </c>
      <c r="AF14" s="187"/>
    </row>
    <row r="15" spans="1:32" x14ac:dyDescent="0.3">
      <c r="A15" s="196" t="str">
        <f>Members!A12</f>
        <v>Yorig</v>
      </c>
      <c r="B15" s="196">
        <v>3</v>
      </c>
      <c r="C15" s="181">
        <v>0</v>
      </c>
      <c r="D15" s="82">
        <f>VLOOKUP($A15,Members!$A$2:$AH$17,32,FALSE)</f>
        <v>10</v>
      </c>
      <c r="E15" s="340">
        <f>VLOOKUP($A15,Members!$A$2:$AH$17,33,FALSE)</f>
        <v>14</v>
      </c>
      <c r="F15" s="195">
        <f>VLOOKUP($A15,Members!$A$2:$AH$17,34,FALSE)</f>
        <v>14</v>
      </c>
      <c r="G15" s="88">
        <v>0</v>
      </c>
      <c r="H15" s="122" t="s">
        <v>61</v>
      </c>
      <c r="I15" s="89">
        <v>0</v>
      </c>
      <c r="J15" s="193"/>
      <c r="K15" s="194"/>
      <c r="L15" s="175"/>
      <c r="M15" s="124"/>
      <c r="N15" s="170"/>
      <c r="O15" s="90"/>
      <c r="P15" s="192"/>
      <c r="Q15" s="171"/>
      <c r="R15" s="172" t="s">
        <v>93</v>
      </c>
      <c r="S15" s="173"/>
      <c r="T15" s="337" t="s">
        <v>93</v>
      </c>
      <c r="U15" s="92"/>
      <c r="V15" s="93"/>
      <c r="W15" s="83"/>
      <c r="X15" s="84">
        <f t="shared" si="0"/>
        <v>0</v>
      </c>
      <c r="Y15" s="174"/>
      <c r="Z15" s="94"/>
      <c r="AA15" s="95"/>
      <c r="AB15" s="85">
        <f>VLOOKUP($A15,Members!$A$2:$AI$17,35,FALSE)</f>
        <v>36</v>
      </c>
      <c r="AC15" s="53">
        <f t="shared" si="2"/>
        <v>36</v>
      </c>
      <c r="AD15" s="123">
        <f t="shared" si="1"/>
        <v>36</v>
      </c>
      <c r="AF15" s="187"/>
    </row>
    <row r="16" spans="1:32" x14ac:dyDescent="0.3">
      <c r="A16" s="196" t="str">
        <f>Members!A13</f>
        <v>Allegory</v>
      </c>
      <c r="B16" s="196">
        <v>3</v>
      </c>
      <c r="C16" s="181">
        <v>0</v>
      </c>
      <c r="D16" s="82">
        <f>VLOOKUP($A16,Members!$A$2:$AH$17,32,FALSE)</f>
        <v>10</v>
      </c>
      <c r="E16" s="340">
        <f>VLOOKUP($A16,Members!$A$2:$AH$17,33,FALSE)</f>
        <v>14</v>
      </c>
      <c r="F16" s="195">
        <f>VLOOKUP($A16,Members!$A$2:$AH$17,34,FALSE)</f>
        <v>14</v>
      </c>
      <c r="G16" s="88">
        <v>0</v>
      </c>
      <c r="H16" s="122" t="s">
        <v>61</v>
      </c>
      <c r="I16" s="89">
        <v>0</v>
      </c>
      <c r="J16" s="193"/>
      <c r="K16" s="194"/>
      <c r="L16" s="175"/>
      <c r="M16" s="124"/>
      <c r="N16" s="170"/>
      <c r="O16" s="90"/>
      <c r="P16" s="192"/>
      <c r="Q16" s="171"/>
      <c r="R16" s="172" t="s">
        <v>93</v>
      </c>
      <c r="S16" s="173" t="s">
        <v>93</v>
      </c>
      <c r="T16" s="91"/>
      <c r="U16" s="92"/>
      <c r="V16" s="93"/>
      <c r="W16" s="83"/>
      <c r="X16" s="84">
        <f t="shared" si="0"/>
        <v>0</v>
      </c>
      <c r="Y16" s="174"/>
      <c r="Z16" s="94"/>
      <c r="AA16" s="95"/>
      <c r="AB16" s="85">
        <f>VLOOKUP($A16,Members!$A$2:$AI$17,35,FALSE)</f>
        <v>36</v>
      </c>
      <c r="AC16" s="53">
        <f t="shared" si="2"/>
        <v>36</v>
      </c>
      <c r="AD16" s="123">
        <f t="shared" si="1"/>
        <v>36</v>
      </c>
      <c r="AF16" s="187"/>
    </row>
    <row r="17" spans="1:32" x14ac:dyDescent="0.3">
      <c r="A17" s="336" t="s">
        <v>111</v>
      </c>
      <c r="B17" s="336">
        <v>4</v>
      </c>
      <c r="C17" s="181">
        <v>0</v>
      </c>
      <c r="D17" s="328">
        <f>17+3</f>
        <v>20</v>
      </c>
      <c r="E17" s="96">
        <v>25</v>
      </c>
      <c r="F17" s="87">
        <v>28</v>
      </c>
      <c r="G17" s="88">
        <v>0</v>
      </c>
      <c r="H17" s="122" t="s">
        <v>61</v>
      </c>
      <c r="I17" s="89">
        <v>0</v>
      </c>
      <c r="J17" s="193"/>
      <c r="K17" s="194"/>
      <c r="L17" s="175"/>
      <c r="M17" s="124"/>
      <c r="N17" s="170"/>
      <c r="O17" s="90"/>
      <c r="P17" s="192"/>
      <c r="Q17" s="171"/>
      <c r="R17" s="172" t="s">
        <v>93</v>
      </c>
      <c r="S17" s="173" t="s">
        <v>93</v>
      </c>
      <c r="T17" s="91"/>
      <c r="U17" s="92"/>
      <c r="V17" s="93"/>
      <c r="W17" s="83"/>
      <c r="X17" s="84">
        <f t="shared" si="0"/>
        <v>0</v>
      </c>
      <c r="Y17" s="174"/>
      <c r="Z17" s="94"/>
      <c r="AA17" s="95"/>
      <c r="AB17" s="85">
        <v>80</v>
      </c>
      <c r="AC17" s="53">
        <f t="shared" si="2"/>
        <v>80</v>
      </c>
      <c r="AD17" s="123">
        <f t="shared" si="1"/>
        <v>80</v>
      </c>
      <c r="AF17" s="187"/>
    </row>
    <row r="18" spans="1:32" x14ac:dyDescent="0.3">
      <c r="A18" s="196" t="str">
        <f>Members!A14</f>
        <v>Farfalla</v>
      </c>
      <c r="B18" s="196">
        <v>4</v>
      </c>
      <c r="C18" s="181">
        <v>0</v>
      </c>
      <c r="D18" s="82">
        <f>VLOOKUP($A18,Members!$A$2:$AH$17,32,FALSE)</f>
        <v>10</v>
      </c>
      <c r="E18" s="96">
        <f>VLOOKUP($A18,Members!$A$2:$AH$17,33,FALSE)</f>
        <v>14</v>
      </c>
      <c r="F18" s="87">
        <f>VLOOKUP($A18,Members!$A$2:$AH$17,34,FALSE)</f>
        <v>14</v>
      </c>
      <c r="G18" s="88">
        <v>0</v>
      </c>
      <c r="H18" s="122" t="s">
        <v>61</v>
      </c>
      <c r="I18" s="89">
        <v>0</v>
      </c>
      <c r="J18" s="193"/>
      <c r="K18" s="194"/>
      <c r="L18" s="175"/>
      <c r="M18" s="124"/>
      <c r="N18" s="329">
        <v>52</v>
      </c>
      <c r="O18" s="90"/>
      <c r="P18" s="192"/>
      <c r="Q18" s="171"/>
      <c r="R18" s="172"/>
      <c r="S18" s="173"/>
      <c r="T18" s="91"/>
      <c r="U18" s="92"/>
      <c r="V18" s="93"/>
      <c r="W18" s="83"/>
      <c r="X18" s="84">
        <f t="shared" si="0"/>
        <v>52</v>
      </c>
      <c r="Y18" s="174"/>
      <c r="Z18" s="94"/>
      <c r="AA18" s="95"/>
      <c r="AB18" s="85">
        <f>VLOOKUP($A18,Members!$A$2:$AI$17,35,FALSE)</f>
        <v>63</v>
      </c>
      <c r="AC18" s="53">
        <f t="shared" si="2"/>
        <v>11</v>
      </c>
      <c r="AD18" s="123">
        <f t="shared" si="1"/>
        <v>11</v>
      </c>
      <c r="AF18" s="187"/>
    </row>
    <row r="19" spans="1:32" x14ac:dyDescent="0.3">
      <c r="A19" s="196" t="str">
        <f>Members!A15</f>
        <v>Shmetterling</v>
      </c>
      <c r="B19" s="196">
        <v>4</v>
      </c>
      <c r="C19" s="181">
        <v>0</v>
      </c>
      <c r="D19" s="82">
        <f>VLOOKUP($A19,Members!$A$2:$AH$17,32,FALSE)</f>
        <v>10</v>
      </c>
      <c r="E19" s="96">
        <f>VLOOKUP($A19,Members!$A$2:$AH$17,33,FALSE)</f>
        <v>14</v>
      </c>
      <c r="F19" s="87">
        <f>VLOOKUP($A19,Members!$A$2:$AH$17,34,FALSE)</f>
        <v>14</v>
      </c>
      <c r="G19" s="88">
        <v>0</v>
      </c>
      <c r="H19" s="122" t="s">
        <v>61</v>
      </c>
      <c r="I19" s="89">
        <v>0</v>
      </c>
      <c r="J19" s="193"/>
      <c r="K19" s="194"/>
      <c r="L19" s="175"/>
      <c r="M19" s="124"/>
      <c r="N19" s="329">
        <v>52</v>
      </c>
      <c r="O19" s="90"/>
      <c r="P19" s="192"/>
      <c r="Q19" s="171"/>
      <c r="R19" s="172"/>
      <c r="S19" s="173"/>
      <c r="T19" s="91"/>
      <c r="U19" s="92"/>
      <c r="V19" s="93"/>
      <c r="W19" s="83"/>
      <c r="X19" s="84">
        <f t="shared" si="0"/>
        <v>52</v>
      </c>
      <c r="Y19" s="174"/>
      <c r="Z19" s="94"/>
      <c r="AA19" s="95"/>
      <c r="AB19" s="85">
        <f>VLOOKUP($A19,Members!$A$2:$AI$17,35,FALSE)</f>
        <v>49.5</v>
      </c>
      <c r="AC19" s="53">
        <f t="shared" si="2"/>
        <v>-2.5</v>
      </c>
      <c r="AD19" s="123">
        <f t="shared" si="1"/>
        <v>-2.5</v>
      </c>
      <c r="AF19" s="187"/>
    </row>
    <row r="20" spans="1:32" x14ac:dyDescent="0.3">
      <c r="A20" s="196" t="str">
        <f>Members!A16</f>
        <v>Lepidopterum</v>
      </c>
      <c r="B20" s="196">
        <v>4</v>
      </c>
      <c r="C20" s="181">
        <v>0</v>
      </c>
      <c r="D20" s="82">
        <f>VLOOKUP($A20,Members!$A$2:$AH$17,32,FALSE)</f>
        <v>12</v>
      </c>
      <c r="E20" s="96">
        <f>VLOOKUP($A20,Members!$A$2:$AH$17,33,FALSE)</f>
        <v>14</v>
      </c>
      <c r="F20" s="87">
        <f>VLOOKUP($A20,Members!$A$2:$AH$17,34,FALSE)</f>
        <v>16</v>
      </c>
      <c r="G20" s="88">
        <v>0</v>
      </c>
      <c r="H20" s="122" t="s">
        <v>61</v>
      </c>
      <c r="I20" s="89">
        <v>0</v>
      </c>
      <c r="J20" s="193"/>
      <c r="K20" s="194"/>
      <c r="L20" s="175"/>
      <c r="M20" s="124"/>
      <c r="N20" s="170">
        <v>26</v>
      </c>
      <c r="O20" s="90"/>
      <c r="P20" s="192"/>
      <c r="Q20" s="171"/>
      <c r="R20" s="172"/>
      <c r="S20" s="173"/>
      <c r="T20" s="91"/>
      <c r="U20" s="92"/>
      <c r="V20" s="93"/>
      <c r="W20" s="83"/>
      <c r="X20" s="84">
        <f t="shared" si="0"/>
        <v>26</v>
      </c>
      <c r="Y20" s="174"/>
      <c r="Z20" s="94"/>
      <c r="AA20" s="95"/>
      <c r="AB20" s="85">
        <f>VLOOKUP($A20,Members!$A$2:$AI$17,35,FALSE)</f>
        <v>42.75</v>
      </c>
      <c r="AC20" s="53">
        <f t="shared" si="2"/>
        <v>16.75</v>
      </c>
      <c r="AD20" s="123">
        <f t="shared" si="1"/>
        <v>16.75</v>
      </c>
      <c r="AF20" s="187"/>
    </row>
    <row r="21" spans="1:32" x14ac:dyDescent="0.3">
      <c r="A21" s="196" t="str">
        <f>Members!A17</f>
        <v>Borboleta</v>
      </c>
      <c r="B21" s="196">
        <v>4</v>
      </c>
      <c r="C21" s="181">
        <v>0</v>
      </c>
      <c r="D21" s="82">
        <f>VLOOKUP($A21,Members!$A$2:$AH$17,32,FALSE)</f>
        <v>10</v>
      </c>
      <c r="E21" s="96">
        <f>VLOOKUP($A21,Members!$A$2:$AH$17,33,FALSE)</f>
        <v>14</v>
      </c>
      <c r="F21" s="87">
        <f>VLOOKUP($A21,Members!$A$2:$AH$17,34,FALSE)</f>
        <v>14</v>
      </c>
      <c r="G21" s="88">
        <v>0</v>
      </c>
      <c r="H21" s="122" t="s">
        <v>61</v>
      </c>
      <c r="I21" s="89">
        <v>0</v>
      </c>
      <c r="J21" s="193"/>
      <c r="K21" s="194"/>
      <c r="L21" s="175"/>
      <c r="M21" s="124"/>
      <c r="N21" s="170">
        <v>52</v>
      </c>
      <c r="O21" s="90"/>
      <c r="P21" s="192"/>
      <c r="Q21" s="171"/>
      <c r="R21" s="172"/>
      <c r="S21" s="173"/>
      <c r="T21" s="91"/>
      <c r="U21" s="92"/>
      <c r="V21" s="93"/>
      <c r="W21" s="83"/>
      <c r="X21" s="84">
        <f t="shared" si="0"/>
        <v>52</v>
      </c>
      <c r="Y21" s="174"/>
      <c r="Z21" s="94"/>
      <c r="AA21" s="95"/>
      <c r="AB21" s="85">
        <f>VLOOKUP($A21,Members!$A$2:$AI$17,35,FALSE)</f>
        <v>63</v>
      </c>
      <c r="AC21" s="53">
        <f t="shared" si="2"/>
        <v>11</v>
      </c>
      <c r="AD21" s="123">
        <f t="shared" si="1"/>
        <v>11</v>
      </c>
      <c r="AF21" s="187"/>
    </row>
    <row r="22" spans="1:32" x14ac:dyDescent="0.3">
      <c r="A22" s="338" t="s">
        <v>325</v>
      </c>
      <c r="B22" s="338">
        <v>5</v>
      </c>
      <c r="C22" s="181">
        <v>0.15</v>
      </c>
      <c r="D22" s="328">
        <f>13+1</f>
        <v>14</v>
      </c>
      <c r="E22" s="96">
        <v>16</v>
      </c>
      <c r="F22" s="195">
        <f>19+1</f>
        <v>20</v>
      </c>
      <c r="G22" s="88">
        <v>0</v>
      </c>
      <c r="H22" s="122" t="s">
        <v>61</v>
      </c>
      <c r="I22" s="89">
        <v>0</v>
      </c>
      <c r="J22" s="193"/>
      <c r="K22" s="194"/>
      <c r="L22" s="175"/>
      <c r="M22" s="124"/>
      <c r="N22" s="170"/>
      <c r="O22" s="90"/>
      <c r="P22" s="192"/>
      <c r="Q22" s="186" t="s">
        <v>93</v>
      </c>
      <c r="R22" s="172"/>
      <c r="S22" s="173" t="s">
        <v>93</v>
      </c>
      <c r="T22" s="91"/>
      <c r="U22" s="92"/>
      <c r="V22" s="93"/>
      <c r="W22" s="83"/>
      <c r="X22" s="84">
        <f t="shared" si="0"/>
        <v>0</v>
      </c>
      <c r="Y22" s="174"/>
      <c r="Z22" s="94"/>
      <c r="AA22" s="95"/>
      <c r="AB22" s="349">
        <f>55+10</f>
        <v>65</v>
      </c>
      <c r="AC22" s="53">
        <f t="shared" si="2"/>
        <v>65</v>
      </c>
      <c r="AD22" s="123">
        <f t="shared" si="1"/>
        <v>65</v>
      </c>
      <c r="AF22" s="187"/>
    </row>
    <row r="23" spans="1:32" x14ac:dyDescent="0.3">
      <c r="A23" s="338" t="s">
        <v>320</v>
      </c>
      <c r="B23" s="338">
        <v>5</v>
      </c>
      <c r="C23" s="181">
        <v>0.2</v>
      </c>
      <c r="D23" s="82">
        <f>11+1</f>
        <v>12</v>
      </c>
      <c r="E23" s="96">
        <v>17</v>
      </c>
      <c r="F23" s="87">
        <v>18</v>
      </c>
      <c r="G23" s="88">
        <v>0</v>
      </c>
      <c r="H23" s="122" t="s">
        <v>61</v>
      </c>
      <c r="I23" s="89">
        <v>0</v>
      </c>
      <c r="J23" s="193"/>
      <c r="K23" s="194"/>
      <c r="L23" s="175"/>
      <c r="M23" s="124"/>
      <c r="N23" s="170"/>
      <c r="O23" s="90"/>
      <c r="P23" s="192"/>
      <c r="Q23" s="186" t="s">
        <v>93</v>
      </c>
      <c r="R23" s="172"/>
      <c r="S23" s="173" t="s">
        <v>93</v>
      </c>
      <c r="T23" s="91"/>
      <c r="U23" s="92"/>
      <c r="V23" s="93"/>
      <c r="W23" s="83"/>
      <c r="X23" s="84">
        <f t="shared" ref="X23" si="3">SUM(J23:W23)</f>
        <v>0</v>
      </c>
      <c r="Y23" s="174"/>
      <c r="Z23" s="94"/>
      <c r="AA23" s="95"/>
      <c r="AB23" s="85">
        <v>65</v>
      </c>
      <c r="AC23" s="53">
        <f t="shared" si="2"/>
        <v>65</v>
      </c>
      <c r="AD23" s="123">
        <f t="shared" ref="AD23" si="4">SMALL(AB23:AC23,1)+Z23</f>
        <v>65</v>
      </c>
      <c r="AF23" s="187"/>
    </row>
    <row r="24" spans="1:32" x14ac:dyDescent="0.3">
      <c r="A24" s="134" t="s">
        <v>315</v>
      </c>
      <c r="B24" s="134">
        <v>6</v>
      </c>
      <c r="C24" s="181">
        <v>0</v>
      </c>
      <c r="D24" s="82">
        <v>12</v>
      </c>
      <c r="E24" s="96">
        <v>16</v>
      </c>
      <c r="F24" s="87">
        <v>19</v>
      </c>
      <c r="G24" s="88">
        <v>0</v>
      </c>
      <c r="H24" s="122" t="s">
        <v>321</v>
      </c>
      <c r="I24" s="89">
        <v>5</v>
      </c>
      <c r="J24" s="193">
        <v>31</v>
      </c>
      <c r="K24" s="194">
        <v>28</v>
      </c>
      <c r="L24" s="175">
        <v>12</v>
      </c>
      <c r="M24" s="124"/>
      <c r="N24" s="341" t="s">
        <v>93</v>
      </c>
      <c r="O24" s="90"/>
      <c r="P24" s="192"/>
      <c r="Q24" s="186" t="s">
        <v>93</v>
      </c>
      <c r="R24" s="183"/>
      <c r="S24" s="173"/>
      <c r="T24" s="337" t="s">
        <v>93</v>
      </c>
      <c r="U24" s="92"/>
      <c r="V24" s="93">
        <v>12</v>
      </c>
      <c r="W24" s="83"/>
      <c r="X24" s="84">
        <f t="shared" si="0"/>
        <v>83</v>
      </c>
      <c r="Y24" s="174"/>
      <c r="Z24" s="94"/>
      <c r="AA24" s="95"/>
      <c r="AB24" s="85">
        <v>85</v>
      </c>
      <c r="AC24" s="53">
        <f t="shared" si="2"/>
        <v>2</v>
      </c>
      <c r="AD24" s="123">
        <f>SMALL(AB24:AC24,1)+Z24</f>
        <v>2</v>
      </c>
      <c r="AF24" s="187"/>
    </row>
    <row r="25" spans="1:32" x14ac:dyDescent="0.3">
      <c r="A25" s="134" t="s">
        <v>316</v>
      </c>
      <c r="B25" s="134">
        <v>6</v>
      </c>
      <c r="C25" s="181">
        <v>0</v>
      </c>
      <c r="D25" s="82">
        <v>12</v>
      </c>
      <c r="E25" s="96">
        <v>16</v>
      </c>
      <c r="F25" s="87">
        <v>19</v>
      </c>
      <c r="G25" s="88">
        <v>0</v>
      </c>
      <c r="H25" s="122" t="s">
        <v>321</v>
      </c>
      <c r="I25" s="89">
        <v>5</v>
      </c>
      <c r="J25" s="193"/>
      <c r="K25" s="194">
        <v>26</v>
      </c>
      <c r="L25" s="175">
        <v>62</v>
      </c>
      <c r="M25" s="124"/>
      <c r="N25" s="341" t="s">
        <v>93</v>
      </c>
      <c r="O25" s="90"/>
      <c r="P25" s="192"/>
      <c r="Q25" s="186" t="s">
        <v>93</v>
      </c>
      <c r="R25" s="183"/>
      <c r="S25" s="173"/>
      <c r="T25" s="337" t="s">
        <v>93</v>
      </c>
      <c r="U25" s="92"/>
      <c r="V25" s="93">
        <v>11</v>
      </c>
      <c r="W25" s="83"/>
      <c r="X25" s="84">
        <f t="shared" si="0"/>
        <v>99</v>
      </c>
      <c r="Y25" s="174"/>
      <c r="Z25" s="94"/>
      <c r="AA25" s="95"/>
      <c r="AB25" s="85">
        <v>85</v>
      </c>
      <c r="AC25" s="53">
        <f t="shared" si="2"/>
        <v>-14</v>
      </c>
      <c r="AD25" s="123">
        <f>SMALL(AB25:AC25,1)+Z25</f>
        <v>-14</v>
      </c>
      <c r="AF25" s="190"/>
    </row>
    <row r="26" spans="1:32" x14ac:dyDescent="0.3">
      <c r="A26" s="134" t="s">
        <v>317</v>
      </c>
      <c r="B26" s="134">
        <v>6</v>
      </c>
      <c r="C26" s="181">
        <v>0</v>
      </c>
      <c r="D26" s="82">
        <v>12</v>
      </c>
      <c r="E26" s="96">
        <v>16</v>
      </c>
      <c r="F26" s="87">
        <v>19</v>
      </c>
      <c r="G26" s="88">
        <v>0</v>
      </c>
      <c r="H26" s="122" t="s">
        <v>321</v>
      </c>
      <c r="I26" s="89">
        <v>5</v>
      </c>
      <c r="J26" s="193">
        <v>45</v>
      </c>
      <c r="K26" s="194">
        <v>40</v>
      </c>
      <c r="L26" s="175"/>
      <c r="M26" s="124"/>
      <c r="N26" s="341" t="s">
        <v>93</v>
      </c>
      <c r="O26" s="90">
        <v>13</v>
      </c>
      <c r="P26" s="192"/>
      <c r="Q26" s="186" t="s">
        <v>93</v>
      </c>
      <c r="R26" s="183"/>
      <c r="S26" s="173"/>
      <c r="T26" s="337" t="s">
        <v>93</v>
      </c>
      <c r="U26" s="92"/>
      <c r="V26" s="93"/>
      <c r="W26" s="83"/>
      <c r="X26" s="84">
        <f>SUM(J26:W26)</f>
        <v>98</v>
      </c>
      <c r="Y26" s="174"/>
      <c r="Z26" s="94"/>
      <c r="AA26" s="95"/>
      <c r="AB26" s="85">
        <v>85</v>
      </c>
      <c r="AC26" s="53">
        <f t="shared" si="2"/>
        <v>-13</v>
      </c>
      <c r="AD26" s="123">
        <f>SMALL(AB26:AC26,1)+Z26</f>
        <v>-13</v>
      </c>
      <c r="AF26" s="187"/>
    </row>
    <row r="27" spans="1:32" x14ac:dyDescent="0.3">
      <c r="A27" s="134" t="s">
        <v>345</v>
      </c>
      <c r="B27" s="134">
        <v>6</v>
      </c>
      <c r="C27" s="181">
        <v>0</v>
      </c>
      <c r="D27" s="82">
        <v>8</v>
      </c>
      <c r="E27" s="96">
        <v>27</v>
      </c>
      <c r="F27" s="87">
        <v>27</v>
      </c>
      <c r="G27" s="88">
        <v>0</v>
      </c>
      <c r="H27" s="122" t="s">
        <v>321</v>
      </c>
      <c r="I27" s="89">
        <v>5</v>
      </c>
      <c r="J27" s="193">
        <v>29</v>
      </c>
      <c r="K27" s="194">
        <v>43</v>
      </c>
      <c r="L27" s="175">
        <v>119</v>
      </c>
      <c r="M27" s="124"/>
      <c r="N27" s="341" t="s">
        <v>93</v>
      </c>
      <c r="O27" s="90">
        <v>36</v>
      </c>
      <c r="P27" s="192"/>
      <c r="Q27" s="186" t="s">
        <v>93</v>
      </c>
      <c r="R27" s="183">
        <v>23</v>
      </c>
      <c r="S27" s="173" t="s">
        <v>93</v>
      </c>
      <c r="T27" s="91"/>
      <c r="U27" s="92"/>
      <c r="V27" s="93"/>
      <c r="W27" s="83"/>
      <c r="X27" s="84">
        <f>SUM(J27:W27)</f>
        <v>250</v>
      </c>
      <c r="Y27" s="174"/>
      <c r="Z27" s="94"/>
      <c r="AA27" s="95"/>
      <c r="AB27" s="85">
        <v>230</v>
      </c>
      <c r="AC27" s="53">
        <f t="shared" ref="AC27" si="5">SUM(AA27:AB27)-(X27+Y27)</f>
        <v>-20</v>
      </c>
      <c r="AD27" s="123">
        <f>SMALL(AB27:AC27,1)+Z27</f>
        <v>-20</v>
      </c>
      <c r="AF27" s="187"/>
    </row>
  </sheetData>
  <sortState xmlns:xlrd2="http://schemas.microsoft.com/office/spreadsheetml/2017/richdata2" ref="A2:AD26">
    <sortCondition ref="B2:B26"/>
  </sortState>
  <conditionalFormatting sqref="AD2:AD27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50" t="s">
        <v>11</v>
      </c>
      <c r="I1" s="150" t="s">
        <v>101</v>
      </c>
      <c r="J1" s="150" t="s">
        <v>102</v>
      </c>
      <c r="K1" s="150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9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13</v>
      </c>
      <c r="H2" s="151">
        <f ca="1">RANDBETWEEN(1,3)+RANDBETWEEN(1,3)+RANDBETWEEN(1,3)+RANDBETWEEN(1,3)+RANDBETWEEN(1,3)+RANDBETWEEN(1,3)</f>
        <v>13</v>
      </c>
      <c r="I2" s="151">
        <f ca="1">RANDBETWEEN(1,3)+RANDBETWEEN(1,3)+RANDBETWEEN(1,3)+RANDBETWEEN(1,3)+RANDBETWEEN(1,3)+RANDBETWEEN(1,3)+RANDBETWEEN(1,3)</f>
        <v>12</v>
      </c>
      <c r="J2" s="151">
        <f ca="1">RANDBETWEEN(1,3)+RANDBETWEEN(1,3)+RANDBETWEEN(1,3)+RANDBETWEEN(1,3)+RANDBETWEEN(1,3)+RANDBETWEEN(1,3)+RANDBETWEEN(1,3)+RANDBETWEEN(1,3)</f>
        <v>18</v>
      </c>
      <c r="K2" s="151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10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10</v>
      </c>
      <c r="H3" s="152">
        <f ca="1">RANDBETWEEN(1,4)+RANDBETWEEN(1,4)+RANDBETWEEN(1,4)+RANDBETWEEN(1,4)+RANDBETWEEN(1,4)+RANDBETWEEN(1,4)</f>
        <v>14</v>
      </c>
      <c r="I3" s="152">
        <f ca="1">RANDBETWEEN(1,4)+RANDBETWEEN(1,4)+RANDBETWEEN(1,4)+RANDBETWEEN(1,4)+RANDBETWEEN(1,4)+RANDBETWEEN(1,4)+RANDBETWEEN(1,4)</f>
        <v>16</v>
      </c>
      <c r="J3" s="152">
        <f ca="1">RANDBETWEEN(1,4)+RANDBETWEEN(1,4)+RANDBETWEEN(1,4)+RANDBETWEEN(1,4)+RANDBETWEEN(1,4)+RANDBETWEEN(1,4)+RANDBETWEEN(1,4)+RANDBETWEEN(1,4)</f>
        <v>15</v>
      </c>
      <c r="K3" s="152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5</v>
      </c>
      <c r="D4" s="10">
        <f ca="1">RANDBETWEEN(1,6)+RANDBETWEEN(1,6)</f>
        <v>9</v>
      </c>
      <c r="E4" s="10">
        <f ca="1">RANDBETWEEN(1,6)+RANDBETWEEN(1,6)+RANDBETWEEN(1,6)</f>
        <v>11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17</v>
      </c>
      <c r="H4" s="152">
        <f ca="1">RANDBETWEEN(1,6)+RANDBETWEEN(1,6)+RANDBETWEEN(1,6)+RANDBETWEEN(1,6)+RANDBETWEEN(1,6)+RANDBETWEEN(1,6)</f>
        <v>20</v>
      </c>
      <c r="I4" s="152">
        <f ca="1">RANDBETWEEN(1,6)+RANDBETWEEN(1,6)+RANDBETWEEN(1,6)+RANDBETWEEN(1,6)+RANDBETWEEN(1,6)+RANDBETWEEN(1,6)+RANDBETWEEN(1,6)</f>
        <v>25</v>
      </c>
      <c r="J4" s="152">
        <f ca="1">RANDBETWEEN(1,6)+RANDBETWEEN(1,6)+RANDBETWEEN(1,6)+RANDBETWEEN(1,6)+RANDBETWEEN(1,6)+RANDBETWEEN(1,6)+RANDBETWEEN(1,6)+RANDBETWEEN(1,6)</f>
        <v>34</v>
      </c>
      <c r="K4" s="152">
        <f ca="1">RANDBETWEEN(1,6)+RANDBETWEEN(1,6)+RANDBETWEEN(1,6)+RANDBETWEEN(1,6)+RANDBETWEEN(1,6)+RANDBETWEEN(1,6)+RANDBETWEEN(1,6)+RANDBETWEEN(1,6)+RANDBETWEEN(1,6)</f>
        <v>40</v>
      </c>
      <c r="L4" s="11">
        <f ca="1">RANDBETWEEN(1,6)+RANDBETWEEN(1,6)+RANDBETWEEN(1,6)+RANDBETWEEN(1,6)+RANDBETWEEN(1,6)+RANDBETWEEN(1,6)+RANDBETWEEN(1,6)+RANDBETWEEN(1,6)+RANDBETWEEN(1,6)+RANDBETWEEN(1,6)</f>
        <v>33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7</v>
      </c>
      <c r="E5" s="10">
        <f ca="1">RANDBETWEEN(1,8)+RANDBETWEEN(1,8)+RANDBETWEEN(1,8)</f>
        <v>17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25</v>
      </c>
      <c r="H5" s="152">
        <f ca="1">RANDBETWEEN(1,8)+RANDBETWEEN(1,8)+RANDBETWEEN(1,8)+RANDBETWEEN(1,8)+RANDBETWEEN(1,8)+RANDBETWEEN(1,8)</f>
        <v>30</v>
      </c>
      <c r="I5" s="152">
        <f ca="1">RANDBETWEEN(1,8)+RANDBETWEEN(1,8)+RANDBETWEEN(1,8)+RANDBETWEEN(1,8)+RANDBETWEEN(1,8)+RANDBETWEEN(1,8)+RANDBETWEEN(1,8)</f>
        <v>26</v>
      </c>
      <c r="J5" s="152">
        <f ca="1">RANDBETWEEN(1,8)+RANDBETWEEN(1,8)+RANDBETWEEN(1,8)+RANDBETWEEN(1,8)+RANDBETWEEN(1,8)+RANDBETWEEN(1,8)+RANDBETWEEN(1,8)+RANDBETWEEN(1,8)</f>
        <v>33</v>
      </c>
      <c r="K5" s="152">
        <f ca="1">RANDBETWEEN(1,8)+RANDBETWEEN(1,8)+RANDBETWEEN(1,8)+RANDBETWEEN(1,8)+RANDBETWEEN(1,8)+RANDBETWEEN(1,8)+RANDBETWEEN(1,8)+RANDBETWEEN(1,8)+RANDBETWEEN(1,8)</f>
        <v>37</v>
      </c>
      <c r="L5" s="11">
        <f ca="1">RANDBETWEEN(1,8)+RANDBETWEEN(1,8)+RANDBETWEEN(1,8)+RANDBETWEEN(1,8)+RANDBETWEEN(1,8)+RANDBETWEEN(1,8)+RANDBETWEEN(1,8)+RANDBETWEEN(1,8)+RANDBETWEEN(1,8)+RANDBETWEEN(1,8)</f>
        <v>34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2</v>
      </c>
      <c r="D6" s="10">
        <f ca="1">RANDBETWEEN(1,10)+RANDBETWEEN(1,10)</f>
        <v>11</v>
      </c>
      <c r="E6" s="10">
        <f ca="1">RANDBETWEEN(1,10)+RANDBETWEEN(1,10)+RANDBETWEEN(1,10)</f>
        <v>19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23</v>
      </c>
      <c r="H6" s="152">
        <f ca="1">RANDBETWEEN(1,10)+RANDBETWEEN(1,10)+RANDBETWEEN(1,10)+RANDBETWEEN(1,10)+RANDBETWEEN(1,10)+RANDBETWEEN(1,10)</f>
        <v>47</v>
      </c>
      <c r="I6" s="152">
        <f ca="1">RANDBETWEEN(1,10)+RANDBETWEEN(1,10)+RANDBETWEEN(1,10)+RANDBETWEEN(1,10)+RANDBETWEEN(1,10)+RANDBETWEEN(1,10)+RANDBETWEEN(1,10)</f>
        <v>42</v>
      </c>
      <c r="J6" s="152">
        <f ca="1">RANDBETWEEN(1,10)+RANDBETWEEN(1,10)+RANDBETWEEN(1,10)+RANDBETWEEN(1,10)+RANDBETWEEN(1,10)+RANDBETWEEN(1,10)+RANDBETWEEN(1,10)+RANDBETWEEN(1,10)</f>
        <v>54</v>
      </c>
      <c r="K6" s="152">
        <f ca="1">RANDBETWEEN(1,10)+RANDBETWEEN(1,10)+RANDBETWEEN(1,10)+RANDBETWEEN(1,10)+RANDBETWEEN(1,10)+RANDBETWEEN(1,10)+RANDBETWEEN(1,10)+RANDBETWEEN(1,10)+RANDBETWEEN(1,10)</f>
        <v>68</v>
      </c>
      <c r="L6" s="11">
        <f ca="1">RANDBETWEEN(1,10)+RANDBETWEEN(1,10)+RANDBETWEEN(1,10)+RANDBETWEEN(1,10)+RANDBETWEEN(1,10)+RANDBETWEEN(1,10)+RANDBETWEEN(1,10)+RANDBETWEEN(1,10)+RANDBETWEEN(1,10)+RANDBETWEEN(1,10)</f>
        <v>59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9</v>
      </c>
      <c r="D7" s="10">
        <f ca="1">RANDBETWEEN(1,12)+RANDBETWEEN(1,12)</f>
        <v>11</v>
      </c>
      <c r="E7" s="10">
        <f ca="1">RANDBETWEEN(1,12)+RANDBETWEEN(1,12)+RANDBETWEEN(1,12)</f>
        <v>31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32</v>
      </c>
      <c r="H7" s="152">
        <f ca="1">RANDBETWEEN(1,12)+RANDBETWEEN(1,12)+RANDBETWEEN(1,12)+RANDBETWEEN(1,12)+RANDBETWEEN(1,12)+RANDBETWEEN(1,12)</f>
        <v>31</v>
      </c>
      <c r="I7" s="152">
        <f ca="1">RANDBETWEEN(1,12)+RANDBETWEEN(1,12)+RANDBETWEEN(1,12)+RANDBETWEEN(1,12)+RANDBETWEEN(1,12)+RANDBETWEEN(1,12)+RANDBETWEEN(1,12)</f>
        <v>59</v>
      </c>
      <c r="J7" s="152">
        <f ca="1">RANDBETWEEN(1,12)+RANDBETWEEN(1,12)+RANDBETWEEN(1,12)+RANDBETWEEN(1,12)+RANDBETWEEN(1,12)+RANDBETWEEN(1,12)+RANDBETWEEN(1,12)+RANDBETWEEN(1,12)</f>
        <v>45</v>
      </c>
      <c r="K7" s="152">
        <f ca="1">RANDBETWEEN(1,12)+RANDBETWEEN(1,12)+RANDBETWEEN(1,12)+RANDBETWEEN(1,12)+RANDBETWEEN(1,12)+RANDBETWEEN(1,12)+RANDBETWEEN(1,12)+RANDBETWEEN(1,12)+RANDBETWEEN(1,12)</f>
        <v>47</v>
      </c>
      <c r="L7" s="11">
        <f ca="1">RANDBETWEEN(1,12)+RANDBETWEEN(1,12)+RANDBETWEEN(1,12)+RANDBETWEEN(1,12)+RANDBETWEEN(1,12)+RANDBETWEEN(1,12)+RANDBETWEEN(1,12)+RANDBETWEEN(1,12)+RANDBETWEEN(1,12)+RANDBETWEEN(1,12)</f>
        <v>59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14</v>
      </c>
      <c r="E8" s="10">
        <f ca="1">RANDBETWEEN(1,20)+RANDBETWEEN(1,20)+RANDBETWEEN(1,20)</f>
        <v>36</v>
      </c>
      <c r="F8" s="10">
        <f ca="1">RANDBETWEEN(1,20)+RANDBETWEEN(1,20)+RANDBETWEEN(1,20)+RANDBETWEEN(1,20)</f>
        <v>55</v>
      </c>
      <c r="G8" s="10">
        <f ca="1">RANDBETWEEN(1,20)+RANDBETWEEN(1,20)+RANDBETWEEN(1,20)+RANDBETWEEN(1,20)+RANDBETWEEN(1,20)</f>
        <v>43</v>
      </c>
      <c r="H8" s="152">
        <f ca="1">RANDBETWEEN(1,20)+RANDBETWEEN(1,20)+RANDBETWEEN(1,20)+RANDBETWEEN(1,20)+RANDBETWEEN(1,20)+RANDBETWEEN(1,20)</f>
        <v>40</v>
      </c>
      <c r="I8" s="152">
        <f ca="1">RANDBETWEEN(1,20)+RANDBETWEEN(1,20)+RANDBETWEEN(1,20)+RANDBETWEEN(1,20)+RANDBETWEEN(1,20)+RANDBETWEEN(1,20)+RANDBETWEEN(1,20)</f>
        <v>91</v>
      </c>
      <c r="J8" s="152">
        <f ca="1">RANDBETWEEN(1,20)+RANDBETWEEN(1,20)+RANDBETWEEN(1,20)+RANDBETWEEN(1,20)+RANDBETWEEN(1,20)+RANDBETWEEN(1,20)+RANDBETWEEN(1,20)+RANDBETWEEN(1,20)</f>
        <v>92</v>
      </c>
      <c r="K8" s="152">
        <f ca="1">RANDBETWEEN(1,20)+RANDBETWEEN(1,20)+RANDBETWEEN(1,20)+RANDBETWEEN(1,20)+RANDBETWEEN(1,20)+RANDBETWEEN(1,20)+RANDBETWEEN(1,20)+RANDBETWEEN(1,20)+RANDBETWEEN(1,20)</f>
        <v>62</v>
      </c>
      <c r="L8" s="11">
        <f ca="1">RANDBETWEEN(1,20)+RANDBETWEEN(1,20)+RANDBETWEEN(1,20)+RANDBETWEEN(1,20)+RANDBETWEEN(1,20)+RANDBETWEEN(1,20)+RANDBETWEEN(1,20)+RANDBETWEEN(1,20)+RANDBETWEEN(1,20)+RANDBETWEEN(1,20)</f>
        <v>105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77</v>
      </c>
      <c r="D9" s="13">
        <f ca="1">RANDBETWEEN(1,100)+RANDBETWEEN(1,100)</f>
        <v>101</v>
      </c>
      <c r="E9" s="13">
        <f ca="1">RANDBETWEEN(1,100)+RANDBETWEEN(1,100)+RANDBETWEEN(1,100)</f>
        <v>189</v>
      </c>
      <c r="F9" s="13">
        <f ca="1">RANDBETWEEN(1,100)+RANDBETWEEN(1,100)+RANDBETWEEN(1,100)+RANDBETWEEN(1,100)</f>
        <v>233</v>
      </c>
      <c r="G9" s="13">
        <f ca="1">RANDBETWEEN(1,100)+RANDBETWEEN(1,100)+RANDBETWEEN(1,100)+RANDBETWEEN(1,100)+RANDBETWEEN(1,100)</f>
        <v>232</v>
      </c>
      <c r="H9" s="153">
        <f ca="1">RANDBETWEEN(1,100)+RANDBETWEEN(1,100)+RANDBETWEEN(1,100)+RANDBETWEEN(1,100)+RANDBETWEEN(1,100)+RANDBETWEEN(1,100)</f>
        <v>367</v>
      </c>
      <c r="I9" s="153">
        <f ca="1">RANDBETWEEN(1,100)+RANDBETWEEN(1,100)+RANDBETWEEN(1,100)+RANDBETWEEN(1,100)+RANDBETWEEN(1,100)+RANDBETWEEN(1,100)+RANDBETWEEN(1,100)</f>
        <v>434</v>
      </c>
      <c r="J9" s="153">
        <f ca="1">RANDBETWEEN(1,100)+RANDBETWEEN(1,100)+RANDBETWEEN(1,100)+RANDBETWEEN(1,100)+RANDBETWEEN(1,100)+RANDBETWEEN(1,100)+RANDBETWEEN(1,100)+RANDBETWEEN(1,100)</f>
        <v>402</v>
      </c>
      <c r="K9" s="153">
        <f ca="1">RANDBETWEEN(1,100)+RANDBETWEEN(1,100)+RANDBETWEEN(1,100)+RANDBETWEEN(1,100)+RANDBETWEEN(1,100)+RANDBETWEEN(1,100)+RANDBETWEEN(1,100)+RANDBETWEEN(1,100)+RANDBETWEEN(1,100)</f>
        <v>408</v>
      </c>
      <c r="L9" s="14">
        <f ca="1">RANDBETWEEN(1,100)+RANDBETWEEN(1,100)+RANDBETWEEN(1,100)+RANDBETWEEN(1,100)+RANDBETWEEN(1,100)+RANDBETWEEN(1,100)+RANDBETWEEN(1,100)+RANDBETWEEN(1,100)+RANDBETWEEN(1,100)+RANDBETWEEN(1,100)</f>
        <v>350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  <c r="K26" s="5">
        <v>3</v>
      </c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2024-06-28T12:25:35Z</dcterms:modified>
</cp:coreProperties>
</file>