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gos\FoL\Used\Battle Tallies\"/>
    </mc:Choice>
  </mc:AlternateContent>
  <xr:revisionPtr revIDLastSave="0" documentId="13_ncr:1_{92666ECA-7EA9-435A-9142-9265431AD188}" xr6:coauthVersionLast="47" xr6:coauthVersionMax="47" xr10:uidLastSave="{00000000-0000-0000-0000-000000000000}"/>
  <bookViews>
    <workbookView xWindow="-108" yWindow="-108" windowWidth="23256" windowHeight="13176" tabRatio="506" activeTab="1" xr2:uid="{00000000-000D-0000-FFFF-FFFF00000000}"/>
  </bookViews>
  <sheets>
    <sheet name="Initiative" sheetId="1" r:id="rId1"/>
    <sheet name="Spells" sheetId="10" r:id="rId2"/>
    <sheet name="Sligson" sheetId="12" r:id="rId3"/>
    <sheet name="Attacks, foes" sheetId="9" r:id="rId4"/>
    <sheet name="Attacks, allies" sheetId="11" r:id="rId5"/>
    <sheet name="Saves" sheetId="7" r:id="rId6"/>
    <sheet name="hps" sheetId="5" r:id="rId7"/>
    <sheet name="Rolls" sheetId="4" r:id="rId8"/>
  </sheets>
  <externalReferences>
    <externalReference r:id="rId9"/>
  </externalReferences>
  <definedNames>
    <definedName name="NoShade">'[1]Spell Sheet'!$FH$1</definedName>
    <definedName name="_xlnm.Print_Area" localSheetId="2">Sligson!$A$1:$H$14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7" l="1"/>
  <c r="E2" i="7" s="1"/>
  <c r="D3" i="7"/>
  <c r="E3" i="7" s="1"/>
  <c r="D4" i="7"/>
  <c r="E4" i="7" s="1"/>
  <c r="D5" i="7"/>
  <c r="E5" i="7" s="1"/>
  <c r="D6" i="7"/>
  <c r="E6" i="7" s="1"/>
  <c r="D7" i="7"/>
  <c r="E7" i="7" s="1"/>
  <c r="D8" i="7"/>
  <c r="E8" i="7" s="1"/>
  <c r="D9" i="7"/>
  <c r="E9" i="7" s="1"/>
  <c r="D10" i="7"/>
  <c r="E10" i="7" s="1"/>
  <c r="D11" i="7"/>
  <c r="E11" i="7" s="1"/>
  <c r="D12" i="7"/>
  <c r="E12" i="7" s="1"/>
  <c r="D13" i="7"/>
  <c r="E13" i="7" s="1"/>
  <c r="E32" i="5"/>
  <c r="C32" i="5"/>
  <c r="E34" i="9"/>
  <c r="E32" i="9"/>
  <c r="G32" i="9"/>
  <c r="G33" i="9"/>
  <c r="G34" i="9"/>
  <c r="F32" i="9"/>
  <c r="F33" i="9"/>
  <c r="F34" i="9"/>
  <c r="L9" i="4"/>
  <c r="L8" i="4"/>
  <c r="L6" i="4"/>
  <c r="L7" i="4"/>
  <c r="L5" i="4"/>
  <c r="L4" i="4"/>
  <c r="L3" i="4"/>
  <c r="L2" i="4"/>
  <c r="K9" i="4"/>
  <c r="K8" i="4"/>
  <c r="K7" i="4"/>
  <c r="K6" i="4"/>
  <c r="K5" i="4"/>
  <c r="K4" i="4"/>
  <c r="K3" i="4"/>
  <c r="K2" i="4"/>
  <c r="J9" i="4"/>
  <c r="J8" i="4"/>
  <c r="J7" i="4"/>
  <c r="J6" i="4"/>
  <c r="J5" i="4"/>
  <c r="J4" i="4"/>
  <c r="J3" i="4"/>
  <c r="J2" i="4"/>
  <c r="I9" i="4"/>
  <c r="I8" i="4"/>
  <c r="I7" i="4"/>
  <c r="I6" i="4"/>
  <c r="I5" i="4"/>
  <c r="I4" i="4"/>
  <c r="I3" i="4"/>
  <c r="I2" i="4"/>
  <c r="H9" i="4"/>
  <c r="H8" i="4"/>
  <c r="H7" i="4"/>
  <c r="H6" i="4"/>
  <c r="H5" i="4"/>
  <c r="H4" i="4"/>
  <c r="H3" i="4"/>
  <c r="H2" i="4"/>
  <c r="J11" i="10"/>
  <c r="K11" i="10" s="1"/>
  <c r="M11" i="10"/>
  <c r="J12" i="10"/>
  <c r="K12" i="10" s="1"/>
  <c r="M12" i="10"/>
  <c r="K43" i="11"/>
  <c r="N43" i="11" s="1"/>
  <c r="J43" i="11"/>
  <c r="J34" i="7"/>
  <c r="K34" i="7" s="1"/>
  <c r="J33" i="7"/>
  <c r="K33" i="7" s="1"/>
  <c r="J32" i="7"/>
  <c r="K32" i="7" s="1"/>
  <c r="K23" i="9"/>
  <c r="N23" i="9" s="1"/>
  <c r="J23" i="9"/>
  <c r="K27" i="9"/>
  <c r="N27" i="9" s="1"/>
  <c r="J27" i="9"/>
  <c r="D32" i="5"/>
  <c r="AA32" i="5"/>
  <c r="W32" i="5"/>
  <c r="AB32" i="5" s="1"/>
  <c r="AC32" i="5" s="1"/>
  <c r="C31" i="7"/>
  <c r="C30" i="7"/>
  <c r="C29" i="7"/>
  <c r="D31" i="7"/>
  <c r="D30" i="7"/>
  <c r="D29" i="7"/>
  <c r="E33" i="9"/>
  <c r="J33" i="9" s="1"/>
  <c r="J34" i="9"/>
  <c r="K34" i="9"/>
  <c r="N34" i="9" s="1"/>
  <c r="K33" i="9"/>
  <c r="N33" i="9" s="1"/>
  <c r="K32" i="9"/>
  <c r="N32" i="9" s="1"/>
  <c r="J32" i="9"/>
  <c r="L43" i="11" l="1"/>
  <c r="L23" i="9"/>
  <c r="L27" i="9"/>
  <c r="E29" i="7"/>
  <c r="E31" i="7"/>
  <c r="E30" i="7"/>
  <c r="L32" i="9"/>
  <c r="L33" i="9"/>
  <c r="L34" i="9"/>
  <c r="E16" i="5" l="1"/>
  <c r="E15" i="5"/>
  <c r="E14" i="5"/>
  <c r="E13" i="5"/>
  <c r="E12" i="5"/>
  <c r="E11" i="5"/>
  <c r="E10" i="5"/>
  <c r="E9" i="5"/>
  <c r="E8" i="5"/>
  <c r="E7" i="5"/>
  <c r="E6" i="5"/>
  <c r="E4" i="5"/>
  <c r="E3" i="5"/>
  <c r="E2" i="5"/>
  <c r="C16" i="5"/>
  <c r="C15" i="5"/>
  <c r="C14" i="5"/>
  <c r="C13" i="5"/>
  <c r="C12" i="5"/>
  <c r="C11" i="5"/>
  <c r="C10" i="5"/>
  <c r="C9" i="5"/>
  <c r="C8" i="5"/>
  <c r="C7" i="5"/>
  <c r="C6" i="5"/>
  <c r="C4" i="5"/>
  <c r="C3" i="5"/>
  <c r="C2" i="5"/>
  <c r="I28" i="7"/>
  <c r="I27" i="7"/>
  <c r="I26" i="7"/>
  <c r="I25" i="7"/>
  <c r="I24" i="7"/>
  <c r="I23" i="7"/>
  <c r="I22" i="7"/>
  <c r="I21" i="7"/>
  <c r="I20" i="7"/>
  <c r="I16" i="7"/>
  <c r="I15" i="7"/>
  <c r="I14" i="7"/>
  <c r="I4" i="7"/>
  <c r="I3" i="7"/>
  <c r="I2" i="7"/>
  <c r="I31" i="7" l="1"/>
  <c r="I30" i="7"/>
  <c r="I29" i="7"/>
  <c r="I19" i="7"/>
  <c r="I18" i="7"/>
  <c r="I17" i="7"/>
  <c r="I13" i="7"/>
  <c r="I12" i="7"/>
  <c r="I11" i="7"/>
  <c r="I10" i="7"/>
  <c r="I9" i="7"/>
  <c r="I8" i="7"/>
  <c r="I7" i="7"/>
  <c r="I6" i="7"/>
  <c r="I5" i="7"/>
  <c r="D8" i="5"/>
  <c r="AA16" i="5"/>
  <c r="AA15" i="5"/>
  <c r="AA14" i="5"/>
  <c r="AA13" i="5"/>
  <c r="AA12" i="5"/>
  <c r="AA11" i="5"/>
  <c r="AA10" i="5"/>
  <c r="AA9" i="5"/>
  <c r="AA8" i="5"/>
  <c r="AA7" i="5"/>
  <c r="D9" i="5" l="1"/>
  <c r="J16" i="10" l="1"/>
  <c r="K16" i="10" s="1"/>
  <c r="M16" i="10" s="1"/>
  <c r="K19" i="11"/>
  <c r="N19" i="11" s="1"/>
  <c r="J19" i="11"/>
  <c r="K3" i="11"/>
  <c r="N3" i="11" s="1"/>
  <c r="J3" i="11"/>
  <c r="J2" i="11"/>
  <c r="J4" i="11"/>
  <c r="J5" i="11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4" i="11"/>
  <c r="J45" i="11"/>
  <c r="J46" i="11"/>
  <c r="J47" i="11"/>
  <c r="J48" i="11"/>
  <c r="K35" i="11"/>
  <c r="K34" i="11"/>
  <c r="N34" i="11" s="1"/>
  <c r="K6" i="11"/>
  <c r="N6" i="11" s="1"/>
  <c r="K5" i="11"/>
  <c r="N5" i="11" s="1"/>
  <c r="W27" i="5"/>
  <c r="AB27" i="5" s="1"/>
  <c r="AC27" i="5" s="1"/>
  <c r="D28" i="7"/>
  <c r="E28" i="7" s="1"/>
  <c r="D27" i="7"/>
  <c r="E27" i="7" s="1"/>
  <c r="D26" i="7"/>
  <c r="E26" i="7" s="1"/>
  <c r="W24" i="5"/>
  <c r="AB24" i="5" s="1"/>
  <c r="AC24" i="5" s="1"/>
  <c r="W23" i="5"/>
  <c r="AB23" i="5" s="1"/>
  <c r="AC23" i="5" s="1"/>
  <c r="W22" i="5"/>
  <c r="AB22" i="5" s="1"/>
  <c r="AC22" i="5" s="1"/>
  <c r="W21" i="5"/>
  <c r="AB21" i="5" s="1"/>
  <c r="AC21" i="5" s="1"/>
  <c r="W20" i="5"/>
  <c r="AB20" i="5" s="1"/>
  <c r="AC20" i="5" s="1"/>
  <c r="W19" i="5"/>
  <c r="AB19" i="5" s="1"/>
  <c r="AC19" i="5" s="1"/>
  <c r="W18" i="5"/>
  <c r="AB18" i="5" s="1"/>
  <c r="AC18" i="5" s="1"/>
  <c r="L19" i="11" l="1"/>
  <c r="L3" i="11"/>
  <c r="L35" i="11"/>
  <c r="L34" i="11"/>
  <c r="N35" i="11"/>
  <c r="L5" i="11"/>
  <c r="L6" i="11"/>
  <c r="K21" i="9"/>
  <c r="N21" i="9" s="1"/>
  <c r="J21" i="9"/>
  <c r="K20" i="9"/>
  <c r="N20" i="9" s="1"/>
  <c r="J20" i="9"/>
  <c r="K19" i="9"/>
  <c r="J19" i="9"/>
  <c r="K18" i="9"/>
  <c r="N18" i="9" s="1"/>
  <c r="J18" i="9"/>
  <c r="K17" i="9"/>
  <c r="L17" i="9" s="1"/>
  <c r="J17" i="9"/>
  <c r="K15" i="9"/>
  <c r="N15" i="9" s="1"/>
  <c r="J15" i="9"/>
  <c r="K14" i="9"/>
  <c r="N14" i="9" s="1"/>
  <c r="J14" i="9"/>
  <c r="K13" i="9"/>
  <c r="N13" i="9" s="1"/>
  <c r="J13" i="9"/>
  <c r="K12" i="9"/>
  <c r="N12" i="9" s="1"/>
  <c r="J12" i="9"/>
  <c r="K11" i="9"/>
  <c r="N11" i="9" s="1"/>
  <c r="J11" i="9"/>
  <c r="J2" i="9"/>
  <c r="K2" i="9"/>
  <c r="N2" i="9" s="1"/>
  <c r="J3" i="9"/>
  <c r="K3" i="9"/>
  <c r="N3" i="9" s="1"/>
  <c r="J4" i="9"/>
  <c r="K4" i="9"/>
  <c r="N4" i="9" s="1"/>
  <c r="J5" i="9"/>
  <c r="K5" i="9"/>
  <c r="N5" i="9" s="1"/>
  <c r="J6" i="9"/>
  <c r="K6" i="9"/>
  <c r="N6" i="9" s="1"/>
  <c r="J7" i="9"/>
  <c r="K7" i="9"/>
  <c r="N7" i="9" s="1"/>
  <c r="J10" i="9"/>
  <c r="K10" i="9"/>
  <c r="N10" i="9" s="1"/>
  <c r="W30" i="5"/>
  <c r="AB30" i="5" s="1"/>
  <c r="AC30" i="5" s="1"/>
  <c r="W31" i="5"/>
  <c r="AB31" i="5" s="1"/>
  <c r="AC31" i="5" s="1"/>
  <c r="L4" i="9" l="1"/>
  <c r="L19" i="9"/>
  <c r="L3" i="9"/>
  <c r="L13" i="9"/>
  <c r="L18" i="9"/>
  <c r="L6" i="9"/>
  <c r="L11" i="9"/>
  <c r="L15" i="9"/>
  <c r="L20" i="9"/>
  <c r="L12" i="9"/>
  <c r="L14" i="9"/>
  <c r="L21" i="9"/>
  <c r="N19" i="9"/>
  <c r="N17" i="9"/>
  <c r="L10" i="9"/>
  <c r="L7" i="9"/>
  <c r="L2" i="9"/>
  <c r="L5" i="9"/>
  <c r="D4" i="5" l="1"/>
  <c r="D15" i="7" l="1"/>
  <c r="E15" i="7" s="1"/>
  <c r="J27" i="10" l="1"/>
  <c r="K27" i="10" s="1"/>
  <c r="M27" i="10" s="1"/>
  <c r="K36" i="11" l="1"/>
  <c r="N36" i="11" s="1"/>
  <c r="L36" i="11" l="1"/>
  <c r="K47" i="11" l="1"/>
  <c r="J31" i="7"/>
  <c r="K31" i="7" s="1"/>
  <c r="J30" i="7"/>
  <c r="K30" i="7" s="1"/>
  <c r="J29" i="7"/>
  <c r="K29" i="7" s="1"/>
  <c r="W15" i="5"/>
  <c r="AB15" i="5" s="1"/>
  <c r="AC15" i="5" s="1"/>
  <c r="K48" i="11"/>
  <c r="N48" i="11" s="1"/>
  <c r="K46" i="11"/>
  <c r="N46" i="11" s="1"/>
  <c r="K45" i="11"/>
  <c r="N45" i="11" s="1"/>
  <c r="L47" i="11" l="1"/>
  <c r="N47" i="11"/>
  <c r="L45" i="11"/>
  <c r="L48" i="11"/>
  <c r="L46" i="11"/>
  <c r="K18" i="11"/>
  <c r="N18" i="11" s="1"/>
  <c r="K13" i="11"/>
  <c r="N13" i="11" s="1"/>
  <c r="L18" i="11" l="1"/>
  <c r="L13" i="11"/>
  <c r="K30" i="9"/>
  <c r="N30" i="9" s="1"/>
  <c r="J30" i="9"/>
  <c r="K29" i="9"/>
  <c r="N29" i="9" s="1"/>
  <c r="J29" i="9"/>
  <c r="K28" i="9"/>
  <c r="N28" i="9" s="1"/>
  <c r="J28" i="9"/>
  <c r="K26" i="9"/>
  <c r="J26" i="9"/>
  <c r="L26" i="9" l="1"/>
  <c r="L30" i="9"/>
  <c r="L29" i="9"/>
  <c r="N26" i="9"/>
  <c r="L28" i="9"/>
  <c r="W29" i="5"/>
  <c r="AB29" i="5" s="1"/>
  <c r="AC29" i="5" s="1"/>
  <c r="W28" i="5"/>
  <c r="AB28" i="5" s="1"/>
  <c r="AC28" i="5" s="1"/>
  <c r="W5" i="5"/>
  <c r="AB5" i="5" s="1"/>
  <c r="AC5" i="5" s="1"/>
  <c r="J28" i="7"/>
  <c r="K28" i="7" s="1"/>
  <c r="J27" i="7"/>
  <c r="K27" i="7" s="1"/>
  <c r="J26" i="7"/>
  <c r="K26" i="7" s="1"/>
  <c r="K44" i="11"/>
  <c r="N44" i="11" s="1"/>
  <c r="K42" i="11"/>
  <c r="N42" i="11" s="1"/>
  <c r="K41" i="11"/>
  <c r="N41" i="11" s="1"/>
  <c r="K33" i="11"/>
  <c r="N33" i="11" s="1"/>
  <c r="K32" i="11"/>
  <c r="N32" i="11" s="1"/>
  <c r="K20" i="11"/>
  <c r="N20" i="11" s="1"/>
  <c r="K17" i="11"/>
  <c r="N17" i="11" s="1"/>
  <c r="K40" i="11"/>
  <c r="N40" i="11" s="1"/>
  <c r="K39" i="11"/>
  <c r="N39" i="11" s="1"/>
  <c r="K38" i="11"/>
  <c r="N38" i="11" s="1"/>
  <c r="K37" i="11"/>
  <c r="N37" i="11" s="1"/>
  <c r="K31" i="11"/>
  <c r="N31" i="11" s="1"/>
  <c r="K30" i="11"/>
  <c r="N30" i="11" s="1"/>
  <c r="K29" i="11"/>
  <c r="N29" i="11" s="1"/>
  <c r="K28" i="11"/>
  <c r="K26" i="11"/>
  <c r="N26" i="11" s="1"/>
  <c r="K25" i="11"/>
  <c r="N25" i="11" s="1"/>
  <c r="K4" i="11"/>
  <c r="N4" i="11" s="1"/>
  <c r="L25" i="11" l="1"/>
  <c r="L4" i="11"/>
  <c r="L39" i="11"/>
  <c r="L44" i="11"/>
  <c r="L41" i="11"/>
  <c r="L42" i="11"/>
  <c r="L32" i="11"/>
  <c r="L33" i="11"/>
  <c r="L28" i="11"/>
  <c r="L17" i="11"/>
  <c r="L20" i="11"/>
  <c r="L31" i="11"/>
  <c r="L38" i="11"/>
  <c r="L40" i="11"/>
  <c r="N28" i="11"/>
  <c r="L29" i="11"/>
  <c r="L37" i="11"/>
  <c r="L30" i="11"/>
  <c r="L26" i="11"/>
  <c r="K27" i="11" l="1"/>
  <c r="N27" i="11" s="1"/>
  <c r="K24" i="11"/>
  <c r="K23" i="11"/>
  <c r="N23" i="11" s="1"/>
  <c r="K22" i="11"/>
  <c r="N22" i="11" s="1"/>
  <c r="K21" i="11"/>
  <c r="K16" i="11"/>
  <c r="N16" i="11" s="1"/>
  <c r="K15" i="11"/>
  <c r="N15" i="11" s="1"/>
  <c r="K14" i="11"/>
  <c r="N14" i="11" s="1"/>
  <c r="K12" i="11"/>
  <c r="N12" i="11" s="1"/>
  <c r="K11" i="11"/>
  <c r="N11" i="11" s="1"/>
  <c r="K10" i="11"/>
  <c r="N10" i="11" s="1"/>
  <c r="K9" i="11"/>
  <c r="N9" i="11" s="1"/>
  <c r="K8" i="11"/>
  <c r="N8" i="11" s="1"/>
  <c r="K7" i="11"/>
  <c r="K2" i="11"/>
  <c r="N2" i="11" s="1"/>
  <c r="L12" i="11" l="1"/>
  <c r="L24" i="11"/>
  <c r="L21" i="11"/>
  <c r="L2" i="11"/>
  <c r="L7" i="11"/>
  <c r="L10" i="11"/>
  <c r="L22" i="11"/>
  <c r="N24" i="11"/>
  <c r="L14" i="11"/>
  <c r="L16" i="11"/>
  <c r="N21" i="11"/>
  <c r="L9" i="11"/>
  <c r="L15" i="11"/>
  <c r="L23" i="11"/>
  <c r="L8" i="11"/>
  <c r="L11" i="11"/>
  <c r="L27" i="11"/>
  <c r="N7" i="11"/>
  <c r="K31" i="9"/>
  <c r="N31" i="9" s="1"/>
  <c r="J31" i="9"/>
  <c r="K25" i="9"/>
  <c r="N25" i="9" s="1"/>
  <c r="J25" i="9"/>
  <c r="D14" i="7"/>
  <c r="E14" i="7" s="1"/>
  <c r="D16" i="7"/>
  <c r="E16" i="7" s="1"/>
  <c r="D17" i="7"/>
  <c r="E17" i="7" s="1"/>
  <c r="D18" i="7"/>
  <c r="E18" i="7" s="1"/>
  <c r="D19" i="7"/>
  <c r="E19" i="7" s="1"/>
  <c r="D20" i="7"/>
  <c r="E20" i="7" s="1"/>
  <c r="D21" i="7"/>
  <c r="E21" i="7" s="1"/>
  <c r="D22" i="7"/>
  <c r="E22" i="7" s="1"/>
  <c r="D23" i="7"/>
  <c r="E23" i="7" s="1"/>
  <c r="D24" i="7"/>
  <c r="E24" i="7" s="1"/>
  <c r="D25" i="7"/>
  <c r="E25" i="7" s="1"/>
  <c r="W26" i="5"/>
  <c r="AB26" i="5" s="1"/>
  <c r="AC26" i="5" s="1"/>
  <c r="W25" i="5"/>
  <c r="AB25" i="5" s="1"/>
  <c r="AC25" i="5" s="1"/>
  <c r="W17" i="5"/>
  <c r="AB17" i="5" s="1"/>
  <c r="AC17" i="5" s="1"/>
  <c r="K24" i="9"/>
  <c r="N24" i="9" s="1"/>
  <c r="J24" i="9"/>
  <c r="K22" i="9"/>
  <c r="N22" i="9" s="1"/>
  <c r="J22" i="9"/>
  <c r="L25" i="9" l="1"/>
  <c r="L31" i="9"/>
  <c r="L24" i="9"/>
  <c r="L22" i="9"/>
  <c r="W14" i="5"/>
  <c r="AB14" i="5" s="1"/>
  <c r="AC14" i="5" s="1"/>
  <c r="W13" i="5"/>
  <c r="AB13" i="5" s="1"/>
  <c r="AC13" i="5" s="1"/>
  <c r="W12" i="5"/>
  <c r="AB12" i="5" s="1"/>
  <c r="AC12" i="5" s="1"/>
  <c r="W11" i="5"/>
  <c r="AB11" i="5" s="1"/>
  <c r="AC11" i="5" s="1"/>
  <c r="W10" i="5"/>
  <c r="AB10" i="5" s="1"/>
  <c r="AC10" i="5" s="1"/>
  <c r="W9" i="5"/>
  <c r="AB9" i="5" s="1"/>
  <c r="AC9" i="5" s="1"/>
  <c r="W8" i="5"/>
  <c r="AB8" i="5" s="1"/>
  <c r="AC8" i="5" s="1"/>
  <c r="W7" i="5"/>
  <c r="AB7" i="5" s="1"/>
  <c r="AC7" i="5" s="1"/>
  <c r="J25" i="7" l="1"/>
  <c r="K25" i="7" s="1"/>
  <c r="J24" i="7"/>
  <c r="K24" i="7" s="1"/>
  <c r="J23" i="7"/>
  <c r="K23" i="7" s="1"/>
  <c r="J22" i="7"/>
  <c r="K22" i="7" s="1"/>
  <c r="J21" i="7"/>
  <c r="K21" i="7" s="1"/>
  <c r="J20" i="7"/>
  <c r="K20" i="7" s="1"/>
  <c r="J19" i="7"/>
  <c r="K19" i="7" s="1"/>
  <c r="J18" i="7"/>
  <c r="K18" i="7" s="1"/>
  <c r="J17" i="7"/>
  <c r="K17" i="7" s="1"/>
  <c r="J16" i="7"/>
  <c r="K16" i="7" s="1"/>
  <c r="J15" i="7"/>
  <c r="K15" i="7" s="1"/>
  <c r="J14" i="7"/>
  <c r="K14" i="7" s="1"/>
  <c r="J13" i="7"/>
  <c r="K13" i="7" s="1"/>
  <c r="J12" i="7"/>
  <c r="K12" i="7" s="1"/>
  <c r="J11" i="7"/>
  <c r="K11" i="7" s="1"/>
  <c r="J10" i="7"/>
  <c r="K10" i="7" s="1"/>
  <c r="J9" i="7"/>
  <c r="K9" i="7" s="1"/>
  <c r="J8" i="7"/>
  <c r="K8" i="7" s="1"/>
  <c r="J7" i="7"/>
  <c r="K7" i="7" s="1"/>
  <c r="J6" i="7"/>
  <c r="K6" i="7" s="1"/>
  <c r="J5" i="7"/>
  <c r="K5" i="7" s="1"/>
  <c r="J20" i="10"/>
  <c r="K20" i="10" s="1"/>
  <c r="M20" i="10" s="1"/>
  <c r="J19" i="10"/>
  <c r="K19" i="10" s="1"/>
  <c r="M19" i="10" s="1"/>
  <c r="M22" i="10"/>
  <c r="J22" i="10"/>
  <c r="K22" i="10" s="1"/>
  <c r="I25" i="1" l="1"/>
  <c r="J24" i="1"/>
  <c r="I24" i="1"/>
  <c r="I26" i="1" s="1"/>
  <c r="I27" i="1" s="1"/>
  <c r="D2" i="5"/>
  <c r="E3" i="1"/>
  <c r="E7" i="1"/>
  <c r="D9" i="1"/>
  <c r="W16" i="5"/>
  <c r="W6" i="5"/>
  <c r="W3" i="5"/>
  <c r="W4" i="5" l="1"/>
  <c r="W2" i="5"/>
  <c r="J3" i="10" l="1"/>
  <c r="K3" i="10" s="1"/>
  <c r="M3" i="10" l="1"/>
  <c r="AB16" i="5" l="1"/>
  <c r="AC16" i="5" s="1"/>
  <c r="AB6" i="5"/>
  <c r="AC6" i="5" s="1"/>
  <c r="E2" i="1" l="1"/>
  <c r="J7" i="1" l="1"/>
  <c r="N12" i="1"/>
  <c r="I8" i="1" l="1"/>
  <c r="I7" i="1"/>
  <c r="I9" i="1" s="1"/>
  <c r="M17" i="1" s="1"/>
  <c r="I10" i="1" l="1"/>
  <c r="M18" i="1" s="1"/>
  <c r="M19" i="1"/>
  <c r="E4" i="1" l="1"/>
  <c r="J26" i="10"/>
  <c r="K26" i="10" s="1"/>
  <c r="M26" i="10" s="1"/>
  <c r="J21" i="10"/>
  <c r="K21" i="10" s="1"/>
  <c r="M21" i="10" s="1"/>
  <c r="J23" i="10"/>
  <c r="K23" i="10" s="1"/>
  <c r="M23" i="10" s="1"/>
  <c r="J24" i="10"/>
  <c r="K24" i="10" s="1"/>
  <c r="M24" i="10" s="1"/>
  <c r="J25" i="10"/>
  <c r="K25" i="10" s="1"/>
  <c r="M25" i="10" s="1"/>
  <c r="C2" i="4" l="1"/>
  <c r="D2" i="4"/>
  <c r="E2" i="4"/>
  <c r="F2" i="4"/>
  <c r="G2" i="4"/>
  <c r="C3" i="4"/>
  <c r="D3" i="4"/>
  <c r="E3" i="4"/>
  <c r="F3" i="4"/>
  <c r="G3" i="4"/>
  <c r="C4" i="4"/>
  <c r="D4" i="4"/>
  <c r="E4" i="4"/>
  <c r="F4" i="4"/>
  <c r="G4" i="4"/>
  <c r="C5" i="4"/>
  <c r="D5" i="4"/>
  <c r="E5" i="4"/>
  <c r="F5" i="4"/>
  <c r="G5" i="4"/>
  <c r="C6" i="4"/>
  <c r="D6" i="4"/>
  <c r="E6" i="4"/>
  <c r="F6" i="4"/>
  <c r="G6" i="4"/>
  <c r="J2" i="7" l="1"/>
  <c r="K2" i="7" s="1"/>
  <c r="J3" i="7"/>
  <c r="K3" i="7" s="1"/>
  <c r="J4" i="7" l="1"/>
  <c r="K4" i="7" s="1"/>
  <c r="M14" i="1" l="1"/>
  <c r="M12" i="1"/>
  <c r="M13" i="1"/>
  <c r="M14" i="10" l="1"/>
  <c r="M13" i="10"/>
  <c r="J17" i="10" l="1"/>
  <c r="K17" i="10" s="1"/>
  <c r="M17" i="10" s="1"/>
  <c r="J15" i="10" l="1"/>
  <c r="K15" i="10" s="1"/>
  <c r="M15" i="10" s="1"/>
  <c r="J5" i="10" l="1"/>
  <c r="K5" i="10" s="1"/>
  <c r="M5" i="10" s="1"/>
  <c r="J13" i="10"/>
  <c r="K13" i="10" s="1"/>
  <c r="J9" i="10" l="1"/>
  <c r="K9" i="10" s="1"/>
  <c r="M9" i="10" s="1"/>
  <c r="J10" i="10" l="1"/>
  <c r="K10" i="10" s="1"/>
  <c r="M10" i="10" s="1"/>
  <c r="T1" i="10" l="1"/>
  <c r="J8" i="10" l="1"/>
  <c r="K8" i="10" s="1"/>
  <c r="M8" i="10" s="1"/>
  <c r="D3" i="5" l="1"/>
  <c r="J2" i="10" l="1"/>
  <c r="K2" i="10" s="1"/>
  <c r="M2" i="10" s="1"/>
  <c r="J6" i="10" l="1"/>
  <c r="K6" i="10" s="1"/>
  <c r="M6" i="10" s="1"/>
  <c r="J18" i="10" l="1"/>
  <c r="K18" i="10" s="1"/>
  <c r="M18" i="10" s="1"/>
  <c r="J14" i="10" l="1"/>
  <c r="K14" i="10" s="1"/>
  <c r="AB4" i="5" l="1"/>
  <c r="AC4" i="5" s="1"/>
  <c r="E5" i="1" l="1"/>
  <c r="E6" i="1" l="1"/>
  <c r="AB3" i="5" l="1"/>
  <c r="AC3" i="5" s="1"/>
  <c r="J4" i="10" l="1"/>
  <c r="K4" i="10" s="1"/>
  <c r="M4" i="10" s="1"/>
  <c r="J7" i="10" l="1"/>
  <c r="K7" i="10" s="1"/>
  <c r="M7" i="10" s="1"/>
  <c r="AB2" i="5" l="1"/>
  <c r="AC2" i="5" s="1"/>
  <c r="G9" i="4" l="1"/>
  <c r="F9" i="4"/>
  <c r="E9" i="4"/>
  <c r="D9" i="4"/>
  <c r="C9" i="4"/>
  <c r="G8" i="4"/>
  <c r="F8" i="4"/>
  <c r="E8" i="4"/>
  <c r="D8" i="4"/>
  <c r="C8" i="4"/>
  <c r="G7" i="4"/>
  <c r="F7" i="4"/>
  <c r="E7" i="4"/>
  <c r="D7" i="4"/>
  <c r="C7" i="4"/>
  <c r="M2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D2" authorId="0" shapeId="0" xr:uid="{2B2FA340-7390-4F13-8226-82EA9BD74166}">
      <text>
        <r>
          <rPr>
            <sz val="12"/>
            <color indexed="81"/>
            <rFont val="Times New Roman"/>
            <family val="1"/>
          </rPr>
          <t xml:space="preserve">You can cast spells without relying on material components.
</t>
        </r>
        <r>
          <rPr>
            <b/>
            <sz val="12"/>
            <color indexed="81"/>
            <rFont val="Times New Roman"/>
            <family val="1"/>
          </rPr>
          <t xml:space="preserve">Benefit:  </t>
        </r>
        <r>
          <rPr>
            <sz val="12"/>
            <color indexed="81"/>
            <rFont val="Times New Roman"/>
            <family val="1"/>
          </rPr>
          <t>You can cast any spell that has a material component costing 1 gp or less without needing that component.  (The casting of the spell still provokes attacks of opportunity as normal.) If the spell requires a material component that costs more than 1 gp, you must have the material component at hand to cast the spell, just as normal.
PHB 94</t>
        </r>
      </text>
    </comment>
    <comment ref="D4" authorId="0" shapeId="0" xr:uid="{569CD974-498C-4FDC-85CC-FFDC4E2A838C}">
      <text>
        <r>
          <rPr>
            <sz val="12"/>
            <color indexed="81"/>
            <rFont val="Times New Roman"/>
            <family val="1"/>
          </rPr>
          <t>Wool or wax</t>
        </r>
      </text>
    </comment>
    <comment ref="D5" authorId="0" shapeId="0" xr:uid="{00000000-0006-0000-0200-000001000000}">
      <text>
        <r>
          <rPr>
            <sz val="12"/>
            <color indexed="81"/>
            <rFont val="Times New Roman"/>
            <family val="1"/>
          </rPr>
          <t>Phosphorescent moss</t>
        </r>
      </text>
    </comment>
    <comment ref="D8" authorId="0" shapeId="0" xr:uid="{862448E9-2BF8-4469-831D-F47A1A28838A}">
      <text>
        <r>
          <rPr>
            <sz val="12"/>
            <color indexed="81"/>
            <rFont val="Times New Roman"/>
            <family val="1"/>
          </rPr>
          <t>Copper wire</t>
        </r>
      </text>
    </comment>
    <comment ref="D10" authorId="0" shapeId="0" xr:uid="{00000000-0006-0000-0200-000003000000}">
      <text>
        <r>
          <rPr>
            <sz val="12"/>
            <color indexed="81"/>
            <rFont val="Times New Roman"/>
            <family val="1"/>
          </rPr>
          <t>Prism, lens, or monocle</t>
        </r>
      </text>
    </comment>
    <comment ref="D12" authorId="0" shapeId="0" xr:uid="{500D0EE9-8268-4798-B1C6-93E05738C3B1}">
      <text>
        <r>
          <rPr>
            <sz val="12"/>
            <color indexed="81"/>
            <rFont val="Times New Roman"/>
            <family val="1"/>
          </rPr>
          <t>Soot &amp; Salt</t>
        </r>
      </text>
    </comment>
    <comment ref="D13" authorId="0" shapeId="0" xr:uid="{73BD88CE-12F8-41E4-910C-DDC766B1968C}">
      <text>
        <r>
          <rPr>
            <sz val="12"/>
            <color indexed="81"/>
            <rFont val="Times New Roman"/>
            <family val="1"/>
          </rPr>
          <t>Cured leather</t>
        </r>
      </text>
    </comment>
    <comment ref="D16" authorId="0" shapeId="0" xr:uid="{C3CF6E30-F229-4D9B-8379-174278384E75}">
      <text>
        <r>
          <rPr>
            <sz val="12"/>
            <color indexed="81"/>
            <rFont val="Times New Roman"/>
            <family val="1"/>
          </rPr>
          <t>Pendulum</t>
        </r>
      </text>
    </comment>
    <comment ref="D19" authorId="0" shapeId="0" xr:uid="{1315C1D1-FAA0-48A8-9A9F-64A15B0756F7}">
      <text>
        <r>
          <rPr>
            <sz val="12"/>
            <color indexed="81"/>
            <rFont val="Times New Roman"/>
            <family val="1"/>
          </rPr>
          <t>spider web</t>
        </r>
      </text>
    </comment>
    <comment ref="D21" authorId="0" shapeId="0" xr:uid="{89A3068C-3CAD-4526-A489-9ED2E60FD66A}">
      <text>
        <r>
          <rPr>
            <sz val="12"/>
            <color indexed="81"/>
            <rFont val="Times New Roman"/>
            <family val="1"/>
          </rPr>
          <t>Bat guano &amp; sulfur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C32" authorId="0" shapeId="0" xr:uid="{F3B84F62-3E17-4FA7-A646-21FCB49351E6}">
      <text>
        <r>
          <rPr>
            <i/>
            <sz val="12"/>
            <color indexed="81"/>
            <rFont val="Times New Roman"/>
            <family val="1"/>
          </rPr>
          <t>enlarge person increases weapon base damage</t>
        </r>
      </text>
    </comment>
    <comment ref="E32" authorId="0" shapeId="0" xr:uid="{4CC8FBF6-0EA4-44C6-BBD7-5D5988CEE593}">
      <text>
        <r>
          <rPr>
            <i/>
            <sz val="12"/>
            <color indexed="81"/>
            <rFont val="Times New Roman"/>
            <family val="1"/>
          </rPr>
          <t>enlarge person -1</t>
        </r>
      </text>
    </comment>
    <comment ref="F32" authorId="0" shapeId="0" xr:uid="{3CAC30CD-EF51-4B44-8A61-57AE936402C5}">
      <text>
        <r>
          <rPr>
            <i/>
            <sz val="12"/>
            <color indexed="81"/>
            <rFont val="Times New Roman"/>
            <family val="1"/>
          </rPr>
          <t>enlarge person +2</t>
        </r>
      </text>
    </comment>
    <comment ref="G32" authorId="0" shapeId="0" xr:uid="{00ACADC4-9809-4A54-A471-26CC47634146}">
      <text>
        <r>
          <rPr>
            <i/>
            <sz val="12"/>
            <color indexed="81"/>
            <rFont val="Times New Roman"/>
            <family val="1"/>
          </rPr>
          <t>enlarge person -2</t>
        </r>
      </text>
    </comment>
    <comment ref="C33" authorId="0" shapeId="0" xr:uid="{D1D6126E-5D96-4824-A902-F6C4DC5E6772}">
      <text>
        <r>
          <rPr>
            <i/>
            <sz val="12"/>
            <color indexed="81"/>
            <rFont val="Times New Roman"/>
            <family val="1"/>
          </rPr>
          <t>enlarge person increases weapon base damage</t>
        </r>
      </text>
    </comment>
    <comment ref="F33" authorId="0" shapeId="0" xr:uid="{5A23E3F0-8B6C-46AA-BA73-28111AAE8008}">
      <text>
        <r>
          <rPr>
            <i/>
            <sz val="12"/>
            <color indexed="81"/>
            <rFont val="Times New Roman"/>
            <family val="1"/>
          </rPr>
          <t>enlarge person +2</t>
        </r>
      </text>
    </comment>
    <comment ref="G33" authorId="0" shapeId="0" xr:uid="{AA89C730-E45B-4F3E-8F94-A4CC23DB1368}">
      <text>
        <r>
          <rPr>
            <i/>
            <sz val="12"/>
            <color indexed="81"/>
            <rFont val="Times New Roman"/>
            <family val="1"/>
          </rPr>
          <t>enlarge person -2</t>
        </r>
      </text>
    </comment>
    <comment ref="F34" authorId="0" shapeId="0" xr:uid="{9BA19305-D03A-480D-9647-4BCB04D1A479}">
      <text>
        <r>
          <rPr>
            <i/>
            <sz val="12"/>
            <color indexed="81"/>
            <rFont val="Times New Roman"/>
            <family val="1"/>
          </rPr>
          <t>enlarge person +2</t>
        </r>
      </text>
    </comment>
    <comment ref="G34" authorId="0" shapeId="0" xr:uid="{D8BA78C1-6D45-4143-AF53-277C7810F22C}">
      <text>
        <r>
          <rPr>
            <i/>
            <sz val="12"/>
            <color indexed="81"/>
            <rFont val="Times New Roman"/>
            <family val="1"/>
          </rPr>
          <t>enlarge person -2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I13" authorId="0" shapeId="0" xr:uid="{077B9377-DD98-43AB-BEAE-C743B3091447}">
      <text>
        <r>
          <rPr>
            <sz val="12"/>
            <color indexed="81"/>
            <rFont val="Times New Roman"/>
            <family val="1"/>
          </rPr>
          <t>Halfling +4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I5" authorId="0" shapeId="0" xr:uid="{F2337AE0-B7AF-48BF-8792-C1779DE0D6A3}">
      <text>
        <r>
          <rPr>
            <i/>
            <sz val="12"/>
            <color indexed="81"/>
            <rFont val="Times New Roman"/>
            <family val="1"/>
          </rPr>
          <t>shaken -2</t>
        </r>
      </text>
    </comment>
    <comment ref="I6" authorId="0" shapeId="0" xr:uid="{FBDD241B-DC5D-4D1B-B7A9-40963A2321EC}">
      <text>
        <r>
          <rPr>
            <i/>
            <sz val="12"/>
            <color indexed="81"/>
            <rFont val="Times New Roman"/>
            <family val="1"/>
          </rPr>
          <t>shaken -2</t>
        </r>
      </text>
    </comment>
    <comment ref="I7" authorId="0" shapeId="0" xr:uid="{66308F70-B9CC-4798-9909-3B551EC436C9}">
      <text>
        <r>
          <rPr>
            <i/>
            <sz val="12"/>
            <color indexed="81"/>
            <rFont val="Times New Roman"/>
            <family val="1"/>
          </rPr>
          <t>shaken -2</t>
        </r>
      </text>
    </comment>
    <comment ref="I8" authorId="0" shapeId="0" xr:uid="{B13C98F4-DE4A-434E-A6FB-B58A3D01C36A}">
      <text>
        <r>
          <rPr>
            <i/>
            <sz val="12"/>
            <color indexed="81"/>
            <rFont val="Times New Roman"/>
            <family val="1"/>
          </rPr>
          <t>shaken -2</t>
        </r>
      </text>
    </comment>
    <comment ref="I9" authorId="0" shapeId="0" xr:uid="{80678C2E-731D-492D-A5DF-6D0B75C3805D}">
      <text>
        <r>
          <rPr>
            <i/>
            <sz val="12"/>
            <color indexed="81"/>
            <rFont val="Times New Roman"/>
            <family val="1"/>
          </rPr>
          <t>shaken -2</t>
        </r>
      </text>
    </comment>
    <comment ref="I10" authorId="0" shapeId="0" xr:uid="{24AF19B9-DF8B-44EC-982C-18A03746BE40}">
      <text>
        <r>
          <rPr>
            <i/>
            <sz val="12"/>
            <color indexed="81"/>
            <rFont val="Times New Roman"/>
            <family val="1"/>
          </rPr>
          <t>shaken -2</t>
        </r>
      </text>
    </comment>
    <comment ref="I11" authorId="0" shapeId="0" xr:uid="{D2C99718-43D7-4DEC-AFDB-9B75EE790F74}">
      <text>
        <r>
          <rPr>
            <i/>
            <sz val="12"/>
            <color indexed="81"/>
            <rFont val="Times New Roman"/>
            <family val="1"/>
          </rPr>
          <t>shaken -2</t>
        </r>
      </text>
    </comment>
    <comment ref="I12" authorId="0" shapeId="0" xr:uid="{EA98CC36-EB82-472D-BDDF-2F756767CC6D}">
      <text>
        <r>
          <rPr>
            <i/>
            <sz val="12"/>
            <color indexed="81"/>
            <rFont val="Times New Roman"/>
            <family val="1"/>
          </rPr>
          <t>shaken -2</t>
        </r>
      </text>
    </comment>
    <comment ref="I13" authorId="0" shapeId="0" xr:uid="{19A7EAC4-602C-40C2-B2DB-D1607E21B9BC}">
      <text>
        <r>
          <rPr>
            <i/>
            <sz val="12"/>
            <color indexed="81"/>
            <rFont val="Times New Roman"/>
            <family val="1"/>
          </rPr>
          <t>shaken -2</t>
        </r>
      </text>
    </comment>
    <comment ref="I17" authorId="0" shapeId="0" xr:uid="{AA93FF13-F170-441D-830B-CBB87FE9A810}">
      <text>
        <r>
          <rPr>
            <i/>
            <sz val="12"/>
            <color indexed="81"/>
            <rFont val="Times New Roman"/>
            <family val="1"/>
          </rPr>
          <t>shaken -2</t>
        </r>
      </text>
    </comment>
    <comment ref="I18" authorId="0" shapeId="0" xr:uid="{8BA0FED1-D653-4D70-AE21-93A3FDBCDD61}">
      <text>
        <r>
          <rPr>
            <i/>
            <sz val="12"/>
            <color indexed="81"/>
            <rFont val="Times New Roman"/>
            <family val="1"/>
          </rPr>
          <t>shaken -2</t>
        </r>
      </text>
    </comment>
    <comment ref="I19" authorId="0" shapeId="0" xr:uid="{929AEE23-2E06-42DA-92F1-03EA87F5AC4C}">
      <text>
        <r>
          <rPr>
            <i/>
            <sz val="12"/>
            <color indexed="81"/>
            <rFont val="Times New Roman"/>
            <family val="1"/>
          </rPr>
          <t>shaken -2</t>
        </r>
      </text>
    </comment>
    <comment ref="I29" authorId="0" shapeId="0" xr:uid="{D1A76380-4F87-4B71-A4C6-91203BC00644}">
      <text>
        <r>
          <rPr>
            <i/>
            <sz val="12"/>
            <color indexed="81"/>
            <rFont val="Times New Roman"/>
            <family val="1"/>
          </rPr>
          <t>shaken -2</t>
        </r>
      </text>
    </comment>
    <comment ref="I30" authorId="0" shapeId="0" xr:uid="{CEB28326-1264-4B6C-B525-F4C10AC4395B}">
      <text>
        <r>
          <rPr>
            <i/>
            <sz val="12"/>
            <color indexed="81"/>
            <rFont val="Times New Roman"/>
            <family val="1"/>
          </rPr>
          <t>shaken -2</t>
        </r>
      </text>
    </comment>
    <comment ref="I31" authorId="0" shapeId="0" xr:uid="{40F4BD42-F078-472B-8A84-C281106F4F99}">
      <text>
        <r>
          <rPr>
            <i/>
            <sz val="12"/>
            <color indexed="81"/>
            <rFont val="Times New Roman"/>
            <family val="1"/>
          </rPr>
          <t>shaken -2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C2" authorId="0" shapeId="0" xr:uid="{A39E8015-47EB-4D3A-8493-1FCEF944F559}">
      <text>
        <r>
          <rPr>
            <i/>
            <sz val="12"/>
            <color indexed="81"/>
            <rFont val="Times New Roman"/>
            <family val="1"/>
          </rPr>
          <t>shield of faith +3</t>
        </r>
      </text>
    </comment>
    <comment ref="E2" authorId="0" shapeId="0" xr:uid="{125F976C-74DA-49EE-A94D-2551BDD18823}">
      <text>
        <r>
          <rPr>
            <i/>
            <sz val="12"/>
            <color indexed="81"/>
            <rFont val="Times New Roman"/>
            <family val="1"/>
          </rPr>
          <t>shield of faith +3</t>
        </r>
      </text>
    </comment>
    <comment ref="C3" authorId="0" shapeId="0" xr:uid="{8F0F4653-9B04-40F8-A20E-E57B6C3DC63C}">
      <text>
        <r>
          <rPr>
            <i/>
            <sz val="12"/>
            <color indexed="81"/>
            <rFont val="Times New Roman"/>
            <family val="1"/>
          </rPr>
          <t>shield of faith +3</t>
        </r>
      </text>
    </comment>
    <comment ref="D3" authorId="0" shapeId="0" xr:uid="{E1721F59-04F6-4E6B-8680-F31E93AB810F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E3" authorId="0" shapeId="0" xr:uid="{AE225F03-B52B-44B9-9D34-8C65E6D15C2A}">
      <text>
        <r>
          <rPr>
            <i/>
            <sz val="12"/>
            <color indexed="81"/>
            <rFont val="Times New Roman"/>
            <family val="1"/>
          </rPr>
          <t>mage armor +4
shield of faith +3</t>
        </r>
      </text>
    </comment>
    <comment ref="C4" authorId="0" shapeId="0" xr:uid="{D738A04A-8A3C-47B7-A1B7-B0CBC999949E}">
      <text>
        <r>
          <rPr>
            <i/>
            <sz val="12"/>
            <color indexed="81"/>
            <rFont val="Times New Roman"/>
            <family val="1"/>
          </rPr>
          <t>shield of faith +3</t>
        </r>
      </text>
    </comment>
    <comment ref="E4" authorId="0" shapeId="0" xr:uid="{7DBCDE3B-CCA9-4DD1-97FE-EA88D2A72026}">
      <text>
        <r>
          <rPr>
            <i/>
            <sz val="12"/>
            <color indexed="81"/>
            <rFont val="Times New Roman"/>
            <family val="1"/>
          </rPr>
          <t>shield of faith +3</t>
        </r>
      </text>
    </comment>
    <comment ref="C6" authorId="0" shapeId="0" xr:uid="{13718E51-7A43-438C-B1DE-8A535DC0D8AA}">
      <text>
        <r>
          <rPr>
            <i/>
            <sz val="12"/>
            <color indexed="81"/>
            <rFont val="Times New Roman"/>
            <family val="1"/>
          </rPr>
          <t>shield of faith +3</t>
        </r>
      </text>
    </comment>
    <comment ref="E6" authorId="0" shapeId="0" xr:uid="{3A96B31D-CC5F-4020-99DC-C69B8F06ED7B}">
      <text>
        <r>
          <rPr>
            <i/>
            <sz val="12"/>
            <color indexed="81"/>
            <rFont val="Times New Roman"/>
            <family val="1"/>
          </rPr>
          <t>shield of faith +3</t>
        </r>
      </text>
    </comment>
    <comment ref="C7" authorId="0" shapeId="0" xr:uid="{5806E52F-8710-441B-9F5D-45EFD8D40A67}">
      <text>
        <r>
          <rPr>
            <i/>
            <sz val="12"/>
            <color indexed="81"/>
            <rFont val="Times New Roman"/>
            <family val="1"/>
          </rPr>
          <t>shield of faith +3</t>
        </r>
      </text>
    </comment>
    <comment ref="E7" authorId="0" shapeId="0" xr:uid="{97370477-D641-4985-870A-9F3AE46797AB}">
      <text>
        <r>
          <rPr>
            <i/>
            <sz val="12"/>
            <color indexed="81"/>
            <rFont val="Times New Roman"/>
            <family val="1"/>
          </rPr>
          <t>shield of faith +3</t>
        </r>
      </text>
    </comment>
    <comment ref="C8" authorId="0" shapeId="0" xr:uid="{A4B5D6CC-BE29-4764-A3D6-FFEF579CB16F}">
      <text>
        <r>
          <rPr>
            <i/>
            <sz val="12"/>
            <color indexed="81"/>
            <rFont val="Times New Roman"/>
            <family val="1"/>
          </rPr>
          <t>shield of faith +3</t>
        </r>
      </text>
    </comment>
    <comment ref="D8" authorId="0" shapeId="0" xr:uid="{DDE867AE-7DD8-4BF1-BE34-E5737468B2CD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E8" authorId="0" shapeId="0" xr:uid="{80E8962A-9D30-4716-AB69-E34CFF781D74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C9" authorId="0" shapeId="0" xr:uid="{8FAAFA5C-3B59-423B-A765-61E6A608E286}">
      <text>
        <r>
          <rPr>
            <i/>
            <sz val="12"/>
            <color indexed="81"/>
            <rFont val="Times New Roman"/>
            <family val="1"/>
          </rPr>
          <t>cat’s grace +2
shield of faith +3</t>
        </r>
      </text>
    </comment>
    <comment ref="E9" authorId="0" shapeId="0" xr:uid="{68F652CB-5CB8-4278-ABB9-F5AE2136ED57}">
      <text>
        <r>
          <rPr>
            <i/>
            <sz val="12"/>
            <color indexed="81"/>
            <rFont val="Times New Roman"/>
            <family val="1"/>
          </rPr>
          <t>cat’s grace +2</t>
        </r>
      </text>
    </comment>
    <comment ref="C10" authorId="0" shapeId="0" xr:uid="{84BAE031-D389-4DF1-827E-C8A826B627F2}">
      <text>
        <r>
          <rPr>
            <i/>
            <sz val="12"/>
            <color indexed="81"/>
            <rFont val="Times New Roman"/>
            <family val="1"/>
          </rPr>
          <t>cat’s grace +2
shield of faith +3</t>
        </r>
      </text>
    </comment>
    <comment ref="E10" authorId="0" shapeId="0" xr:uid="{43695C20-DE32-4348-B83A-1F403B807F33}">
      <text>
        <r>
          <rPr>
            <i/>
            <sz val="12"/>
            <color indexed="81"/>
            <rFont val="Times New Roman"/>
            <family val="1"/>
          </rPr>
          <t>cat’s grace +2</t>
        </r>
      </text>
    </comment>
    <comment ref="C11" authorId="0" shapeId="0" xr:uid="{CC0E8ADA-DB28-437A-8AE5-317B568F9D77}">
      <text>
        <r>
          <rPr>
            <i/>
            <sz val="12"/>
            <color indexed="81"/>
            <rFont val="Times New Roman"/>
            <family val="1"/>
          </rPr>
          <t>cat’s grace +2
shield of faith +3</t>
        </r>
      </text>
    </comment>
    <comment ref="E11" authorId="0" shapeId="0" xr:uid="{5D32A70C-8B71-4063-B6D0-033E226A4BEC}">
      <text>
        <r>
          <rPr>
            <i/>
            <sz val="12"/>
            <color indexed="81"/>
            <rFont val="Times New Roman"/>
            <family val="1"/>
          </rPr>
          <t>cat’s grace +2</t>
        </r>
      </text>
    </comment>
    <comment ref="C12" authorId="0" shapeId="0" xr:uid="{7A9160A7-21F8-4C08-A3FD-DE337E8A3DB0}">
      <text>
        <r>
          <rPr>
            <i/>
            <sz val="12"/>
            <color indexed="81"/>
            <rFont val="Times New Roman"/>
            <family val="1"/>
          </rPr>
          <t>shield of faith +3</t>
        </r>
      </text>
    </comment>
    <comment ref="E12" authorId="0" shapeId="0" xr:uid="{FAC76D6C-41D3-4105-88B3-D3E8F1FE5A46}">
      <text>
        <r>
          <rPr>
            <i/>
            <sz val="12"/>
            <color indexed="81"/>
            <rFont val="Times New Roman"/>
            <family val="1"/>
          </rPr>
          <t>shield of faith +3</t>
        </r>
      </text>
    </comment>
    <comment ref="C13" authorId="0" shapeId="0" xr:uid="{A660DBD3-B540-4BBE-B159-FEA883BCA9C5}">
      <text>
        <r>
          <rPr>
            <i/>
            <sz val="12"/>
            <color indexed="81"/>
            <rFont val="Times New Roman"/>
            <family val="1"/>
          </rPr>
          <t>cat’s grace +2
shield of faith +3</t>
        </r>
      </text>
    </comment>
    <comment ref="E13" authorId="0" shapeId="0" xr:uid="{64ED9497-1881-43B0-B118-A4CD2935B149}">
      <text>
        <r>
          <rPr>
            <i/>
            <sz val="12"/>
            <color indexed="81"/>
            <rFont val="Times New Roman"/>
            <family val="1"/>
          </rPr>
          <t>cat’s grace +2</t>
        </r>
      </text>
    </comment>
    <comment ref="C14" authorId="0" shapeId="0" xr:uid="{6E8EAD46-0475-4C7C-AF54-04FED0F0630F}">
      <text>
        <r>
          <rPr>
            <i/>
            <sz val="12"/>
            <color indexed="81"/>
            <rFont val="Times New Roman"/>
            <family val="1"/>
          </rPr>
          <t>shield of faith +3</t>
        </r>
      </text>
    </comment>
    <comment ref="E14" authorId="0" shapeId="0" xr:uid="{775458E9-4F11-4BF3-8DBE-C07B428CC477}">
      <text>
        <r>
          <rPr>
            <i/>
            <sz val="12"/>
            <color indexed="81"/>
            <rFont val="Times New Roman"/>
            <family val="1"/>
          </rPr>
          <t>shield of faith +3</t>
        </r>
      </text>
    </comment>
    <comment ref="C15" authorId="0" shapeId="0" xr:uid="{3BE3A7DC-47AB-4D9E-A14C-C250C5F02A93}">
      <text>
        <r>
          <rPr>
            <i/>
            <sz val="12"/>
            <color indexed="81"/>
            <rFont val="Times New Roman"/>
            <family val="1"/>
          </rPr>
          <t>cat’s grace +2
shield of faith +3</t>
        </r>
      </text>
    </comment>
    <comment ref="E15" authorId="0" shapeId="0" xr:uid="{217BA28A-C59A-46D1-B474-DC08F05FD8DD}">
      <text>
        <r>
          <rPr>
            <i/>
            <sz val="12"/>
            <color indexed="81"/>
            <rFont val="Times New Roman"/>
            <family val="1"/>
          </rPr>
          <t>cat’s grace +2</t>
        </r>
      </text>
    </comment>
    <comment ref="C16" authorId="0" shapeId="0" xr:uid="{15A0AAC9-995C-42B3-9F92-184A9F471E8B}">
      <text>
        <r>
          <rPr>
            <i/>
            <sz val="12"/>
            <color indexed="81"/>
            <rFont val="Times New Roman"/>
            <family val="1"/>
          </rPr>
          <t>shield of faith +3</t>
        </r>
      </text>
    </comment>
    <comment ref="E16" authorId="0" shapeId="0" xr:uid="{7AFECD31-574E-4A9B-8387-27BC88D4589A}">
      <text>
        <r>
          <rPr>
            <i/>
            <sz val="12"/>
            <color indexed="81"/>
            <rFont val="Times New Roman"/>
            <family val="1"/>
          </rPr>
          <t>shield of faith +3</t>
        </r>
      </text>
    </comment>
    <comment ref="V17" authorId="0" shapeId="0" xr:uid="{117CE910-2F5B-419F-BEBA-02FE518FDDF5}">
      <text>
        <r>
          <rPr>
            <i/>
            <sz val="12"/>
            <color indexed="81"/>
            <rFont val="Times New Roman"/>
            <family val="1"/>
          </rPr>
          <t>falling damage</t>
        </r>
      </text>
    </comment>
    <comment ref="C32" authorId="0" shapeId="0" xr:uid="{AC10F8C0-448F-4C04-B23B-8064417BAD1E}">
      <text>
        <r>
          <rPr>
            <i/>
            <sz val="12"/>
            <color indexed="81"/>
            <rFont val="Times New Roman"/>
            <family val="1"/>
          </rPr>
          <t>enlarge person -1</t>
        </r>
      </text>
    </comment>
    <comment ref="D32" authorId="0" shapeId="0" xr:uid="{A0D8DCCF-141C-419F-884D-92E8482862A0}">
      <text>
        <r>
          <rPr>
            <i/>
            <sz val="12"/>
            <color indexed="81"/>
            <rFont val="Times New Roman"/>
            <family val="1"/>
          </rPr>
          <t>Dragonskin +3</t>
        </r>
      </text>
    </comment>
    <comment ref="E32" authorId="0" shapeId="0" xr:uid="{0F01C8C4-0FC1-4F0A-8E79-0FBCC1949E97}">
      <text>
        <r>
          <rPr>
            <i/>
            <sz val="12"/>
            <color indexed="81"/>
            <rFont val="Times New Roman"/>
            <family val="1"/>
          </rPr>
          <t>dragonskin +3
enlarge person -1</t>
        </r>
      </text>
    </comment>
  </commentList>
</comments>
</file>

<file path=xl/sharedStrings.xml><?xml version="1.0" encoding="utf-8"?>
<sst xmlns="http://schemas.openxmlformats.org/spreadsheetml/2006/main" count="1090" uniqueCount="337">
  <si>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</si>
  <si>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</si>
  <si>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</si>
  <si>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</si>
  <si>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</si>
  <si>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</si>
  <si>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</si>
  <si>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</si>
  <si>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</si>
  <si>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</si>
  <si>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</si>
  <si>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</si>
  <si>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</si>
  <si>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</si>
  <si>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</si>
  <si>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</si>
  <si>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</si>
  <si>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</si>
  <si>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</si>
  <si>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</si>
  <si>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</si>
  <si>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</si>
  <si>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</si>
  <si>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</si>
  <si>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</si>
  <si>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</si>
  <si>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</si>
  <si>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</si>
  <si>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</si>
  <si>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</si>
  <si>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</si>
  <si>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</si>
  <si>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</si>
  <si>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</si>
  <si>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</si>
  <si>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</si>
  <si>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</si>
  <si>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</si>
  <si>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</si>
  <si>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</si>
  <si>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</si>
  <si>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</si>
  <si>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</si>
  <si>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</si>
  <si>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</si>
  <si>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</si>
  <si>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</si>
  <si>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</si>
  <si>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</si>
  <si>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</si>
  <si>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</si>
  <si>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</si>
  <si>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</si>
  <si>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</si>
  <si>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</si>
  <si>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</si>
  <si>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</si>
  <si>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</si>
  <si>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</si>
  <si>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</si>
  <si>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</si>
  <si>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</si>
  <si>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</si>
  <si>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</si>
  <si>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</si>
  <si>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</si>
  <si>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</si>
  <si>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</si>
  <si>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</si>
  <si>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</si>
  <si>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</si>
  <si>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</si>
  <si>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</si>
  <si>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</si>
  <si>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</si>
  <si>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</si>
  <si>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</si>
  <si>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</si>
  <si>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</si>
  <si>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</si>
  <si>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</si>
  <si>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</si>
  <si>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</si>
  <si>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</si>
  <si>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þ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</si>
  <si>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</si>
  <si>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</si>
  <si>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</si>
  <si>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</si>
  <si>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</si>
  <si>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</si>
  <si>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</si>
  <si>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</si>
  <si>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</si>
  <si>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</si>
  <si>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Avg. ECL/CR</t>
  </si>
  <si>
    <t>20’</t>
  </si>
  <si>
    <t>Imm</t>
  </si>
  <si>
    <t>Elsabet</t>
  </si>
  <si>
    <t>Saradette</t>
  </si>
  <si>
    <t>Check</t>
  </si>
  <si>
    <t>Party</t>
  </si>
  <si>
    <t>Delayed Damage</t>
  </si>
  <si>
    <t>Time @ Round 1</t>
  </si>
  <si>
    <t>Current Time</t>
  </si>
  <si>
    <t>40’</t>
  </si>
  <si>
    <t>Result</t>
  </si>
  <si>
    <t>Favored Soul / Crusader / Warlock</t>
  </si>
  <si>
    <t>Mage Armor</t>
  </si>
  <si>
    <t>Protection Devotion</t>
  </si>
  <si>
    <t>Rogue / Illusionist / Artificer</t>
  </si>
  <si>
    <t>Hold Person</t>
  </si>
  <si>
    <t>Tore</t>
  </si>
  <si>
    <t>Levels</t>
  </si>
  <si>
    <t>Cleric of Lurue</t>
  </si>
  <si>
    <t>Astrid</t>
  </si>
  <si>
    <t>30’ - 50’</t>
  </si>
  <si>
    <t>Luminous Armor</t>
  </si>
  <si>
    <t>Summon Monster II</t>
  </si>
  <si>
    <t>Guiding Light</t>
  </si>
  <si>
    <r>
      <rPr>
        <b/>
        <i/>
        <sz val="12"/>
        <color theme="1"/>
        <rFont val="Times New Roman"/>
        <family val="1"/>
      </rPr>
      <t xml:space="preserve">Fist of Light </t>
    </r>
    <r>
      <rPr>
        <b/>
        <sz val="12"/>
        <color theme="1"/>
        <rFont val="Times New Roman"/>
        <family val="1"/>
      </rPr>
      <t>Composition</t>
    </r>
  </si>
  <si>
    <t>Sanctuary</t>
  </si>
  <si>
    <t>Speed</t>
  </si>
  <si>
    <t>The Elmore Gang</t>
  </si>
  <si>
    <t>Human Cleric of Garagos</t>
  </si>
  <si>
    <t>Silverbrow Human Sorcerer</t>
  </si>
  <si>
    <t>Halfling Rogue</t>
  </si>
  <si>
    <t>Human Fighter</t>
  </si>
  <si>
    <t>Dwarven Fighter</t>
  </si>
  <si>
    <t>Human Ranger</t>
  </si>
  <si>
    <t>Human Bard</t>
  </si>
  <si>
    <t>Human Scout</t>
  </si>
  <si>
    <t>Human Paladin of Freedom</t>
  </si>
  <si>
    <t>Human Swashbuckler</t>
  </si>
  <si>
    <t>Sligson</t>
  </si>
  <si>
    <t>Bedrin Rufflesnag</t>
  </si>
  <si>
    <t>Barthas the Brave</t>
  </si>
  <si>
    <t>Surly Sally</t>
  </si>
  <si>
    <t>Fror, son of Groth</t>
  </si>
  <si>
    <t>Brother Pro</t>
  </si>
  <si>
    <t>Trevor the Flatterer</t>
  </si>
  <si>
    <t>Rowena of Saradush</t>
  </si>
  <si>
    <t>Serendip du Champs</t>
  </si>
  <si>
    <t>Fazmina Feyrüz</t>
  </si>
  <si>
    <t>Daudhir</t>
  </si>
  <si>
    <t>Bluespawn Stormlizard</t>
  </si>
  <si>
    <t>Bluespawn Ambusher</t>
  </si>
  <si>
    <t>Bluespawn Burrower</t>
  </si>
  <si>
    <t>Dragoncrafted Mangonel</t>
  </si>
  <si>
    <t>Tail Slap</t>
  </si>
  <si>
    <t>1d8+10+shock</t>
  </si>
  <si>
    <t>Claw 1</t>
  </si>
  <si>
    <t>2d8+3</t>
  </si>
  <si>
    <t>Claw 2</t>
  </si>
  <si>
    <t>Grapple</t>
  </si>
  <si>
    <t>Gore</t>
  </si>
  <si>
    <t>2d6+12</t>
  </si>
  <si>
    <t>1d8+4</t>
  </si>
  <si>
    <t>1d6+2</t>
  </si>
  <si>
    <t>Kobold Commando</t>
  </si>
  <si>
    <t>Kobold Warrior</t>
  </si>
  <si>
    <t>40’/20’/150’</t>
  </si>
  <si>
    <t>Bite</t>
  </si>
  <si>
    <t>Wing 1</t>
  </si>
  <si>
    <t>Wing 2</t>
  </si>
  <si>
    <t>2d6+4</t>
  </si>
  <si>
    <t>1d8+2</t>
  </si>
  <si>
    <t>1d8+6</t>
  </si>
  <si>
    <t>Breath Weapon</t>
  </si>
  <si>
    <t>–2 to BAB, saves, and checks</t>
  </si>
  <si>
    <t>Frightful Presence</t>
  </si>
  <si>
    <t>H Bluespawn Burrower 1</t>
  </si>
  <si>
    <t>H Bluespawn Burrower 2</t>
  </si>
  <si>
    <t>Bluespawn Stormlizard 1</t>
  </si>
  <si>
    <t>/magic</t>
  </si>
  <si>
    <t>Bluespawn Stormlizard 2</t>
  </si>
  <si>
    <t>Bluespawn Ambusher 1</t>
  </si>
  <si>
    <t>Bluespawn Ambusher 2</t>
  </si>
  <si>
    <t>Bluespawn Ambusher 3</t>
  </si>
  <si>
    <t>Kobold General</t>
  </si>
  <si>
    <t>Kobold Commodore</t>
  </si>
  <si>
    <t>Kobold Captain</t>
  </si>
  <si>
    <t>Kobold Underling</t>
  </si>
  <si>
    <t>Hover, Improved Initiative, Power Attack</t>
  </si>
  <si>
    <t>Shape Breath; 40’ cone, 80’ line, or 20’ spread; Ref DC 20 for ½</t>
  </si>
  <si>
    <t>Elmore Gang</t>
  </si>
  <si>
    <t>Kobolds, assorted ~40</t>
  </si>
  <si>
    <t>Kobold Commodores, 2</t>
  </si>
  <si>
    <t>Kobold Captains, 4</t>
  </si>
  <si>
    <t>Bluespawn Stormlizards, 12</t>
  </si>
  <si>
    <t>Bluespawn Ambushers, 10</t>
  </si>
  <si>
    <t>H Bluespawn Burrowers, 3</t>
  </si>
  <si>
    <t>MM IV</t>
  </si>
  <si>
    <t>Marshal / Legendary Leader</t>
  </si>
  <si>
    <t>Warriors / Unclassed</t>
  </si>
  <si>
    <t>Marshals</t>
  </si>
  <si>
    <t>Paladins of Tyranny</t>
  </si>
  <si>
    <t>Draconomicon</t>
  </si>
  <si>
    <t>Kobold Elite</t>
  </si>
  <si>
    <t>Spear</t>
  </si>
  <si>
    <t>Sling</t>
  </si>
  <si>
    <t>Kobold Commodore 1</t>
  </si>
  <si>
    <t>Kobold Commodore 2</t>
  </si>
  <si>
    <t>Longsword +1</t>
  </si>
  <si>
    <t>Heavy Crossbow +1</t>
  </si>
  <si>
    <t>MW Dagger</t>
  </si>
  <si>
    <t>MW Sling</t>
  </si>
  <si>
    <t>Dagger +1</t>
  </si>
  <si>
    <t>Longsword, 2nd Attack</t>
  </si>
  <si>
    <t>Flask of Acid</t>
  </si>
  <si>
    <t>1d6 acid</t>
  </si>
  <si>
    <t>MW Longsword</t>
  </si>
  <si>
    <t>MW Longbow</t>
  </si>
  <si>
    <t>MW Rapier</t>
  </si>
  <si>
    <t>Dragonbane Longsword</t>
  </si>
  <si>
    <t>XdX vs. dragons</t>
  </si>
  <si>
    <t>Longbow, 2nd Shot</t>
  </si>
  <si>
    <t>Longbow, Rapid Shot</t>
  </si>
  <si>
    <t>Thrown Object</t>
  </si>
  <si>
    <t>varies</t>
  </si>
  <si>
    <t>Dagger, 2nd Attack</t>
  </si>
  <si>
    <t>Shortbow +1</t>
  </si>
  <si>
    <t>Shortbow, 2nd Shot</t>
  </si>
  <si>
    <t>MW Short Sword</t>
  </si>
  <si>
    <t>MW Composite Longbow Str +2</t>
  </si>
  <si>
    <t>Scimitar +1</t>
  </si>
  <si>
    <t>Bastard Sword +1</t>
  </si>
  <si>
    <t>Bastard Sword, 2nd Attack</t>
  </si>
  <si>
    <t>MW Light Crossbow</t>
  </si>
  <si>
    <t>Fireball, Aganazzar’s Scorcher, Orb of Fire</t>
  </si>
  <si>
    <t>Owl’s Wisdom</t>
  </si>
  <si>
    <t>PHB</t>
  </si>
  <si>
    <t>Instant</t>
  </si>
  <si>
    <t>400’ + 40’/lvl</t>
  </si>
  <si>
    <t>1 SA</t>
  </si>
  <si>
    <t>V S M</t>
  </si>
  <si>
    <t>Evocation</t>
  </si>
  <si>
    <t>Fireball</t>
  </si>
  <si>
    <t>100’ + 10’/lvl</t>
  </si>
  <si>
    <t>V S</t>
  </si>
  <si>
    <t>Abjuration</t>
  </si>
  <si>
    <t>Dispel Magic</t>
  </si>
  <si>
    <t>Conjuration</t>
  </si>
  <si>
    <t>Web</t>
  </si>
  <si>
    <t>25’ + 2½’/lvl</t>
  </si>
  <si>
    <t>V S M/DF</t>
  </si>
  <si>
    <t>Touch</t>
  </si>
  <si>
    <t>V S F/DF</t>
  </si>
  <si>
    <t>Illusion</t>
  </si>
  <si>
    <t>Invisibility</t>
  </si>
  <si>
    <t>Personal</t>
  </si>
  <si>
    <t>Shield</t>
  </si>
  <si>
    <t>Magic Missile</t>
  </si>
  <si>
    <t>V S F</t>
  </si>
  <si>
    <t>Divination</t>
  </si>
  <si>
    <t>Comprehend Languages</t>
  </si>
  <si>
    <t>15’</t>
  </si>
  <si>
    <t>Burning Hands</t>
  </si>
  <si>
    <t>Universal</t>
  </si>
  <si>
    <t>Read Magic</t>
  </si>
  <si>
    <t>Transmutation</t>
  </si>
  <si>
    <t>Message</t>
  </si>
  <si>
    <t>10’</t>
  </si>
  <si>
    <t>Mending</t>
  </si>
  <si>
    <t>V M/DF</t>
  </si>
  <si>
    <t>Light</t>
  </si>
  <si>
    <t>Concentration</t>
  </si>
  <si>
    <t>Mage Hand</t>
  </si>
  <si>
    <t>Ghost Sound</t>
  </si>
  <si>
    <t>60’</t>
  </si>
  <si>
    <t>Detect Magic</t>
  </si>
  <si>
    <t>Page</t>
  </si>
  <si>
    <t>Reference</t>
  </si>
  <si>
    <t>Duration</t>
  </si>
  <si>
    <t>Range</t>
  </si>
  <si>
    <t>Casting</t>
  </si>
  <si>
    <t>Components</t>
  </si>
  <si>
    <t>School</t>
  </si>
  <si>
    <t>Level</t>
  </si>
  <si>
    <t>Ray of Frost</t>
  </si>
  <si>
    <t>Scorching Ray</t>
  </si>
  <si>
    <t>Resonating Bolt</t>
  </si>
  <si>
    <t>Complete Arcane</t>
  </si>
  <si>
    <t>Sinsabur’s Baleful Bolt</t>
  </si>
  <si>
    <t>Necromancy</t>
  </si>
  <si>
    <t>Unapproachable East</t>
  </si>
  <si>
    <t>Ice Storm</t>
  </si>
  <si>
    <t>1 full round</t>
  </si>
  <si>
    <t>*</t>
  </si>
  <si>
    <t>Shield of Faith</t>
  </si>
  <si>
    <t>120’ radius, HD 15; Will DC 19 negates</t>
  </si>
  <si>
    <t>R30</t>
  </si>
  <si>
    <t>1d3+1</t>
  </si>
  <si>
    <t>1d4+1</t>
  </si>
  <si>
    <t>1d3</t>
  </si>
  <si>
    <t>1d8+1+1</t>
  </si>
  <si>
    <t>1d4-1</t>
  </si>
  <si>
    <t>1d10+1</t>
  </si>
  <si>
    <t>1d8+1+2+2d6 to dragons</t>
  </si>
  <si>
    <t>1d6+1</t>
  </si>
  <si>
    <t>1d8</t>
  </si>
  <si>
    <t>1d6</t>
  </si>
  <si>
    <t>1d12+1+3</t>
  </si>
  <si>
    <t>1d10+1+4</t>
  </si>
  <si>
    <t>Greataxe +1</t>
  </si>
  <si>
    <t>Greataxe, 2nd Attack</t>
  </si>
  <si>
    <t>7d6 electric</t>
  </si>
  <si>
    <t>Aganazzar’s Scorcher</t>
  </si>
  <si>
    <t>FRCS</t>
  </si>
  <si>
    <t>Bull’s Strength</t>
  </si>
  <si>
    <t>Divine Favor</t>
  </si>
  <si>
    <t>Duskblade (6) / Favored of Tiamat (4)</t>
  </si>
  <si>
    <r>
      <t>Ranger / Shooting Star</t>
    </r>
    <r>
      <rPr>
        <vertAlign val="subscript"/>
        <sz val="10"/>
        <color theme="1"/>
        <rFont val="Times New Roman"/>
        <family val="1"/>
      </rPr>
      <t>3,4</t>
    </r>
    <r>
      <rPr>
        <sz val="10"/>
        <color theme="1"/>
        <rFont val="Times New Roman"/>
        <family val="1"/>
      </rPr>
      <t xml:space="preserve"> / Fighter / Deepwood Sniper</t>
    </r>
  </si>
  <si>
    <t>Bastard Sword +2</t>
  </si>
  <si>
    <t>Injustine</t>
  </si>
  <si>
    <t>Dragons</t>
  </si>
  <si>
    <t>Shortbow</t>
  </si>
  <si>
    <t>Javelin</t>
  </si>
  <si>
    <t>1d4</t>
  </si>
  <si>
    <t>MW Heavy Crossbow</t>
  </si>
  <si>
    <t>1d2</t>
  </si>
  <si>
    <t>1d6-1, x3</t>
  </si>
  <si>
    <t>Celestial eagle</t>
  </si>
  <si>
    <t>Talon 1</t>
  </si>
  <si>
    <t>Talon 2</t>
  </si>
  <si>
    <t>Guidance</t>
  </si>
  <si>
    <t>Improved Bull Rush, Improved Overrun, Power Attack, deadly charge 4d6+12, magic strike; electricity link</t>
  </si>
  <si>
    <t>Electricity Arc</t>
  </si>
  <si>
    <t>6d6 electric</t>
  </si>
  <si>
    <t>100’ line; Ref DC 19 for ½</t>
  </si>
  <si>
    <t>7d</t>
  </si>
  <si>
    <t>8d</t>
  </si>
  <si>
    <t>9d</t>
  </si>
  <si>
    <t>10d</t>
  </si>
  <si>
    <t>R5</t>
  </si>
  <si>
    <r>
      <rPr>
        <b/>
        <sz val="12"/>
        <color rgb="FF00B0F0"/>
        <rFont val="Times New Roman"/>
        <family val="1"/>
      </rPr>
      <t>2d8</t>
    </r>
    <r>
      <rPr>
        <sz val="12"/>
        <color theme="1"/>
        <rFont val="Times New Roman"/>
        <family val="2"/>
      </rPr>
      <t>+2+</t>
    </r>
    <r>
      <rPr>
        <sz val="12"/>
        <color rgb="FF00B0F0"/>
        <rFont val="Times New Roman"/>
        <family val="1"/>
      </rPr>
      <t>5</t>
    </r>
  </si>
  <si>
    <t>Sorcerer Spells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</si>
</sst>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1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/>
      <name val="Times New Roman"/>
      <family val="1"/>
    </font>
    <font>
      <sz val="12"/>
      <color rgb="FFFF00FF"/>
      <name val="Times New Roman"/>
      <family val="2"/>
    </font>
    <font>
      <i/>
      <sz val="12"/>
      <color indexed="81"/>
      <name val="Times New Roman"/>
      <family val="1"/>
    </font>
    <font>
      <b/>
      <sz val="12"/>
      <color theme="0" tint="-0.14999847407452621"/>
      <name val="Times New Roman"/>
      <family val="1"/>
    </font>
    <font>
      <b/>
      <i/>
      <sz val="12"/>
      <color theme="1"/>
      <name val="Times New Roman"/>
      <family val="1"/>
    </font>
    <font>
      <sz val="12"/>
      <color indexed="81"/>
      <name val="Times New Roman"/>
      <family val="1"/>
    </font>
    <font>
      <sz val="12"/>
      <name val="Times New Roman"/>
      <family val="1"/>
    </font>
    <font>
      <sz val="12"/>
      <name val="Wingdings"/>
      <charset val="2"/>
    </font>
    <font>
      <sz val="13"/>
      <name val="Times New Roman"/>
      <family val="1"/>
    </font>
    <font>
      <sz val="13"/>
      <color rgb="FFCC66FF"/>
      <name val="Times New Roman"/>
      <family val="1"/>
    </font>
    <font>
      <b/>
      <sz val="13"/>
      <color indexed="9"/>
      <name val="Times New Roman"/>
      <family val="1"/>
    </font>
    <font>
      <b/>
      <sz val="18"/>
      <name val="Times New Roman"/>
      <family val="1"/>
    </font>
    <font>
      <i/>
      <sz val="18"/>
      <color rgb="FFCC66FF"/>
      <name val="Times New Roman"/>
      <family val="1"/>
    </font>
    <font>
      <b/>
      <sz val="12"/>
      <color indexed="81"/>
      <name val="Times New Roman"/>
      <family val="1"/>
    </font>
    <font>
      <sz val="10"/>
      <color theme="1"/>
      <name val="Times New Roman"/>
      <family val="1"/>
    </font>
    <font>
      <vertAlign val="subscript"/>
      <sz val="10"/>
      <color theme="1"/>
      <name val="Times New Roman"/>
      <family val="1"/>
    </font>
    <font>
      <sz val="12"/>
      <color rgb="FFFF0000"/>
      <name val="Times New Roman"/>
      <family val="2"/>
    </font>
    <font>
      <sz val="12"/>
      <color rgb="FF00B0F0"/>
      <name val="Times New Roman"/>
      <family val="1"/>
    </font>
    <font>
      <b/>
      <sz val="12"/>
      <color rgb="FF00B0F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66FF"/>
        <bgColor indexed="64"/>
      </patternFill>
    </fill>
  </fills>
  <borders count="71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</borders>
  <cellStyleXfs count="1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28" fillId="0" borderId="0"/>
  </cellStyleXfs>
  <cellXfs count="290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3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5" fillId="24" borderId="50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" fillId="3" borderId="37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38" xfId="0" quotePrefix="1" applyFill="1" applyBorder="1" applyAlignment="1">
      <alignment vertical="center"/>
    </xf>
    <xf numFmtId="164" fontId="0" fillId="3" borderId="0" xfId="0" applyNumberForma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right" vertical="center"/>
    </xf>
    <xf numFmtId="164" fontId="0" fillId="3" borderId="40" xfId="0" applyNumberForma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0" fillId="25" borderId="32" xfId="0" applyFill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6" borderId="32" xfId="0" applyFont="1" applyFill="1" applyBorder="1" applyAlignment="1">
      <alignment horizontal="center" vertical="center"/>
    </xf>
    <xf numFmtId="0" fontId="0" fillId="25" borderId="30" xfId="0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6" borderId="30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5" borderId="34" xfId="0" applyFont="1" applyFill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right"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right" vertical="center"/>
    </xf>
    <xf numFmtId="164" fontId="7" fillId="5" borderId="40" xfId="0" applyNumberFormat="1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center" vertical="center"/>
    </xf>
    <xf numFmtId="0" fontId="0" fillId="13" borderId="18" xfId="0" quotePrefix="1" applyFill="1" applyBorder="1" applyAlignment="1">
      <alignment horizontal="center" vertical="center"/>
    </xf>
    <xf numFmtId="1" fontId="5" fillId="18" borderId="45" xfId="0" applyNumberFormat="1" applyFont="1" applyFill="1" applyBorder="1" applyAlignment="1">
      <alignment horizontal="center" vertical="center"/>
    </xf>
    <xf numFmtId="0" fontId="22" fillId="9" borderId="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11" fillId="12" borderId="8" xfId="0" applyFont="1" applyFill="1" applyBorder="1" applyAlignment="1">
      <alignment horizontal="center" vertical="center"/>
    </xf>
    <xf numFmtId="0" fontId="14" fillId="27" borderId="50" xfId="0" applyFont="1" applyFill="1" applyBorder="1" applyAlignment="1">
      <alignment horizontal="center" vertical="center"/>
    </xf>
    <xf numFmtId="0" fontId="15" fillId="28" borderId="50" xfId="0" applyFont="1" applyFill="1" applyBorder="1" applyAlignment="1">
      <alignment horizontal="center" vertical="center"/>
    </xf>
    <xf numFmtId="0" fontId="11" fillId="22" borderId="8" xfId="0" applyFont="1" applyFill="1" applyBorder="1" applyAlignment="1">
      <alignment horizontal="center" vertical="center"/>
    </xf>
    <xf numFmtId="0" fontId="0" fillId="8" borderId="47" xfId="0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2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2" fillId="24" borderId="52" xfId="0" applyFont="1" applyFill="1" applyBorder="1" applyAlignment="1">
      <alignment horizontal="center" vertical="center" wrapText="1"/>
    </xf>
    <xf numFmtId="1" fontId="5" fillId="24" borderId="55" xfId="0" applyNumberFormat="1" applyFont="1" applyFill="1" applyBorder="1" applyAlignment="1">
      <alignment horizontal="center" vertical="center"/>
    </xf>
    <xf numFmtId="0" fontId="2" fillId="19" borderId="53" xfId="0" applyFont="1" applyFill="1" applyBorder="1" applyAlignment="1">
      <alignment horizontal="center" vertical="center" wrapText="1"/>
    </xf>
    <xf numFmtId="0" fontId="6" fillId="29" borderId="53" xfId="0" applyFont="1" applyFill="1" applyBorder="1" applyAlignment="1">
      <alignment horizontal="center" vertical="center" wrapText="1"/>
    </xf>
    <xf numFmtId="20" fontId="19" fillId="0" borderId="52" xfId="0" applyNumberFormat="1" applyFont="1" applyBorder="1" applyAlignment="1">
      <alignment horizontal="center" vertical="center"/>
    </xf>
    <xf numFmtId="0" fontId="2" fillId="30" borderId="53" xfId="0" applyFont="1" applyFill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25" fillId="13" borderId="8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50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1" fontId="7" fillId="5" borderId="0" xfId="0" applyNumberFormat="1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0" fillId="9" borderId="36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20" fillId="23" borderId="24" xfId="11" applyNumberFormat="1" applyFont="1" applyFill="1" applyBorder="1" applyAlignment="1">
      <alignment horizontal="center" vertical="center" shrinkToFit="1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14" fillId="27" borderId="54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2" fillId="0" borderId="57" xfId="0" applyFont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49" xfId="0" applyFont="1" applyFill="1" applyBorder="1" applyAlignment="1">
      <alignment horizontal="center" vertical="center"/>
    </xf>
    <xf numFmtId="0" fontId="23" fillId="9" borderId="25" xfId="0" applyFont="1" applyFill="1" applyBorder="1" applyAlignment="1">
      <alignment horizontal="center" vertical="center"/>
    </xf>
    <xf numFmtId="0" fontId="15" fillId="19" borderId="25" xfId="0" applyFont="1" applyFill="1" applyBorder="1" applyAlignment="1">
      <alignment horizontal="center" vertical="center"/>
    </xf>
    <xf numFmtId="0" fontId="15" fillId="31" borderId="25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6" fillId="5" borderId="38" xfId="0" applyFont="1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4" fillId="7" borderId="25" xfId="0" applyFont="1" applyFill="1" applyBorder="1" applyAlignment="1">
      <alignment horizontal="center" vertical="center"/>
    </xf>
    <xf numFmtId="0" fontId="4" fillId="7" borderId="50" xfId="0" applyFont="1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7" borderId="38" xfId="0" applyFill="1" applyBorder="1" applyAlignment="1">
      <alignment horizontal="center" vertical="center"/>
    </xf>
    <xf numFmtId="0" fontId="2" fillId="7" borderId="42" xfId="0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horizontal="center" vertical="center"/>
    </xf>
    <xf numFmtId="0" fontId="2" fillId="7" borderId="43" xfId="0" applyFont="1" applyFill="1" applyBorder="1" applyAlignment="1">
      <alignment horizontal="center" vertical="center"/>
    </xf>
    <xf numFmtId="0" fontId="0" fillId="7" borderId="48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49" xfId="0" applyFill="1" applyBorder="1" applyAlignment="1">
      <alignment horizontal="center" vertical="center"/>
    </xf>
    <xf numFmtId="0" fontId="2" fillId="7" borderId="37" xfId="0" applyFont="1" applyFill="1" applyBorder="1" applyAlignment="1">
      <alignment horizontal="right" vertical="center"/>
    </xf>
    <xf numFmtId="0" fontId="0" fillId="7" borderId="0" xfId="0" applyFill="1" applyAlignment="1">
      <alignment horizontal="center" vertical="center"/>
    </xf>
    <xf numFmtId="0" fontId="2" fillId="7" borderId="38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38" xfId="0" quotePrefix="1" applyFill="1" applyBorder="1" applyAlignment="1">
      <alignment vertical="center"/>
    </xf>
    <xf numFmtId="164" fontId="0" fillId="7" borderId="0" xfId="0" applyNumberFormat="1" applyFill="1" applyBorder="1" applyAlignment="1">
      <alignment horizontal="center" vertical="center"/>
    </xf>
    <xf numFmtId="0" fontId="2" fillId="7" borderId="39" xfId="0" applyFont="1" applyFill="1" applyBorder="1" applyAlignment="1">
      <alignment horizontal="right" vertical="center"/>
    </xf>
    <xf numFmtId="164" fontId="0" fillId="7" borderId="40" xfId="0" applyNumberFormat="1" applyFill="1" applyBorder="1" applyAlignment="1">
      <alignment horizontal="center" vertical="center"/>
    </xf>
    <xf numFmtId="0" fontId="0" fillId="7" borderId="41" xfId="0" applyFill="1" applyBorder="1" applyAlignment="1">
      <alignment horizontal="center" vertical="center"/>
    </xf>
    <xf numFmtId="0" fontId="15" fillId="7" borderId="25" xfId="0" applyFont="1" applyFill="1" applyBorder="1" applyAlignment="1">
      <alignment horizontal="center" vertical="center"/>
    </xf>
    <xf numFmtId="0" fontId="15" fillId="32" borderId="25" xfId="0" applyFont="1" applyFill="1" applyBorder="1" applyAlignment="1">
      <alignment horizontal="center" vertical="center"/>
    </xf>
    <xf numFmtId="0" fontId="15" fillId="33" borderId="25" xfId="0" applyFont="1" applyFill="1" applyBorder="1" applyAlignment="1">
      <alignment horizontal="center" vertical="center"/>
    </xf>
    <xf numFmtId="0" fontId="5" fillId="0" borderId="30" xfId="0" quotePrefix="1" applyFont="1" applyBorder="1" applyAlignment="1">
      <alignment horizontal="center" vertical="center"/>
    </xf>
    <xf numFmtId="0" fontId="0" fillId="0" borderId="30" xfId="0" quotePrefix="1" applyBorder="1" applyAlignment="1">
      <alignment horizontal="center" vertical="center" wrapText="1"/>
    </xf>
    <xf numFmtId="0" fontId="3" fillId="7" borderId="30" xfId="0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horizontal="center" vertical="center"/>
    </xf>
    <xf numFmtId="0" fontId="26" fillId="0" borderId="0" xfId="0" applyFont="1" applyAlignment="1">
      <alignment horizontal="centerContinuous" vertical="center" wrapText="1"/>
    </xf>
    <xf numFmtId="0" fontId="0" fillId="0" borderId="30" xfId="0" quotePrefix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/>
    </xf>
    <xf numFmtId="0" fontId="11" fillId="13" borderId="8" xfId="0" applyFont="1" applyFill="1" applyBorder="1" applyAlignment="1">
      <alignment horizontal="center" vertical="center"/>
    </xf>
    <xf numFmtId="0" fontId="7" fillId="13" borderId="30" xfId="0" applyFont="1" applyFill="1" applyBorder="1" applyAlignment="1">
      <alignment horizontal="center" vertical="center"/>
    </xf>
    <xf numFmtId="0" fontId="0" fillId="13" borderId="30" xfId="0" applyFill="1" applyBorder="1" applyAlignment="1">
      <alignment horizontal="center" vertical="center"/>
    </xf>
    <xf numFmtId="0" fontId="12" fillId="13" borderId="30" xfId="0" applyFont="1" applyFill="1" applyBorder="1" applyAlignment="1">
      <alignment horizontal="center" vertical="center"/>
    </xf>
    <xf numFmtId="0" fontId="21" fillId="13" borderId="30" xfId="0" applyFont="1" applyFill="1" applyBorder="1" applyAlignment="1">
      <alignment horizontal="center" vertical="center"/>
    </xf>
    <xf numFmtId="0" fontId="3" fillId="0" borderId="0" xfId="14" applyFont="1" applyAlignment="1">
      <alignment vertical="center"/>
    </xf>
    <xf numFmtId="0" fontId="29" fillId="0" borderId="0" xfId="14" applyFont="1" applyAlignment="1">
      <alignment vertical="center"/>
    </xf>
    <xf numFmtId="0" fontId="4" fillId="0" borderId="0" xfId="14" applyFont="1" applyAlignment="1">
      <alignment horizontal="right" vertical="center"/>
    </xf>
    <xf numFmtId="0" fontId="3" fillId="0" borderId="0" xfId="14" applyFont="1" applyAlignment="1">
      <alignment horizontal="left" vertical="center"/>
    </xf>
    <xf numFmtId="0" fontId="30" fillId="0" borderId="58" xfId="14" applyFont="1" applyBorder="1" applyAlignment="1">
      <alignment horizontal="center" vertical="center" wrapText="1"/>
    </xf>
    <xf numFmtId="0" fontId="30" fillId="0" borderId="59" xfId="6" applyNumberFormat="1" applyFont="1" applyFill="1" applyBorder="1" applyAlignment="1">
      <alignment horizontal="center" vertical="center" shrinkToFit="1"/>
    </xf>
    <xf numFmtId="0" fontId="30" fillId="0" borderId="59" xfId="14" applyFont="1" applyBorder="1" applyAlignment="1">
      <alignment horizontal="center" vertical="center" shrinkToFit="1"/>
    </xf>
    <xf numFmtId="9" fontId="30" fillId="0" borderId="59" xfId="6" applyFont="1" applyFill="1" applyBorder="1" applyAlignment="1">
      <alignment horizontal="center" vertical="center" shrinkToFit="1"/>
    </xf>
    <xf numFmtId="9" fontId="30" fillId="0" borderId="60" xfId="6" applyFont="1" applyFill="1" applyBorder="1" applyAlignment="1">
      <alignment horizontal="center" vertical="center" shrinkToFit="1"/>
    </xf>
    <xf numFmtId="0" fontId="30" fillId="0" borderId="60" xfId="13" applyFont="1" applyBorder="1" applyAlignment="1">
      <alignment horizontal="center" vertical="center" wrapText="1"/>
    </xf>
    <xf numFmtId="0" fontId="31" fillId="0" borderId="39" xfId="13" applyFont="1" applyBorder="1" applyAlignment="1">
      <alignment horizontal="center" vertical="center" shrinkToFit="1"/>
    </xf>
    <xf numFmtId="0" fontId="30" fillId="0" borderId="61" xfId="14" applyFont="1" applyBorder="1" applyAlignment="1">
      <alignment horizontal="center" vertical="center" wrapText="1"/>
    </xf>
    <xf numFmtId="0" fontId="30" fillId="0" borderId="51" xfId="6" applyNumberFormat="1" applyFont="1" applyFill="1" applyBorder="1" applyAlignment="1">
      <alignment horizontal="center" vertical="center" shrinkToFit="1"/>
    </xf>
    <xf numFmtId="0" fontId="30" fillId="0" borderId="51" xfId="14" applyFont="1" applyBorder="1" applyAlignment="1">
      <alignment horizontal="center" vertical="center" shrinkToFit="1"/>
    </xf>
    <xf numFmtId="9" fontId="30" fillId="0" borderId="51" xfId="6" applyFont="1" applyFill="1" applyBorder="1" applyAlignment="1">
      <alignment horizontal="center" vertical="center" shrinkToFit="1"/>
    </xf>
    <xf numFmtId="9" fontId="30" fillId="0" borderId="30" xfId="6" applyFont="1" applyFill="1" applyBorder="1" applyAlignment="1">
      <alignment horizontal="center" vertical="center" shrinkToFit="1"/>
    </xf>
    <xf numFmtId="0" fontId="30" fillId="0" borderId="30" xfId="13" applyFont="1" applyBorder="1" applyAlignment="1">
      <alignment horizontal="center" vertical="center" wrapText="1"/>
    </xf>
    <xf numFmtId="0" fontId="31" fillId="0" borderId="37" xfId="13" applyFont="1" applyBorder="1" applyAlignment="1">
      <alignment horizontal="center" vertical="center" shrinkToFit="1"/>
    </xf>
    <xf numFmtId="0" fontId="30" fillId="0" borderId="62" xfId="14" quotePrefix="1" applyFont="1" applyBorder="1" applyAlignment="1">
      <alignment horizontal="center" vertical="center" wrapText="1"/>
    </xf>
    <xf numFmtId="0" fontId="30" fillId="0" borderId="46" xfId="6" applyNumberFormat="1" applyFont="1" applyFill="1" applyBorder="1" applyAlignment="1">
      <alignment horizontal="center" vertical="center" shrinkToFit="1"/>
    </xf>
    <xf numFmtId="0" fontId="30" fillId="0" borderId="46" xfId="14" applyFont="1" applyBorder="1" applyAlignment="1">
      <alignment horizontal="center" vertical="center" shrinkToFit="1"/>
    </xf>
    <xf numFmtId="9" fontId="30" fillId="0" borderId="46" xfId="6" applyFont="1" applyFill="1" applyBorder="1" applyAlignment="1">
      <alignment horizontal="center" vertical="center" shrinkToFit="1"/>
    </xf>
    <xf numFmtId="9" fontId="30" fillId="0" borderId="32" xfId="6" applyFont="1" applyFill="1" applyBorder="1" applyAlignment="1">
      <alignment horizontal="center" vertical="center" shrinkToFit="1"/>
    </xf>
    <xf numFmtId="0" fontId="30" fillId="0" borderId="32" xfId="13" applyFont="1" applyBorder="1" applyAlignment="1">
      <alignment horizontal="center" vertical="center" wrapText="1"/>
    </xf>
    <xf numFmtId="0" fontId="31" fillId="0" borderId="63" xfId="13" applyFont="1" applyBorder="1" applyAlignment="1">
      <alignment horizontal="center" vertical="center" shrinkToFit="1"/>
    </xf>
    <xf numFmtId="0" fontId="30" fillId="0" borderId="61" xfId="14" applyFont="1" applyBorder="1" applyAlignment="1">
      <alignment horizontal="center" vertical="center" shrinkToFit="1"/>
    </xf>
    <xf numFmtId="0" fontId="30" fillId="0" borderId="61" xfId="14" quotePrefix="1" applyFont="1" applyBorder="1" applyAlignment="1">
      <alignment horizontal="center" vertical="center" wrapText="1"/>
    </xf>
    <xf numFmtId="0" fontId="4" fillId="0" borderId="0" xfId="14" applyFont="1" applyAlignment="1">
      <alignment vertical="center"/>
    </xf>
    <xf numFmtId="0" fontId="30" fillId="0" borderId="62" xfId="14" applyFont="1" applyBorder="1" applyAlignment="1">
      <alignment horizontal="center" vertical="center" wrapText="1"/>
    </xf>
    <xf numFmtId="0" fontId="30" fillId="0" borderId="30" xfId="14" applyFont="1" applyBorder="1" applyAlignment="1">
      <alignment horizontal="center" vertical="center" shrinkToFit="1"/>
    </xf>
    <xf numFmtId="0" fontId="32" fillId="34" borderId="64" xfId="14" applyFont="1" applyFill="1" applyBorder="1" applyAlignment="1">
      <alignment horizontal="centerContinuous" vertical="center" wrapText="1"/>
    </xf>
    <xf numFmtId="0" fontId="32" fillId="34" borderId="65" xfId="14" applyFont="1" applyFill="1" applyBorder="1" applyAlignment="1">
      <alignment horizontal="center" vertical="center" wrapText="1"/>
    </xf>
    <xf numFmtId="0" fontId="32" fillId="34" borderId="65" xfId="14" applyFont="1" applyFill="1" applyBorder="1" applyAlignment="1">
      <alignment horizontal="center" vertical="center"/>
    </xf>
    <xf numFmtId="0" fontId="32" fillId="34" borderId="66" xfId="14" applyFont="1" applyFill="1" applyBorder="1" applyAlignment="1">
      <alignment horizontal="centerContinuous" vertical="center" wrapText="1"/>
    </xf>
    <xf numFmtId="0" fontId="33" fillId="0" borderId="0" xfId="14" applyFont="1" applyAlignment="1">
      <alignment horizontal="centerContinuous" vertical="center"/>
    </xf>
    <xf numFmtId="0" fontId="34" fillId="0" borderId="67" xfId="14" applyFont="1" applyBorder="1" applyAlignment="1">
      <alignment horizontal="centerContinuous" vertical="center"/>
    </xf>
    <xf numFmtId="0" fontId="4" fillId="6" borderId="18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9" fillId="6" borderId="51" xfId="0" applyFont="1" applyFill="1" applyBorder="1" applyAlignment="1">
      <alignment horizontal="center" vertical="center"/>
    </xf>
    <xf numFmtId="0" fontId="9" fillId="6" borderId="46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0" fillId="0" borderId="51" xfId="1" applyFont="1" applyBorder="1" applyAlignment="1">
      <alignment horizontal="center" vertical="center"/>
    </xf>
    <xf numFmtId="0" fontId="30" fillId="0" borderId="61" xfId="0" applyFont="1" applyBorder="1" applyAlignment="1">
      <alignment horizontal="center" vertical="center"/>
    </xf>
    <xf numFmtId="0" fontId="36" fillId="7" borderId="38" xfId="0" applyFont="1" applyFill="1" applyBorder="1" applyAlignment="1">
      <alignment horizontal="center" vertical="center"/>
    </xf>
    <xf numFmtId="0" fontId="4" fillId="0" borderId="68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69" xfId="1" applyBorder="1" applyAlignment="1">
      <alignment horizontal="center" vertical="center"/>
    </xf>
    <xf numFmtId="0" fontId="3" fillId="2" borderId="70" xfId="1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38" fillId="6" borderId="30" xfId="0" applyFont="1" applyFill="1" applyBorder="1" applyAlignment="1">
      <alignment horizontal="center" vertical="center"/>
    </xf>
    <xf numFmtId="0" fontId="38" fillId="6" borderId="32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/>
    </xf>
    <xf numFmtId="0" fontId="5" fillId="6" borderId="30" xfId="0" applyFont="1" applyFill="1" applyBorder="1" applyAlignment="1">
      <alignment horizontal="center" vertical="center"/>
    </xf>
  </cellXfs>
  <cellStyles count="15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3 2" xfId="13" xr:uid="{B67A1851-78FF-4684-9A5B-AE93637640B4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Normal 7" xfId="14" xr:uid="{FD7EE822-269E-4F62-AA74-D04570019521}"/>
    <cellStyle name="Percent" xfId="11" builtinId="5"/>
    <cellStyle name="Percent 2" xfId="6" xr:uid="{00000000-0005-0000-0000-00000B000000}"/>
    <cellStyle name="Percent 2 2" xfId="8" xr:uid="{00000000-0005-0000-0000-00000C000000}"/>
  </cellStyles>
  <dxfs count="609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99FF99"/>
      <color rgb="FFCCFFCC"/>
      <color rgb="FF99FFCC"/>
      <color rgb="FF00FF00"/>
      <color rgb="FFFF0066"/>
      <color rgb="FF0000CC"/>
      <color rgb="FFFF00FF"/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6</c:v>
                </c:pt>
                <c:pt idx="3">
                  <c:v>8</c:v>
                </c:pt>
                <c:pt idx="4">
                  <c:v>8</c:v>
                </c:pt>
                <c:pt idx="5">
                  <c:v>15</c:v>
                </c:pt>
                <c:pt idx="6">
                  <c:v>14</c:v>
                </c:pt>
                <c:pt idx="7">
                  <c:v>13</c:v>
                </c:pt>
                <c:pt idx="8">
                  <c:v>15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4</c:v>
                </c:pt>
                <c:pt idx="1">
                  <c:v>7</c:v>
                </c:pt>
                <c:pt idx="2">
                  <c:v>6</c:v>
                </c:pt>
                <c:pt idx="3">
                  <c:v>9</c:v>
                </c:pt>
                <c:pt idx="4">
                  <c:v>11</c:v>
                </c:pt>
                <c:pt idx="5">
                  <c:v>18</c:v>
                </c:pt>
                <c:pt idx="6">
                  <c:v>14</c:v>
                </c:pt>
                <c:pt idx="7">
                  <c:v>23</c:v>
                </c:pt>
                <c:pt idx="8">
                  <c:v>28</c:v>
                </c:pt>
                <c:pt idx="9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2</c:v>
                </c:pt>
                <c:pt idx="1">
                  <c:v>10</c:v>
                </c:pt>
                <c:pt idx="2">
                  <c:v>9</c:v>
                </c:pt>
                <c:pt idx="3">
                  <c:v>11</c:v>
                </c:pt>
                <c:pt idx="4">
                  <c:v>12</c:v>
                </c:pt>
                <c:pt idx="5">
                  <c:v>21</c:v>
                </c:pt>
                <c:pt idx="6">
                  <c:v>28</c:v>
                </c:pt>
                <c:pt idx="7">
                  <c:v>30</c:v>
                </c:pt>
                <c:pt idx="8">
                  <c:v>29</c:v>
                </c:pt>
                <c:pt idx="9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13</c:v>
                </c:pt>
                <c:pt idx="3">
                  <c:v>23</c:v>
                </c:pt>
                <c:pt idx="4">
                  <c:v>28</c:v>
                </c:pt>
                <c:pt idx="5">
                  <c:v>36</c:v>
                </c:pt>
                <c:pt idx="6">
                  <c:v>29</c:v>
                </c:pt>
                <c:pt idx="7">
                  <c:v>33</c:v>
                </c:pt>
                <c:pt idx="8">
                  <c:v>47</c:v>
                </c:pt>
                <c:pt idx="9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3</c:v>
                </c:pt>
                <c:pt idx="1">
                  <c:v>15</c:v>
                </c:pt>
                <c:pt idx="2">
                  <c:v>22</c:v>
                </c:pt>
                <c:pt idx="3">
                  <c:v>26</c:v>
                </c:pt>
                <c:pt idx="4">
                  <c:v>20</c:v>
                </c:pt>
                <c:pt idx="5">
                  <c:v>16</c:v>
                </c:pt>
                <c:pt idx="6">
                  <c:v>43</c:v>
                </c:pt>
                <c:pt idx="7">
                  <c:v>35</c:v>
                </c:pt>
                <c:pt idx="8">
                  <c:v>58</c:v>
                </c:pt>
                <c:pt idx="9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11</c:v>
                </c:pt>
                <c:pt idx="1">
                  <c:v>13</c:v>
                </c:pt>
                <c:pt idx="2">
                  <c:v>27</c:v>
                </c:pt>
                <c:pt idx="3">
                  <c:v>38</c:v>
                </c:pt>
                <c:pt idx="4">
                  <c:v>23</c:v>
                </c:pt>
                <c:pt idx="5">
                  <c:v>54</c:v>
                </c:pt>
                <c:pt idx="6">
                  <c:v>60</c:v>
                </c:pt>
                <c:pt idx="7">
                  <c:v>49</c:v>
                </c:pt>
                <c:pt idx="8">
                  <c:v>68</c:v>
                </c:pt>
                <c:pt idx="9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5</c:v>
                </c:pt>
                <c:pt idx="1">
                  <c:v>21</c:v>
                </c:pt>
                <c:pt idx="2">
                  <c:v>32</c:v>
                </c:pt>
                <c:pt idx="3">
                  <c:v>29</c:v>
                </c:pt>
                <c:pt idx="4">
                  <c:v>50</c:v>
                </c:pt>
                <c:pt idx="5">
                  <c:v>62</c:v>
                </c:pt>
                <c:pt idx="6">
                  <c:v>89</c:v>
                </c:pt>
                <c:pt idx="7">
                  <c:v>62</c:v>
                </c:pt>
                <c:pt idx="8">
                  <c:v>92</c:v>
                </c:pt>
                <c:pt idx="9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11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2</c:v>
                </c:pt>
                <c:pt idx="1">
                  <c:v>7</c:v>
                </c:pt>
                <c:pt idx="2">
                  <c:v>10</c:v>
                </c:pt>
                <c:pt idx="3">
                  <c:v>3</c:v>
                </c:pt>
                <c:pt idx="4">
                  <c:v>15</c:v>
                </c:pt>
                <c:pt idx="5">
                  <c:v>13</c:v>
                </c:pt>
                <c:pt idx="6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6</c:v>
                </c:pt>
                <c:pt idx="2">
                  <c:v>9</c:v>
                </c:pt>
                <c:pt idx="3">
                  <c:v>13</c:v>
                </c:pt>
                <c:pt idx="4">
                  <c:v>22</c:v>
                </c:pt>
                <c:pt idx="5">
                  <c:v>27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9</c:v>
                </c:pt>
                <c:pt idx="2">
                  <c:v>11</c:v>
                </c:pt>
                <c:pt idx="3">
                  <c:v>23</c:v>
                </c:pt>
                <c:pt idx="4">
                  <c:v>26</c:v>
                </c:pt>
                <c:pt idx="5">
                  <c:v>38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8</c:v>
                </c:pt>
                <c:pt idx="1">
                  <c:v>11</c:v>
                </c:pt>
                <c:pt idx="2">
                  <c:v>12</c:v>
                </c:pt>
                <c:pt idx="3">
                  <c:v>28</c:v>
                </c:pt>
                <c:pt idx="4">
                  <c:v>20</c:v>
                </c:pt>
                <c:pt idx="5">
                  <c:v>23</c:v>
                </c:pt>
                <c:pt idx="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15</c:v>
                </c:pt>
                <c:pt idx="1">
                  <c:v>18</c:v>
                </c:pt>
                <c:pt idx="2">
                  <c:v>21</c:v>
                </c:pt>
                <c:pt idx="3">
                  <c:v>36</c:v>
                </c:pt>
                <c:pt idx="4">
                  <c:v>16</c:v>
                </c:pt>
                <c:pt idx="5">
                  <c:v>54</c:v>
                </c:pt>
                <c:pt idx="6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8-4018-BE0F-525474B9DB8D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14</c:v>
                </c:pt>
                <c:pt idx="1">
                  <c:v>14</c:v>
                </c:pt>
                <c:pt idx="2">
                  <c:v>28</c:v>
                </c:pt>
                <c:pt idx="3">
                  <c:v>29</c:v>
                </c:pt>
                <c:pt idx="4">
                  <c:v>43</c:v>
                </c:pt>
                <c:pt idx="5">
                  <c:v>60</c:v>
                </c:pt>
                <c:pt idx="6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8-4018-BE0F-525474B9DB8D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13</c:v>
                </c:pt>
                <c:pt idx="1">
                  <c:v>23</c:v>
                </c:pt>
                <c:pt idx="2">
                  <c:v>30</c:v>
                </c:pt>
                <c:pt idx="3">
                  <c:v>33</c:v>
                </c:pt>
                <c:pt idx="4">
                  <c:v>35</c:v>
                </c:pt>
                <c:pt idx="5">
                  <c:v>49</c:v>
                </c:pt>
                <c:pt idx="6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88-4018-BE0F-525474B9DB8D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15</c:v>
                </c:pt>
                <c:pt idx="1">
                  <c:v>28</c:v>
                </c:pt>
                <c:pt idx="2">
                  <c:v>29</c:v>
                </c:pt>
                <c:pt idx="3">
                  <c:v>47</c:v>
                </c:pt>
                <c:pt idx="4">
                  <c:v>58</c:v>
                </c:pt>
                <c:pt idx="5">
                  <c:v>68</c:v>
                </c:pt>
                <c:pt idx="6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88-4018-BE0F-525474B9DB8D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21</c:v>
                </c:pt>
                <c:pt idx="1">
                  <c:v>16</c:v>
                </c:pt>
                <c:pt idx="2">
                  <c:v>34</c:v>
                </c:pt>
                <c:pt idx="3">
                  <c:v>44</c:v>
                </c:pt>
                <c:pt idx="4">
                  <c:v>50</c:v>
                </c:pt>
                <c:pt idx="5">
                  <c:v>84</c:v>
                </c:pt>
                <c:pt idx="6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6</c:v>
                </c:pt>
                <c:pt idx="3">
                  <c:v>8</c:v>
                </c:pt>
                <c:pt idx="4">
                  <c:v>8</c:v>
                </c:pt>
                <c:pt idx="5">
                  <c:v>15</c:v>
                </c:pt>
                <c:pt idx="6">
                  <c:v>14</c:v>
                </c:pt>
                <c:pt idx="7">
                  <c:v>13</c:v>
                </c:pt>
                <c:pt idx="8">
                  <c:v>15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4</c:v>
                </c:pt>
                <c:pt idx="1">
                  <c:v>7</c:v>
                </c:pt>
                <c:pt idx="2">
                  <c:v>6</c:v>
                </c:pt>
                <c:pt idx="3">
                  <c:v>9</c:v>
                </c:pt>
                <c:pt idx="4">
                  <c:v>11</c:v>
                </c:pt>
                <c:pt idx="5">
                  <c:v>18</c:v>
                </c:pt>
                <c:pt idx="6">
                  <c:v>14</c:v>
                </c:pt>
                <c:pt idx="7">
                  <c:v>23</c:v>
                </c:pt>
                <c:pt idx="8">
                  <c:v>28</c:v>
                </c:pt>
                <c:pt idx="9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2</c:v>
                </c:pt>
                <c:pt idx="1">
                  <c:v>10</c:v>
                </c:pt>
                <c:pt idx="2">
                  <c:v>9</c:v>
                </c:pt>
                <c:pt idx="3">
                  <c:v>11</c:v>
                </c:pt>
                <c:pt idx="4">
                  <c:v>12</c:v>
                </c:pt>
                <c:pt idx="5">
                  <c:v>21</c:v>
                </c:pt>
                <c:pt idx="6">
                  <c:v>28</c:v>
                </c:pt>
                <c:pt idx="7">
                  <c:v>30</c:v>
                </c:pt>
                <c:pt idx="8">
                  <c:v>29</c:v>
                </c:pt>
                <c:pt idx="9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13</c:v>
                </c:pt>
                <c:pt idx="3">
                  <c:v>23</c:v>
                </c:pt>
                <c:pt idx="4">
                  <c:v>28</c:v>
                </c:pt>
                <c:pt idx="5">
                  <c:v>36</c:v>
                </c:pt>
                <c:pt idx="6">
                  <c:v>29</c:v>
                </c:pt>
                <c:pt idx="7">
                  <c:v>33</c:v>
                </c:pt>
                <c:pt idx="8">
                  <c:v>47</c:v>
                </c:pt>
                <c:pt idx="9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3</c:v>
                </c:pt>
                <c:pt idx="1">
                  <c:v>15</c:v>
                </c:pt>
                <c:pt idx="2">
                  <c:v>22</c:v>
                </c:pt>
                <c:pt idx="3">
                  <c:v>26</c:v>
                </c:pt>
                <c:pt idx="4">
                  <c:v>20</c:v>
                </c:pt>
                <c:pt idx="5">
                  <c:v>16</c:v>
                </c:pt>
                <c:pt idx="6">
                  <c:v>43</c:v>
                </c:pt>
                <c:pt idx="7">
                  <c:v>35</c:v>
                </c:pt>
                <c:pt idx="8">
                  <c:v>58</c:v>
                </c:pt>
                <c:pt idx="9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11</c:v>
                </c:pt>
                <c:pt idx="1">
                  <c:v>13</c:v>
                </c:pt>
                <c:pt idx="2">
                  <c:v>27</c:v>
                </c:pt>
                <c:pt idx="3">
                  <c:v>38</c:v>
                </c:pt>
                <c:pt idx="4">
                  <c:v>23</c:v>
                </c:pt>
                <c:pt idx="5">
                  <c:v>54</c:v>
                </c:pt>
                <c:pt idx="6">
                  <c:v>60</c:v>
                </c:pt>
                <c:pt idx="7">
                  <c:v>49</c:v>
                </c:pt>
                <c:pt idx="8">
                  <c:v>68</c:v>
                </c:pt>
                <c:pt idx="9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5</c:v>
                </c:pt>
                <c:pt idx="1">
                  <c:v>21</c:v>
                </c:pt>
                <c:pt idx="2">
                  <c:v>32</c:v>
                </c:pt>
                <c:pt idx="3">
                  <c:v>29</c:v>
                </c:pt>
                <c:pt idx="4">
                  <c:v>50</c:v>
                </c:pt>
                <c:pt idx="5">
                  <c:v>62</c:v>
                </c:pt>
                <c:pt idx="6">
                  <c:v>89</c:v>
                </c:pt>
                <c:pt idx="7">
                  <c:v>62</c:v>
                </c:pt>
                <c:pt idx="8">
                  <c:v>92</c:v>
                </c:pt>
                <c:pt idx="9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10</xdr:row>
      <xdr:rowOff>0</xdr:rowOff>
    </xdr:from>
    <xdr:to>
      <xdr:col>5</xdr:col>
      <xdr:colOff>640080</xdr:colOff>
      <xdr:row>18</xdr:row>
      <xdr:rowOff>152400</xdr:rowOff>
    </xdr:to>
    <xdr:sp macro="" textlink="">
      <xdr:nvSpPr>
        <xdr:cNvPr id="2" name="Rectangle: Beveled 1">
          <a:extLst>
            <a:ext uri="{FF2B5EF4-FFF2-40B4-BE49-F238E27FC236}">
              <a16:creationId xmlns:a16="http://schemas.microsoft.com/office/drawing/2014/main" id="{92499A96-7902-4210-8D25-640B828AF119}"/>
            </a:ext>
          </a:extLst>
        </xdr:cNvPr>
        <xdr:cNvSpPr/>
      </xdr:nvSpPr>
      <xdr:spPr>
        <a:xfrm>
          <a:off x="45720" y="2430780"/>
          <a:ext cx="3665220" cy="1744980"/>
        </a:xfrm>
        <a:prstGeom prst="bevel">
          <a:avLst/>
        </a:prstGeom>
        <a:solidFill>
          <a:srgbClr val="00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6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Roll for Maneuvers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D02F055-D256-4ABF-B27F-9F77BBB3156C}"/>
            </a:ext>
          </a:extLst>
        </xdr:cNvPr>
        <xdr:cNvSpPr>
          <a:spLocks noChangeArrowheads="1"/>
        </xdr:cNvSpPr>
      </xdr:nvSpPr>
      <xdr:spPr bwMode="auto">
        <a:xfrm>
          <a:off x="6172200" y="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showGridLines="0" zoomScaleNormal="100" workbookViewId="0"/>
  </sheetViews>
  <sheetFormatPr defaultRowHeight="15.6" x14ac:dyDescent="0.3"/>
  <cols>
    <col min="1" max="1" width="12.796875" style="43" bestFit="1" customWidth="1"/>
    <col min="2" max="2" width="6.296875" style="48" bestFit="1" customWidth="1"/>
    <col min="3" max="3" width="8.5" style="48" bestFit="1" customWidth="1"/>
    <col min="4" max="4" width="4.296875" style="48" bestFit="1" customWidth="1"/>
    <col min="5" max="5" width="8.3984375" style="48" bestFit="1" customWidth="1"/>
    <col min="6" max="6" width="11.19921875" style="48" bestFit="1" customWidth="1"/>
    <col min="7" max="7" width="3" style="43" customWidth="1"/>
    <col min="8" max="8" width="17.3984375" style="43" bestFit="1" customWidth="1"/>
    <col min="9" max="9" width="4.8984375" style="43" bestFit="1" customWidth="1"/>
    <col min="10" max="10" width="38" style="43" bestFit="1" customWidth="1"/>
    <col min="11" max="11" width="3" style="43" customWidth="1"/>
    <col min="12" max="12" width="23.59765625" style="43" bestFit="1" customWidth="1"/>
    <col min="13" max="13" width="7.3984375" style="43" bestFit="1" customWidth="1"/>
    <col min="14" max="14" width="31.8984375" style="43" bestFit="1" customWidth="1"/>
    <col min="15" max="16384" width="8.796875" style="43"/>
  </cols>
  <sheetData>
    <row r="1" spans="1:14" s="38" customFormat="1" ht="31.8" thickBot="1" x14ac:dyDescent="0.35">
      <c r="A1" s="173" t="s">
        <v>0</v>
      </c>
      <c r="B1" s="173" t="s">
        <v>1</v>
      </c>
      <c r="C1" s="173" t="s">
        <v>2</v>
      </c>
      <c r="D1" s="174" t="s">
        <v>3</v>
      </c>
      <c r="E1" s="37" t="s">
        <v>4</v>
      </c>
      <c r="F1" s="173" t="s">
        <v>122</v>
      </c>
      <c r="H1" s="39" t="s">
        <v>120</v>
      </c>
      <c r="I1" s="39"/>
      <c r="J1" s="39"/>
      <c r="K1" s="39"/>
      <c r="L1" s="39" t="s">
        <v>80</v>
      </c>
      <c r="M1" s="39"/>
      <c r="N1" s="39"/>
    </row>
    <row r="2" spans="1:14" ht="16.8" thickTop="1" thickBot="1" x14ac:dyDescent="0.35">
      <c r="A2" s="154" t="s">
        <v>315</v>
      </c>
      <c r="B2" s="154">
        <v>2</v>
      </c>
      <c r="C2" s="44">
        <v>2</v>
      </c>
      <c r="D2" s="45">
        <v>16</v>
      </c>
      <c r="E2" s="44">
        <f t="shared" ref="E2:E7" si="0">SUM(C2:D2)</f>
        <v>18</v>
      </c>
      <c r="F2" s="44" t="s">
        <v>161</v>
      </c>
      <c r="H2" s="71" t="s">
        <v>0</v>
      </c>
      <c r="I2" s="72" t="s">
        <v>20</v>
      </c>
      <c r="J2" s="73" t="s">
        <v>113</v>
      </c>
      <c r="L2" s="133" t="s">
        <v>0</v>
      </c>
      <c r="M2" s="134" t="s">
        <v>81</v>
      </c>
      <c r="N2" s="135" t="s">
        <v>63</v>
      </c>
    </row>
    <row r="3" spans="1:14" x14ac:dyDescent="0.3">
      <c r="A3" s="63" t="s">
        <v>115</v>
      </c>
      <c r="B3" s="63">
        <v>1</v>
      </c>
      <c r="C3" s="44">
        <v>8</v>
      </c>
      <c r="D3" s="45">
        <v>9</v>
      </c>
      <c r="E3" s="44">
        <f t="shared" si="0"/>
        <v>17</v>
      </c>
      <c r="F3" s="44" t="s">
        <v>105</v>
      </c>
      <c r="H3" s="74" t="s">
        <v>112</v>
      </c>
      <c r="I3" s="70">
        <v>10</v>
      </c>
      <c r="J3" s="75" t="s">
        <v>114</v>
      </c>
      <c r="L3" s="136" t="s">
        <v>144</v>
      </c>
      <c r="M3" s="123">
        <v>8</v>
      </c>
      <c r="N3" s="137" t="s">
        <v>197</v>
      </c>
    </row>
    <row r="4" spans="1:14" x14ac:dyDescent="0.3">
      <c r="A4" s="70" t="s">
        <v>98</v>
      </c>
      <c r="B4" s="70">
        <v>1</v>
      </c>
      <c r="C4" s="44">
        <v>4</v>
      </c>
      <c r="D4" s="45">
        <v>13</v>
      </c>
      <c r="E4" s="44">
        <f t="shared" si="0"/>
        <v>17</v>
      </c>
      <c r="F4" s="44" t="s">
        <v>5</v>
      </c>
      <c r="H4" s="74" t="s">
        <v>98</v>
      </c>
      <c r="I4" s="70">
        <v>10</v>
      </c>
      <c r="J4" s="75" t="s">
        <v>107</v>
      </c>
      <c r="L4" s="136" t="s">
        <v>314</v>
      </c>
      <c r="M4" s="123">
        <v>10</v>
      </c>
      <c r="N4" s="137" t="s">
        <v>311</v>
      </c>
    </row>
    <row r="5" spans="1:14" x14ac:dyDescent="0.3">
      <c r="A5" s="70" t="s">
        <v>112</v>
      </c>
      <c r="B5" s="70">
        <v>1</v>
      </c>
      <c r="C5" s="44">
        <v>2</v>
      </c>
      <c r="D5" s="45">
        <v>14</v>
      </c>
      <c r="E5" s="44">
        <f t="shared" si="0"/>
        <v>16</v>
      </c>
      <c r="F5" s="44" t="s">
        <v>105</v>
      </c>
      <c r="H5" s="199" t="s">
        <v>115</v>
      </c>
      <c r="I5" s="63">
        <v>11</v>
      </c>
      <c r="J5" s="276" t="s">
        <v>312</v>
      </c>
      <c r="L5" s="136" t="s">
        <v>179</v>
      </c>
      <c r="M5" s="123">
        <v>5</v>
      </c>
      <c r="N5" s="137" t="s">
        <v>193</v>
      </c>
    </row>
    <row r="6" spans="1:14" ht="16.2" thickBot="1" x14ac:dyDescent="0.35">
      <c r="A6" s="70" t="s">
        <v>99</v>
      </c>
      <c r="B6" s="70">
        <v>1</v>
      </c>
      <c r="C6" s="44">
        <v>3</v>
      </c>
      <c r="D6" s="45">
        <v>9</v>
      </c>
      <c r="E6" s="44">
        <f t="shared" si="0"/>
        <v>12</v>
      </c>
      <c r="F6" s="44" t="s">
        <v>96</v>
      </c>
      <c r="H6" s="194" t="s">
        <v>99</v>
      </c>
      <c r="I6" s="195">
        <v>10</v>
      </c>
      <c r="J6" s="196" t="s">
        <v>110</v>
      </c>
      <c r="L6" s="136" t="s">
        <v>187</v>
      </c>
      <c r="M6" s="123">
        <v>4</v>
      </c>
      <c r="N6" s="137" t="s">
        <v>195</v>
      </c>
    </row>
    <row r="7" spans="1:14" x14ac:dyDescent="0.3">
      <c r="A7" s="63" t="s">
        <v>185</v>
      </c>
      <c r="B7" s="63">
        <v>1</v>
      </c>
      <c r="C7" s="44">
        <v>2</v>
      </c>
      <c r="D7" s="45">
        <v>2</v>
      </c>
      <c r="E7" s="44">
        <f t="shared" si="0"/>
        <v>4</v>
      </c>
      <c r="F7" s="44" t="s">
        <v>116</v>
      </c>
      <c r="H7" s="76" t="s">
        <v>21</v>
      </c>
      <c r="I7" s="184">
        <f>SUM(I3:I6)</f>
        <v>41</v>
      </c>
      <c r="J7" s="192" t="str">
        <f>CONCATENATE("Average Level: ",ROUND(AVERAGE(I3:I6),0))</f>
        <v>Average Level: 10</v>
      </c>
      <c r="L7" s="136" t="s">
        <v>188</v>
      </c>
      <c r="M7" s="123">
        <v>4</v>
      </c>
      <c r="N7" s="137" t="s">
        <v>196</v>
      </c>
    </row>
    <row r="8" spans="1:14" x14ac:dyDescent="0.3">
      <c r="H8" s="76" t="s">
        <v>22</v>
      </c>
      <c r="I8" s="77">
        <f>COUNT(I3:I6)</f>
        <v>4</v>
      </c>
      <c r="J8" s="78"/>
      <c r="L8" s="136" t="s">
        <v>186</v>
      </c>
      <c r="M8" s="123">
        <v>4</v>
      </c>
      <c r="N8" s="137" t="s">
        <v>194</v>
      </c>
    </row>
    <row r="9" spans="1:14" x14ac:dyDescent="0.3">
      <c r="D9" s="45">
        <f ca="1">RANDBETWEEN(1,20)</f>
        <v>8</v>
      </c>
      <c r="H9" s="76" t="s">
        <v>24</v>
      </c>
      <c r="I9" s="79">
        <f>I7/4</f>
        <v>10.25</v>
      </c>
      <c r="J9" s="75" t="s">
        <v>25</v>
      </c>
      <c r="L9" s="136" t="s">
        <v>191</v>
      </c>
      <c r="M9" s="123">
        <v>10</v>
      </c>
      <c r="N9" s="137" t="s">
        <v>192</v>
      </c>
    </row>
    <row r="10" spans="1:14" ht="16.2" thickBot="1" x14ac:dyDescent="0.35">
      <c r="H10" s="80" t="s">
        <v>26</v>
      </c>
      <c r="I10" s="81">
        <f>I9*2</f>
        <v>20.5</v>
      </c>
      <c r="J10" s="82" t="s">
        <v>27</v>
      </c>
      <c r="L10" s="136" t="s">
        <v>189</v>
      </c>
      <c r="M10" s="123">
        <v>10</v>
      </c>
      <c r="N10" s="137" t="s">
        <v>192</v>
      </c>
    </row>
    <row r="11" spans="1:14" ht="16.8" thickTop="1" thickBot="1" x14ac:dyDescent="0.35">
      <c r="B11" s="43"/>
      <c r="C11" s="43"/>
      <c r="D11" s="43"/>
      <c r="E11" s="43"/>
      <c r="F11" s="43"/>
      <c r="L11" s="186" t="s">
        <v>190</v>
      </c>
      <c r="M11" s="187">
        <v>6</v>
      </c>
      <c r="N11" s="188" t="s">
        <v>192</v>
      </c>
    </row>
    <row r="12" spans="1:14" ht="16.8" thickBot="1" x14ac:dyDescent="0.35">
      <c r="H12" s="223" t="s">
        <v>123</v>
      </c>
      <c r="I12" s="39"/>
      <c r="J12" s="39"/>
      <c r="L12" s="138" t="s">
        <v>21</v>
      </c>
      <c r="M12" s="172">
        <f>SUM(M3:M11)</f>
        <v>61</v>
      </c>
      <c r="N12" s="193" t="str">
        <f>CONCATENATE("Average Level: ",ROUND(AVERAGE(M3:M11),0))</f>
        <v>Average Level: 7</v>
      </c>
    </row>
    <row r="13" spans="1:14" ht="16.8" thickTop="1" thickBot="1" x14ac:dyDescent="0.35">
      <c r="H13" s="201" t="s">
        <v>0</v>
      </c>
      <c r="I13" s="202" t="s">
        <v>20</v>
      </c>
      <c r="J13" s="203" t="s">
        <v>113</v>
      </c>
      <c r="L13" s="138" t="s">
        <v>95</v>
      </c>
      <c r="M13" s="139">
        <f>AVERAGE(M3:M11)</f>
        <v>6.7777777777777777</v>
      </c>
      <c r="N13" s="137"/>
    </row>
    <row r="14" spans="1:14" ht="16.2" thickBot="1" x14ac:dyDescent="0.35">
      <c r="H14" s="199" t="s">
        <v>139</v>
      </c>
      <c r="I14" s="63">
        <v>9</v>
      </c>
      <c r="J14" s="200" t="s">
        <v>124</v>
      </c>
      <c r="L14" s="140" t="s">
        <v>22</v>
      </c>
      <c r="M14" s="141">
        <f>COUNT(M3:M11)</f>
        <v>9</v>
      </c>
      <c r="N14" s="142"/>
    </row>
    <row r="15" spans="1:14" ht="16.2" thickTop="1" x14ac:dyDescent="0.3">
      <c r="H15" s="199" t="s">
        <v>134</v>
      </c>
      <c r="I15" s="63">
        <v>8</v>
      </c>
      <c r="J15" s="200" t="s">
        <v>125</v>
      </c>
    </row>
    <row r="16" spans="1:14" x14ac:dyDescent="0.3">
      <c r="H16" s="199" t="s">
        <v>135</v>
      </c>
      <c r="I16" s="63">
        <v>8</v>
      </c>
      <c r="J16" s="200" t="s">
        <v>126</v>
      </c>
      <c r="N16" s="83"/>
    </row>
    <row r="17" spans="8:14" x14ac:dyDescent="0.3">
      <c r="H17" s="199" t="s">
        <v>136</v>
      </c>
      <c r="I17" s="63">
        <v>7</v>
      </c>
      <c r="J17" s="200" t="s">
        <v>129</v>
      </c>
      <c r="L17" s="84" t="s">
        <v>28</v>
      </c>
      <c r="M17" s="85">
        <f>I9</f>
        <v>10.25</v>
      </c>
      <c r="N17" s="83"/>
    </row>
    <row r="18" spans="8:14" x14ac:dyDescent="0.3">
      <c r="H18" s="199" t="s">
        <v>137</v>
      </c>
      <c r="I18" s="63">
        <v>7</v>
      </c>
      <c r="J18" s="200" t="s">
        <v>130</v>
      </c>
      <c r="L18" s="84" t="s">
        <v>29</v>
      </c>
      <c r="M18" s="85">
        <f>I10</f>
        <v>20.5</v>
      </c>
      <c r="N18" s="83"/>
    </row>
    <row r="19" spans="8:14" x14ac:dyDescent="0.3">
      <c r="H19" s="199" t="s">
        <v>138</v>
      </c>
      <c r="I19" s="63">
        <v>7</v>
      </c>
      <c r="J19" s="200" t="s">
        <v>128</v>
      </c>
      <c r="L19" s="84" t="s">
        <v>30</v>
      </c>
      <c r="M19" s="85">
        <f>I7</f>
        <v>41</v>
      </c>
      <c r="N19" s="83"/>
    </row>
    <row r="20" spans="8:14" x14ac:dyDescent="0.3">
      <c r="H20" s="199" t="s">
        <v>140</v>
      </c>
      <c r="I20" s="63">
        <v>6</v>
      </c>
      <c r="J20" s="200" t="s">
        <v>131</v>
      </c>
    </row>
    <row r="21" spans="8:14" x14ac:dyDescent="0.3">
      <c r="H21" s="199" t="s">
        <v>142</v>
      </c>
      <c r="I21" s="63">
        <v>6</v>
      </c>
      <c r="J21" s="200" t="s">
        <v>132</v>
      </c>
      <c r="L21" s="86" t="s">
        <v>31</v>
      </c>
      <c r="M21" s="85">
        <f>M12</f>
        <v>61</v>
      </c>
    </row>
    <row r="22" spans="8:14" x14ac:dyDescent="0.3">
      <c r="H22" s="199" t="s">
        <v>141</v>
      </c>
      <c r="I22" s="63">
        <v>5</v>
      </c>
      <c r="J22" s="200" t="s">
        <v>133</v>
      </c>
    </row>
    <row r="23" spans="8:14" ht="16.2" thickBot="1" x14ac:dyDescent="0.35">
      <c r="H23" s="204" t="s">
        <v>143</v>
      </c>
      <c r="I23" s="205">
        <v>5</v>
      </c>
      <c r="J23" s="206" t="s">
        <v>127</v>
      </c>
    </row>
    <row r="24" spans="8:14" x14ac:dyDescent="0.3">
      <c r="H24" s="207" t="s">
        <v>21</v>
      </c>
      <c r="I24" s="208">
        <f>SUM(I14:I23)</f>
        <v>68</v>
      </c>
      <c r="J24" s="209" t="str">
        <f>CONCATENATE("Average Level: ",ROUND(AVERAGE(I14:I23),0))</f>
        <v>Average Level: 7</v>
      </c>
    </row>
    <row r="25" spans="8:14" x14ac:dyDescent="0.3">
      <c r="H25" s="207" t="s">
        <v>22</v>
      </c>
      <c r="I25" s="210">
        <f>COUNT(I14:I23)</f>
        <v>10</v>
      </c>
      <c r="J25" s="211"/>
    </row>
    <row r="26" spans="8:14" x14ac:dyDescent="0.3">
      <c r="H26" s="207" t="s">
        <v>24</v>
      </c>
      <c r="I26" s="212">
        <f>I24/4</f>
        <v>17</v>
      </c>
      <c r="J26" s="200" t="s">
        <v>25</v>
      </c>
    </row>
    <row r="27" spans="8:14" ht="16.2" thickBot="1" x14ac:dyDescent="0.35">
      <c r="H27" s="213" t="s">
        <v>26</v>
      </c>
      <c r="I27" s="214">
        <f>I26*2</f>
        <v>34</v>
      </c>
      <c r="J27" s="215" t="s">
        <v>27</v>
      </c>
    </row>
    <row r="28" spans="8:14" ht="16.2" thickTop="1" x14ac:dyDescent="0.3"/>
  </sheetData>
  <sortState xmlns:xlrd2="http://schemas.microsoft.com/office/spreadsheetml/2017/richdata2" ref="A2:F7">
    <sortCondition descending="1" ref="E2:E7"/>
    <sortCondition descending="1" ref="C2:C7"/>
  </sortState>
  <conditionalFormatting sqref="M21">
    <cfRule type="cellIs" dxfId="608" priority="1434" operator="greaterThan">
      <formula>$M$19</formula>
    </cfRule>
    <cfRule type="cellIs" dxfId="607" priority="1435" operator="between">
      <formula>$M$18</formula>
      <formula>$M$19</formula>
    </cfRule>
    <cfRule type="cellIs" dxfId="606" priority="1436" operator="between">
      <formula>$M$17</formula>
      <formula>$M$18</formula>
    </cfRule>
    <cfRule type="cellIs" dxfId="605" priority="1437" operator="lessThan">
      <formula>$M$17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7"/>
  <sheetViews>
    <sheetView showGridLines="0" tabSelected="1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6.796875" style="48" bestFit="1" customWidth="1"/>
    <col min="2" max="2" width="21.796875" style="48" bestFit="1" customWidth="1"/>
    <col min="3" max="3" width="7.296875" style="48" bestFit="1" customWidth="1"/>
    <col min="4" max="4" width="3.59765625" style="48" bestFit="1" customWidth="1"/>
    <col min="5" max="5" width="7.796875" style="48" bestFit="1" customWidth="1"/>
    <col min="6" max="6" width="8" style="48" bestFit="1" customWidth="1"/>
    <col min="7" max="7" width="9" style="48" bestFit="1" customWidth="1"/>
    <col min="8" max="8" width="6.796875" style="48" bestFit="1" customWidth="1"/>
    <col min="9" max="9" width="7.5" style="48" bestFit="1" customWidth="1"/>
    <col min="10" max="10" width="8.5" style="48" bestFit="1" customWidth="1"/>
    <col min="11" max="11" width="8.796875" style="48" bestFit="1" customWidth="1"/>
    <col min="12" max="12" width="7.296875" style="59" bestFit="1" customWidth="1"/>
    <col min="13" max="13" width="7.5" style="59" bestFit="1" customWidth="1"/>
    <col min="14" max="14" width="2.296875" style="48" customWidth="1"/>
    <col min="15" max="15" width="7.59765625" style="48" bestFit="1" customWidth="1"/>
    <col min="16" max="16" width="6.3984375" style="48" bestFit="1" customWidth="1"/>
    <col min="17" max="17" width="7.796875" style="48" bestFit="1" customWidth="1"/>
    <col min="18" max="18" width="9" style="48" bestFit="1" customWidth="1"/>
    <col min="19" max="19" width="7.59765625" style="48" bestFit="1" customWidth="1"/>
    <col min="20" max="20" width="9" style="48" bestFit="1" customWidth="1"/>
    <col min="21" max="16384" width="8.796875" style="48"/>
  </cols>
  <sheetData>
    <row r="1" spans="1:20" s="55" customFormat="1" ht="31.8" thickBot="1" x14ac:dyDescent="0.35">
      <c r="A1" s="180" t="s">
        <v>70</v>
      </c>
      <c r="B1" s="181" t="s">
        <v>71</v>
      </c>
      <c r="C1" s="181" t="s">
        <v>72</v>
      </c>
      <c r="D1" s="180" t="s">
        <v>73</v>
      </c>
      <c r="E1" s="180" t="s">
        <v>93</v>
      </c>
      <c r="F1" s="180" t="s">
        <v>92</v>
      </c>
      <c r="G1" s="180" t="s">
        <v>91</v>
      </c>
      <c r="H1" s="180" t="s">
        <v>90</v>
      </c>
      <c r="I1" s="180" t="s">
        <v>94</v>
      </c>
      <c r="J1" s="180" t="s">
        <v>74</v>
      </c>
      <c r="K1" s="180" t="s">
        <v>75</v>
      </c>
      <c r="L1" s="180" t="s">
        <v>76</v>
      </c>
      <c r="M1" s="180" t="s">
        <v>77</v>
      </c>
      <c r="O1" s="162" t="s">
        <v>78</v>
      </c>
      <c r="P1" s="67">
        <v>26</v>
      </c>
      <c r="Q1" s="163" t="s">
        <v>103</v>
      </c>
      <c r="R1" s="164">
        <v>0.6333333333333333</v>
      </c>
      <c r="S1" s="165" t="s">
        <v>104</v>
      </c>
      <c r="T1" s="164">
        <f>R1+((P1)/(24*60*10))</f>
        <v>0.63513888888888881</v>
      </c>
    </row>
    <row r="2" spans="1:20" ht="16.8" x14ac:dyDescent="0.3">
      <c r="A2" s="178" t="s">
        <v>112</v>
      </c>
      <c r="B2" s="94" t="s">
        <v>121</v>
      </c>
      <c r="C2" s="94"/>
      <c r="D2" s="94">
        <v>4</v>
      </c>
      <c r="E2" s="176" t="s">
        <v>84</v>
      </c>
      <c r="F2" s="176" t="s">
        <v>79</v>
      </c>
      <c r="G2" s="176" t="s">
        <v>79</v>
      </c>
      <c r="H2" s="176" t="s">
        <v>79</v>
      </c>
      <c r="I2" s="94"/>
      <c r="J2" s="94">
        <f t="shared" ref="J2:J27" si="0">IF($E2="þ",$D2,IF($F2="þ",($D2*10),IF($G2="þ",($D2*100),IF($H2="þ",($D2*600),$I2))))</f>
        <v>4</v>
      </c>
      <c r="K2" s="94">
        <f t="shared" ref="K2:K7" si="1">J2+C2</f>
        <v>4</v>
      </c>
      <c r="L2" s="57" t="s">
        <v>79</v>
      </c>
      <c r="M2" s="177" t="str">
        <f t="shared" ref="M2:M15" si="2">IF(C2="","",IF(K2&lt;=$P$1,"þ","q"))</f>
        <v/>
      </c>
    </row>
    <row r="3" spans="1:20" ht="16.8" x14ac:dyDescent="0.3">
      <c r="A3" s="148" t="s">
        <v>112</v>
      </c>
      <c r="B3" s="56" t="s">
        <v>117</v>
      </c>
      <c r="C3" s="56"/>
      <c r="D3" s="56">
        <v>4</v>
      </c>
      <c r="E3" s="57" t="s">
        <v>79</v>
      </c>
      <c r="F3" s="57" t="s">
        <v>79</v>
      </c>
      <c r="G3" s="57" t="s">
        <v>79</v>
      </c>
      <c r="H3" s="57" t="s">
        <v>84</v>
      </c>
      <c r="I3" s="56"/>
      <c r="J3" s="56">
        <f t="shared" si="0"/>
        <v>2400</v>
      </c>
      <c r="K3" s="56">
        <f t="shared" si="1"/>
        <v>2400</v>
      </c>
      <c r="L3" s="176" t="s">
        <v>79</v>
      </c>
      <c r="M3" s="58" t="str">
        <f t="shared" ref="M3" si="3">IF(C3="","",IF(K3&lt;=$P$1,"þ","q"))</f>
        <v/>
      </c>
    </row>
    <row r="4" spans="1:20" ht="16.8" x14ac:dyDescent="0.3">
      <c r="A4" s="148" t="s">
        <v>112</v>
      </c>
      <c r="B4" s="56" t="s">
        <v>118</v>
      </c>
      <c r="C4" s="56"/>
      <c r="D4" s="56">
        <v>4</v>
      </c>
      <c r="E4" s="57" t="s">
        <v>84</v>
      </c>
      <c r="F4" s="57" t="s">
        <v>79</v>
      </c>
      <c r="G4" s="57" t="s">
        <v>79</v>
      </c>
      <c r="H4" s="57" t="s">
        <v>79</v>
      </c>
      <c r="I4" s="56"/>
      <c r="J4" s="56">
        <f>IF($E4="þ",$D4,IF($F4="þ",($D4*10),IF($G4="þ",($D4*100),IF($H4="þ",($D4*600),$I4))))</f>
        <v>4</v>
      </c>
      <c r="K4" s="56">
        <f t="shared" ref="K4:K6" si="4">J4+C4</f>
        <v>4</v>
      </c>
      <c r="L4" s="176" t="s">
        <v>79</v>
      </c>
      <c r="M4" s="58" t="str">
        <f t="shared" si="2"/>
        <v/>
      </c>
      <c r="O4" s="69"/>
    </row>
    <row r="5" spans="1:20" ht="16.8" x14ac:dyDescent="0.3">
      <c r="A5" s="148" t="s">
        <v>112</v>
      </c>
      <c r="B5" s="60" t="s">
        <v>119</v>
      </c>
      <c r="C5" s="61"/>
      <c r="D5" s="56">
        <v>4</v>
      </c>
      <c r="E5" s="57" t="s">
        <v>79</v>
      </c>
      <c r="F5" s="57" t="s">
        <v>84</v>
      </c>
      <c r="G5" s="57" t="s">
        <v>79</v>
      </c>
      <c r="H5" s="57" t="s">
        <v>79</v>
      </c>
      <c r="I5" s="56"/>
      <c r="J5" s="56">
        <f>IF($E5="þ",$D5,IF($F5="þ",($D5*10),IF($G5="þ",($D5*100),IF($H5="þ",($D5*600),$I5))))</f>
        <v>40</v>
      </c>
      <c r="K5" s="56">
        <f t="shared" ref="K5" si="5">J5+C5</f>
        <v>40</v>
      </c>
      <c r="L5" s="57" t="s">
        <v>79</v>
      </c>
      <c r="M5" s="58" t="str">
        <f t="shared" si="2"/>
        <v/>
      </c>
    </row>
    <row r="6" spans="1:20" ht="16.8" x14ac:dyDescent="0.3">
      <c r="A6" s="148" t="s">
        <v>112</v>
      </c>
      <c r="B6" s="60"/>
      <c r="C6" s="61"/>
      <c r="D6" s="56">
        <v>4</v>
      </c>
      <c r="E6" s="57" t="s">
        <v>79</v>
      </c>
      <c r="F6" s="57" t="s">
        <v>79</v>
      </c>
      <c r="G6" s="57" t="s">
        <v>79</v>
      </c>
      <c r="H6" s="57" t="s">
        <v>79</v>
      </c>
      <c r="I6" s="56"/>
      <c r="J6" s="56">
        <f t="shared" si="0"/>
        <v>0</v>
      </c>
      <c r="K6" s="56">
        <f t="shared" si="4"/>
        <v>0</v>
      </c>
      <c r="L6" s="176" t="s">
        <v>79</v>
      </c>
      <c r="M6" s="58" t="str">
        <f t="shared" si="2"/>
        <v/>
      </c>
    </row>
    <row r="7" spans="1:20" ht="16.8" x14ac:dyDescent="0.3">
      <c r="A7" s="149" t="s">
        <v>98</v>
      </c>
      <c r="B7" s="60" t="s">
        <v>109</v>
      </c>
      <c r="C7" s="61"/>
      <c r="D7" s="56">
        <v>5</v>
      </c>
      <c r="E7" s="57" t="s">
        <v>79</v>
      </c>
      <c r="F7" s="57" t="s">
        <v>79</v>
      </c>
      <c r="G7" s="57" t="s">
        <v>79</v>
      </c>
      <c r="H7" s="57" t="s">
        <v>79</v>
      </c>
      <c r="I7" s="56">
        <v>10</v>
      </c>
      <c r="J7" s="56">
        <f t="shared" si="0"/>
        <v>10</v>
      </c>
      <c r="K7" s="56">
        <f t="shared" si="1"/>
        <v>10</v>
      </c>
      <c r="L7" s="57" t="s">
        <v>79</v>
      </c>
      <c r="M7" s="58" t="str">
        <f t="shared" si="2"/>
        <v/>
      </c>
      <c r="O7" s="69"/>
      <c r="Q7" s="69"/>
    </row>
    <row r="8" spans="1:20" ht="16.8" x14ac:dyDescent="0.3">
      <c r="A8" s="149" t="s">
        <v>98</v>
      </c>
      <c r="B8" s="179" t="s">
        <v>309</v>
      </c>
      <c r="C8" s="175">
        <v>14</v>
      </c>
      <c r="D8" s="94">
        <v>5</v>
      </c>
      <c r="E8" s="176" t="s">
        <v>79</v>
      </c>
      <c r="F8" s="176" t="s">
        <v>84</v>
      </c>
      <c r="G8" s="57" t="s">
        <v>79</v>
      </c>
      <c r="H8" s="57" t="s">
        <v>79</v>
      </c>
      <c r="I8" s="56"/>
      <c r="J8" s="56">
        <f t="shared" si="0"/>
        <v>50</v>
      </c>
      <c r="K8" s="56">
        <f t="shared" ref="K8:K10" si="6">J8+C8</f>
        <v>64</v>
      </c>
      <c r="L8" s="57" t="s">
        <v>84</v>
      </c>
      <c r="M8" s="58" t="str">
        <f t="shared" si="2"/>
        <v>q</v>
      </c>
      <c r="O8" s="69"/>
      <c r="Q8" s="69"/>
    </row>
    <row r="9" spans="1:20" ht="16.8" x14ac:dyDescent="0.3">
      <c r="A9" s="149" t="s">
        <v>98</v>
      </c>
      <c r="B9" s="60" t="s">
        <v>310</v>
      </c>
      <c r="C9" s="61">
        <v>16</v>
      </c>
      <c r="D9" s="56">
        <v>5</v>
      </c>
      <c r="E9" s="57" t="s">
        <v>79</v>
      </c>
      <c r="F9" s="176" t="s">
        <v>79</v>
      </c>
      <c r="G9" s="57" t="s">
        <v>79</v>
      </c>
      <c r="H9" s="57" t="s">
        <v>79</v>
      </c>
      <c r="I9" s="56">
        <v>10</v>
      </c>
      <c r="J9" s="56">
        <f t="shared" si="0"/>
        <v>10</v>
      </c>
      <c r="K9" s="56">
        <f t="shared" ref="K9" si="7">J9+C9</f>
        <v>26</v>
      </c>
      <c r="L9" s="57" t="s">
        <v>84</v>
      </c>
      <c r="M9" s="58" t="str">
        <f t="shared" si="2"/>
        <v>þ</v>
      </c>
      <c r="O9" s="69"/>
      <c r="Q9" s="69"/>
    </row>
    <row r="10" spans="1:20" ht="16.8" x14ac:dyDescent="0.3">
      <c r="A10" s="149" t="s">
        <v>98</v>
      </c>
      <c r="B10" s="60" t="s">
        <v>111</v>
      </c>
      <c r="C10" s="61"/>
      <c r="D10" s="56">
        <v>5</v>
      </c>
      <c r="E10" s="57" t="s">
        <v>84</v>
      </c>
      <c r="F10" s="57" t="s">
        <v>79</v>
      </c>
      <c r="G10" s="57" t="s">
        <v>79</v>
      </c>
      <c r="H10" s="57" t="s">
        <v>79</v>
      </c>
      <c r="I10" s="56"/>
      <c r="J10" s="56">
        <f t="shared" si="0"/>
        <v>5</v>
      </c>
      <c r="K10" s="56">
        <f t="shared" si="6"/>
        <v>5</v>
      </c>
      <c r="L10" s="57" t="s">
        <v>79</v>
      </c>
      <c r="M10" s="58" t="str">
        <f t="shared" si="2"/>
        <v/>
      </c>
      <c r="O10" s="69"/>
      <c r="Q10" s="69"/>
    </row>
    <row r="11" spans="1:20" ht="16.8" x14ac:dyDescent="0.3">
      <c r="A11" s="149" t="s">
        <v>98</v>
      </c>
      <c r="B11" s="60" t="s">
        <v>325</v>
      </c>
      <c r="C11" s="61">
        <v>17</v>
      </c>
      <c r="D11" s="56">
        <v>5</v>
      </c>
      <c r="E11" s="57" t="s">
        <v>84</v>
      </c>
      <c r="F11" s="57" t="s">
        <v>79</v>
      </c>
      <c r="G11" s="57" t="s">
        <v>79</v>
      </c>
      <c r="H11" s="57" t="s">
        <v>79</v>
      </c>
      <c r="I11" s="56"/>
      <c r="J11" s="56">
        <f t="shared" si="0"/>
        <v>5</v>
      </c>
      <c r="K11" s="56">
        <f t="shared" ref="K11:K13" si="8">J11+C11</f>
        <v>22</v>
      </c>
      <c r="L11" s="57" t="s">
        <v>79</v>
      </c>
      <c r="M11" s="58" t="str">
        <f t="shared" ref="M11:M12" si="9">IF(C11="","",IF(K11&lt;=$P$1,"þ","q"))</f>
        <v>þ</v>
      </c>
      <c r="O11" s="69"/>
      <c r="Q11" s="69"/>
    </row>
    <row r="12" spans="1:20" ht="16.8" x14ac:dyDescent="0.3">
      <c r="A12" s="62" t="s">
        <v>99</v>
      </c>
      <c r="B12" s="60" t="s">
        <v>108</v>
      </c>
      <c r="C12" s="61"/>
      <c r="D12" s="56">
        <v>1</v>
      </c>
      <c r="E12" s="57" t="s">
        <v>79</v>
      </c>
      <c r="F12" s="57" t="s">
        <v>79</v>
      </c>
      <c r="G12" s="57" t="s">
        <v>79</v>
      </c>
      <c r="H12" s="57" t="s">
        <v>84</v>
      </c>
      <c r="I12" s="56"/>
      <c r="J12" s="56">
        <f t="shared" si="0"/>
        <v>600</v>
      </c>
      <c r="K12" s="56">
        <f t="shared" si="8"/>
        <v>600</v>
      </c>
      <c r="L12" s="57" t="s">
        <v>84</v>
      </c>
      <c r="M12" s="58" t="str">
        <f t="shared" si="9"/>
        <v/>
      </c>
      <c r="O12" s="69"/>
      <c r="Q12" s="69"/>
    </row>
    <row r="13" spans="1:20" ht="16.8" x14ac:dyDescent="0.3">
      <c r="A13" s="62" t="s">
        <v>99</v>
      </c>
      <c r="B13" s="60"/>
      <c r="C13" s="61"/>
      <c r="D13" s="56">
        <v>5</v>
      </c>
      <c r="E13" s="57" t="s">
        <v>79</v>
      </c>
      <c r="F13" s="57" t="s">
        <v>84</v>
      </c>
      <c r="G13" s="57" t="s">
        <v>79</v>
      </c>
      <c r="H13" s="57" t="s">
        <v>79</v>
      </c>
      <c r="I13" s="56"/>
      <c r="J13" s="56">
        <f t="shared" si="0"/>
        <v>50</v>
      </c>
      <c r="K13" s="56">
        <f t="shared" si="8"/>
        <v>50</v>
      </c>
      <c r="L13" s="57" t="s">
        <v>79</v>
      </c>
      <c r="M13" s="58" t="str">
        <f t="shared" si="2"/>
        <v/>
      </c>
      <c r="O13" s="69"/>
      <c r="Q13" s="69"/>
    </row>
    <row r="14" spans="1:20" ht="16.8" x14ac:dyDescent="0.3">
      <c r="A14" s="62" t="s">
        <v>99</v>
      </c>
      <c r="B14" s="60"/>
      <c r="C14" s="61"/>
      <c r="D14" s="56">
        <v>1</v>
      </c>
      <c r="E14" s="57" t="s">
        <v>79</v>
      </c>
      <c r="F14" s="57" t="s">
        <v>79</v>
      </c>
      <c r="G14" s="57" t="s">
        <v>79</v>
      </c>
      <c r="H14" s="57" t="s">
        <v>79</v>
      </c>
      <c r="I14" s="56">
        <v>10</v>
      </c>
      <c r="J14" s="56">
        <f t="shared" si="0"/>
        <v>10</v>
      </c>
      <c r="K14" s="56">
        <f t="shared" ref="K14" si="10">J14+C14</f>
        <v>10</v>
      </c>
      <c r="L14" s="57" t="s">
        <v>79</v>
      </c>
      <c r="M14" s="58" t="str">
        <f t="shared" si="2"/>
        <v/>
      </c>
      <c r="O14" s="69"/>
      <c r="Q14" s="69"/>
    </row>
    <row r="15" spans="1:20" ht="16.8" x14ac:dyDescent="0.3">
      <c r="A15" s="189" t="s">
        <v>139</v>
      </c>
      <c r="B15" s="171" t="s">
        <v>230</v>
      </c>
      <c r="C15" s="61">
        <v>1</v>
      </c>
      <c r="D15" s="56">
        <v>9</v>
      </c>
      <c r="E15" s="57" t="s">
        <v>79</v>
      </c>
      <c r="F15" s="57" t="s">
        <v>84</v>
      </c>
      <c r="G15" s="57" t="s">
        <v>79</v>
      </c>
      <c r="H15" s="57" t="s">
        <v>79</v>
      </c>
      <c r="I15" s="56"/>
      <c r="J15" s="56">
        <f t="shared" si="0"/>
        <v>90</v>
      </c>
      <c r="K15" s="56">
        <f t="shared" ref="K15" si="11">J15+C15</f>
        <v>91</v>
      </c>
      <c r="L15" s="57" t="s">
        <v>84</v>
      </c>
      <c r="M15" s="58" t="str">
        <f t="shared" si="2"/>
        <v>q</v>
      </c>
      <c r="O15" s="69"/>
      <c r="Q15" s="69"/>
    </row>
    <row r="16" spans="1:20" ht="16.8" x14ac:dyDescent="0.3">
      <c r="A16" s="189" t="s">
        <v>139</v>
      </c>
      <c r="B16" s="171"/>
      <c r="C16" s="61"/>
      <c r="D16" s="56">
        <v>9</v>
      </c>
      <c r="E16" s="57" t="s">
        <v>79</v>
      </c>
      <c r="F16" s="57" t="s">
        <v>79</v>
      </c>
      <c r="G16" s="57" t="s">
        <v>79</v>
      </c>
      <c r="H16" s="57" t="s">
        <v>79</v>
      </c>
      <c r="I16" s="56"/>
      <c r="J16" s="56">
        <f t="shared" si="0"/>
        <v>0</v>
      </c>
      <c r="K16" s="56">
        <f t="shared" ref="K16" si="12">J16+C16</f>
        <v>0</v>
      </c>
      <c r="L16" s="57" t="s">
        <v>79</v>
      </c>
      <c r="M16" s="58" t="str">
        <f t="shared" ref="M16" si="13">IF(C16="","",IF(K16&lt;=$P$1,"þ","q"))</f>
        <v/>
      </c>
    </row>
    <row r="17" spans="1:13" ht="16.8" x14ac:dyDescent="0.3">
      <c r="A17" s="217"/>
      <c r="B17" s="171"/>
      <c r="C17" s="61"/>
      <c r="D17" s="56"/>
      <c r="E17" s="57" t="s">
        <v>79</v>
      </c>
      <c r="F17" s="57" t="s">
        <v>79</v>
      </c>
      <c r="G17" s="57" t="s">
        <v>79</v>
      </c>
      <c r="H17" s="57" t="s">
        <v>79</v>
      </c>
      <c r="I17" s="56"/>
      <c r="J17" s="56">
        <f t="shared" si="0"/>
        <v>0</v>
      </c>
      <c r="K17" s="56">
        <f t="shared" ref="K17" si="14">J17+C17</f>
        <v>0</v>
      </c>
      <c r="L17" s="57" t="s">
        <v>79</v>
      </c>
      <c r="M17" s="58" t="str">
        <f t="shared" ref="M17:M18" si="15">IF(C17="","",IF(K17&lt;=$P$1,"þ","q"))</f>
        <v/>
      </c>
    </row>
    <row r="18" spans="1:13" ht="16.8" x14ac:dyDescent="0.3">
      <c r="A18" s="217"/>
      <c r="B18" s="185"/>
      <c r="C18" s="61"/>
      <c r="D18" s="56"/>
      <c r="E18" s="57" t="s">
        <v>79</v>
      </c>
      <c r="F18" s="57" t="s">
        <v>79</v>
      </c>
      <c r="G18" s="57" t="s">
        <v>79</v>
      </c>
      <c r="H18" s="57" t="s">
        <v>79</v>
      </c>
      <c r="I18" s="56"/>
      <c r="J18" s="56">
        <f t="shared" si="0"/>
        <v>0</v>
      </c>
      <c r="K18" s="56">
        <f t="shared" ref="K18" si="16">J18+C18</f>
        <v>0</v>
      </c>
      <c r="L18" s="57" t="s">
        <v>79</v>
      </c>
      <c r="M18" s="58" t="str">
        <f t="shared" si="15"/>
        <v/>
      </c>
    </row>
    <row r="19" spans="1:13" ht="16.8" x14ac:dyDescent="0.3">
      <c r="A19" s="218"/>
      <c r="B19" s="185"/>
      <c r="C19" s="61"/>
      <c r="D19" s="56"/>
      <c r="E19" s="57" t="s">
        <v>79</v>
      </c>
      <c r="F19" s="57" t="s">
        <v>79</v>
      </c>
      <c r="G19" s="57" t="s">
        <v>79</v>
      </c>
      <c r="H19" s="57" t="s">
        <v>79</v>
      </c>
      <c r="I19" s="56"/>
      <c r="J19" s="56">
        <f t="shared" si="0"/>
        <v>0</v>
      </c>
      <c r="K19" s="56">
        <f t="shared" ref="K19:K20" si="17">J19+C19</f>
        <v>0</v>
      </c>
      <c r="L19" s="57" t="s">
        <v>79</v>
      </c>
      <c r="M19" s="58" t="str">
        <f t="shared" ref="M19:M20" si="18">IF(C19="","",IF(K19&lt;=$P$1,"þ","q"))</f>
        <v/>
      </c>
    </row>
    <row r="20" spans="1:13" ht="16.8" x14ac:dyDescent="0.3">
      <c r="A20" s="218"/>
      <c r="B20" s="185"/>
      <c r="C20" s="61"/>
      <c r="D20" s="56"/>
      <c r="E20" s="57" t="s">
        <v>79</v>
      </c>
      <c r="F20" s="57" t="s">
        <v>79</v>
      </c>
      <c r="G20" s="57" t="s">
        <v>79</v>
      </c>
      <c r="H20" s="57" t="s">
        <v>79</v>
      </c>
      <c r="I20" s="56"/>
      <c r="J20" s="56">
        <f t="shared" si="0"/>
        <v>0</v>
      </c>
      <c r="K20" s="56">
        <f t="shared" si="17"/>
        <v>0</v>
      </c>
      <c r="L20" s="57" t="s">
        <v>79</v>
      </c>
      <c r="M20" s="58" t="str">
        <f t="shared" si="18"/>
        <v/>
      </c>
    </row>
    <row r="21" spans="1:13" ht="16.8" x14ac:dyDescent="0.3">
      <c r="A21" s="191"/>
      <c r="B21" s="185"/>
      <c r="C21" s="61"/>
      <c r="D21" s="56"/>
      <c r="E21" s="57" t="s">
        <v>79</v>
      </c>
      <c r="F21" s="57" t="s">
        <v>79</v>
      </c>
      <c r="G21" s="57" t="s">
        <v>79</v>
      </c>
      <c r="H21" s="57" t="s">
        <v>79</v>
      </c>
      <c r="I21" s="56"/>
      <c r="J21" s="56">
        <f t="shared" si="0"/>
        <v>0</v>
      </c>
      <c r="K21" s="56">
        <f t="shared" ref="K21:K25" si="19">J21+C21</f>
        <v>0</v>
      </c>
      <c r="L21" s="57" t="s">
        <v>79</v>
      </c>
      <c r="M21" s="58" t="str">
        <f t="shared" ref="M21:M25" si="20">IF(C21="","",IF(K21&lt;=$P$1,"þ","q"))</f>
        <v/>
      </c>
    </row>
    <row r="22" spans="1:13" ht="16.8" x14ac:dyDescent="0.3">
      <c r="A22" s="191"/>
      <c r="B22" s="185"/>
      <c r="C22" s="61"/>
      <c r="D22" s="56"/>
      <c r="E22" s="57" t="s">
        <v>79</v>
      </c>
      <c r="F22" s="57" t="s">
        <v>79</v>
      </c>
      <c r="G22" s="57" t="s">
        <v>79</v>
      </c>
      <c r="H22" s="57" t="s">
        <v>79</v>
      </c>
      <c r="I22" s="56"/>
      <c r="J22" s="56">
        <f t="shared" si="0"/>
        <v>0</v>
      </c>
      <c r="K22" s="56">
        <f t="shared" ref="K22" si="21">J22+C22</f>
        <v>0</v>
      </c>
      <c r="L22" s="57" t="s">
        <v>79</v>
      </c>
      <c r="M22" s="58" t="str">
        <f t="shared" ref="M22" si="22">IF(C22="","",IF(K22&lt;=$P$1,"þ","q"))</f>
        <v/>
      </c>
    </row>
    <row r="23" spans="1:13" ht="16.8" x14ac:dyDescent="0.3">
      <c r="A23" s="216"/>
      <c r="B23" s="171"/>
      <c r="C23" s="61"/>
      <c r="D23" s="56"/>
      <c r="E23" s="57" t="s">
        <v>79</v>
      </c>
      <c r="F23" s="57" t="s">
        <v>79</v>
      </c>
      <c r="G23" s="57" t="s">
        <v>79</v>
      </c>
      <c r="H23" s="57" t="s">
        <v>79</v>
      </c>
      <c r="I23" s="56"/>
      <c r="J23" s="56">
        <f t="shared" si="0"/>
        <v>0</v>
      </c>
      <c r="K23" s="56">
        <f t="shared" si="19"/>
        <v>0</v>
      </c>
      <c r="L23" s="57" t="s">
        <v>79</v>
      </c>
      <c r="M23" s="58" t="str">
        <f t="shared" si="20"/>
        <v/>
      </c>
    </row>
    <row r="24" spans="1:13" ht="16.8" x14ac:dyDescent="0.3">
      <c r="A24" s="216"/>
      <c r="B24" s="171"/>
      <c r="C24" s="61"/>
      <c r="D24" s="56"/>
      <c r="E24" s="57" t="s">
        <v>79</v>
      </c>
      <c r="F24" s="57" t="s">
        <v>79</v>
      </c>
      <c r="G24" s="57" t="s">
        <v>79</v>
      </c>
      <c r="H24" s="57" t="s">
        <v>79</v>
      </c>
      <c r="I24" s="56"/>
      <c r="J24" s="56">
        <f t="shared" si="0"/>
        <v>0</v>
      </c>
      <c r="K24" s="56">
        <f t="shared" si="19"/>
        <v>0</v>
      </c>
      <c r="L24" s="57" t="s">
        <v>79</v>
      </c>
      <c r="M24" s="58" t="str">
        <f t="shared" si="20"/>
        <v/>
      </c>
    </row>
    <row r="25" spans="1:13" ht="16.8" x14ac:dyDescent="0.3">
      <c r="A25" s="190"/>
      <c r="B25" s="171"/>
      <c r="C25" s="61"/>
      <c r="D25" s="56"/>
      <c r="E25" s="57" t="s">
        <v>79</v>
      </c>
      <c r="F25" s="57" t="s">
        <v>79</v>
      </c>
      <c r="G25" s="57" t="s">
        <v>79</v>
      </c>
      <c r="H25" s="57" t="s">
        <v>79</v>
      </c>
      <c r="I25" s="56"/>
      <c r="J25" s="56">
        <f t="shared" si="0"/>
        <v>0</v>
      </c>
      <c r="K25" s="56">
        <f t="shared" si="19"/>
        <v>0</v>
      </c>
      <c r="L25" s="57" t="s">
        <v>79</v>
      </c>
      <c r="M25" s="58" t="str">
        <f t="shared" si="20"/>
        <v/>
      </c>
    </row>
    <row r="26" spans="1:13" ht="16.8" x14ac:dyDescent="0.3">
      <c r="A26" s="190"/>
      <c r="B26" s="185"/>
      <c r="C26" s="61"/>
      <c r="D26" s="56"/>
      <c r="E26" s="57" t="s">
        <v>79</v>
      </c>
      <c r="F26" s="57" t="s">
        <v>79</v>
      </c>
      <c r="G26" s="57" t="s">
        <v>79</v>
      </c>
      <c r="H26" s="57" t="s">
        <v>79</v>
      </c>
      <c r="I26" s="56"/>
      <c r="J26" s="56">
        <f t="shared" si="0"/>
        <v>0</v>
      </c>
      <c r="K26" s="56">
        <f t="shared" ref="K26" si="23">J26+C26</f>
        <v>0</v>
      </c>
      <c r="L26" s="57" t="s">
        <v>79</v>
      </c>
      <c r="M26" s="58" t="str">
        <f t="shared" ref="M26" si="24">IF(C26="","",IF(K26&lt;=$P$1,"þ","q"))</f>
        <v/>
      </c>
    </row>
    <row r="27" spans="1:13" ht="16.8" x14ac:dyDescent="0.3">
      <c r="A27" s="268" t="s">
        <v>288</v>
      </c>
      <c r="B27" s="185" t="s">
        <v>289</v>
      </c>
      <c r="C27" s="61">
        <v>1</v>
      </c>
      <c r="D27" s="56">
        <v>5</v>
      </c>
      <c r="E27" s="57" t="s">
        <v>79</v>
      </c>
      <c r="F27" s="57" t="s">
        <v>84</v>
      </c>
      <c r="G27" s="57" t="s">
        <v>79</v>
      </c>
      <c r="H27" s="57" t="s">
        <v>79</v>
      </c>
      <c r="I27" s="56"/>
      <c r="J27" s="56">
        <f t="shared" si="0"/>
        <v>50</v>
      </c>
      <c r="K27" s="56">
        <f t="shared" ref="K27" si="25">J27+C27</f>
        <v>51</v>
      </c>
      <c r="L27" s="57" t="s">
        <v>79</v>
      </c>
      <c r="M27" s="58" t="str">
        <f t="shared" ref="M27" si="26">IF(C27="","",IF(K27&lt;=$P$1,"þ","q"))</f>
        <v>q</v>
      </c>
    </row>
  </sheetData>
  <sortState xmlns:xlrd2="http://schemas.microsoft.com/office/spreadsheetml/2017/richdata2" ref="A2:M15">
    <sortCondition ref="A2:A15"/>
    <sortCondition ref="C2:C15"/>
  </sortState>
  <conditionalFormatting sqref="M2 G7:H7 M7 M16:M18 L16:L27">
    <cfRule type="cellIs" dxfId="604" priority="1498" stopIfTrue="1" operator="equal">
      <formula>"þ"</formula>
    </cfRule>
  </conditionalFormatting>
  <conditionalFormatting sqref="K2 K7">
    <cfRule type="cellIs" dxfId="603" priority="1497" operator="lessThan">
      <formula>$P$1</formula>
    </cfRule>
  </conditionalFormatting>
  <conditionalFormatting sqref="E7">
    <cfRule type="cellIs" dxfId="602" priority="1398" stopIfTrue="1" operator="equal">
      <formula>"þ"</formula>
    </cfRule>
  </conditionalFormatting>
  <conditionalFormatting sqref="E7">
    <cfRule type="cellIs" dxfId="601" priority="1397" stopIfTrue="1" operator="equal">
      <formula>"þ"</formula>
    </cfRule>
  </conditionalFormatting>
  <conditionalFormatting sqref="M11">
    <cfRule type="cellIs" dxfId="600" priority="1379" stopIfTrue="1" operator="equal">
      <formula>"þ"</formula>
    </cfRule>
  </conditionalFormatting>
  <conditionalFormatting sqref="M11">
    <cfRule type="cellIs" dxfId="599" priority="1378" stopIfTrue="1" operator="equal">
      <formula>"þ"</formula>
    </cfRule>
  </conditionalFormatting>
  <conditionalFormatting sqref="K11">
    <cfRule type="cellIs" dxfId="598" priority="1377" operator="lessThan">
      <formula>$P$1</formula>
    </cfRule>
  </conditionalFormatting>
  <conditionalFormatting sqref="E11">
    <cfRule type="cellIs" dxfId="597" priority="1376" stopIfTrue="1" operator="equal">
      <formula>"þ"</formula>
    </cfRule>
  </conditionalFormatting>
  <conditionalFormatting sqref="E11">
    <cfRule type="cellIs" dxfId="596" priority="1375" stopIfTrue="1" operator="equal">
      <formula>"þ"</formula>
    </cfRule>
  </conditionalFormatting>
  <conditionalFormatting sqref="G11">
    <cfRule type="cellIs" dxfId="595" priority="1374" stopIfTrue="1" operator="equal">
      <formula>"þ"</formula>
    </cfRule>
  </conditionalFormatting>
  <conditionalFormatting sqref="G11">
    <cfRule type="cellIs" dxfId="594" priority="1373" stopIfTrue="1" operator="equal">
      <formula>"þ"</formula>
    </cfRule>
  </conditionalFormatting>
  <conditionalFormatting sqref="M4">
    <cfRule type="cellIs" dxfId="593" priority="1311" stopIfTrue="1" operator="equal">
      <formula>"þ"</formula>
    </cfRule>
  </conditionalFormatting>
  <conditionalFormatting sqref="K4">
    <cfRule type="cellIs" dxfId="592" priority="1310" operator="lessThan">
      <formula>$P$1</formula>
    </cfRule>
  </conditionalFormatting>
  <conditionalFormatting sqref="M14">
    <cfRule type="cellIs" dxfId="591" priority="1027" stopIfTrue="1" operator="equal">
      <formula>"þ"</formula>
    </cfRule>
  </conditionalFormatting>
  <conditionalFormatting sqref="M14">
    <cfRule type="cellIs" dxfId="590" priority="1026" stopIfTrue="1" operator="equal">
      <formula>"þ"</formula>
    </cfRule>
  </conditionalFormatting>
  <conditionalFormatting sqref="E14 H14">
    <cfRule type="cellIs" dxfId="589" priority="1024" stopIfTrue="1" operator="equal">
      <formula>"þ"</formula>
    </cfRule>
  </conditionalFormatting>
  <conditionalFormatting sqref="E14 H14">
    <cfRule type="cellIs" dxfId="588" priority="1023" stopIfTrue="1" operator="equal">
      <formula>"þ"</formula>
    </cfRule>
  </conditionalFormatting>
  <conditionalFormatting sqref="F14">
    <cfRule type="cellIs" dxfId="587" priority="1020" stopIfTrue="1" operator="equal">
      <formula>"þ"</formula>
    </cfRule>
  </conditionalFormatting>
  <conditionalFormatting sqref="K14">
    <cfRule type="cellIs" dxfId="586" priority="1025" operator="lessThan">
      <formula>$P$1</formula>
    </cfRule>
  </conditionalFormatting>
  <conditionalFormatting sqref="G14">
    <cfRule type="cellIs" dxfId="585" priority="1022" stopIfTrue="1" operator="equal">
      <formula>"þ"</formula>
    </cfRule>
  </conditionalFormatting>
  <conditionalFormatting sqref="G14">
    <cfRule type="cellIs" dxfId="584" priority="1021" stopIfTrue="1" operator="equal">
      <formula>"þ"</formula>
    </cfRule>
  </conditionalFormatting>
  <conditionalFormatting sqref="F14">
    <cfRule type="cellIs" dxfId="583" priority="1019" stopIfTrue="1" operator="equal">
      <formula>"þ"</formula>
    </cfRule>
  </conditionalFormatting>
  <conditionalFormatting sqref="L14">
    <cfRule type="cellIs" dxfId="582" priority="1018" stopIfTrue="1" operator="equal">
      <formula>"þ"</formula>
    </cfRule>
  </conditionalFormatting>
  <conditionalFormatting sqref="M12">
    <cfRule type="cellIs" dxfId="581" priority="1015" stopIfTrue="1" operator="equal">
      <formula>"þ"</formula>
    </cfRule>
  </conditionalFormatting>
  <conditionalFormatting sqref="M12">
    <cfRule type="cellIs" dxfId="580" priority="1014" stopIfTrue="1" operator="equal">
      <formula>"þ"</formula>
    </cfRule>
  </conditionalFormatting>
  <conditionalFormatting sqref="K12">
    <cfRule type="cellIs" dxfId="579" priority="1013" operator="lessThan">
      <formula>$P$1</formula>
    </cfRule>
  </conditionalFormatting>
  <conditionalFormatting sqref="H12">
    <cfRule type="cellIs" dxfId="578" priority="1012" stopIfTrue="1" operator="equal">
      <formula>"þ"</formula>
    </cfRule>
  </conditionalFormatting>
  <conditionalFormatting sqref="H12">
    <cfRule type="cellIs" dxfId="577" priority="1011" stopIfTrue="1" operator="equal">
      <formula>"þ"</formula>
    </cfRule>
  </conditionalFormatting>
  <conditionalFormatting sqref="G12">
    <cfRule type="cellIs" dxfId="576" priority="1010" stopIfTrue="1" operator="equal">
      <formula>"þ"</formula>
    </cfRule>
  </conditionalFormatting>
  <conditionalFormatting sqref="G12">
    <cfRule type="cellIs" dxfId="575" priority="1009" stopIfTrue="1" operator="equal">
      <formula>"þ"</formula>
    </cfRule>
  </conditionalFormatting>
  <conditionalFormatting sqref="F11">
    <cfRule type="cellIs" dxfId="574" priority="999" stopIfTrue="1" operator="equal">
      <formula>"þ"</formula>
    </cfRule>
  </conditionalFormatting>
  <conditionalFormatting sqref="F11">
    <cfRule type="cellIs" dxfId="573" priority="998" stopIfTrue="1" operator="equal">
      <formula>"þ"</formula>
    </cfRule>
  </conditionalFormatting>
  <conditionalFormatting sqref="H11">
    <cfRule type="cellIs" dxfId="572" priority="996" stopIfTrue="1" operator="equal">
      <formula>"þ"</formula>
    </cfRule>
  </conditionalFormatting>
  <conditionalFormatting sqref="H11">
    <cfRule type="cellIs" dxfId="571" priority="997" stopIfTrue="1" operator="equal">
      <formula>"þ"</formula>
    </cfRule>
  </conditionalFormatting>
  <conditionalFormatting sqref="H18">
    <cfRule type="cellIs" dxfId="570" priority="943" stopIfTrue="1" operator="equal">
      <formula>"þ"</formula>
    </cfRule>
  </conditionalFormatting>
  <conditionalFormatting sqref="K18">
    <cfRule type="cellIs" dxfId="569" priority="944" operator="lessThan">
      <formula>$P$1</formula>
    </cfRule>
  </conditionalFormatting>
  <conditionalFormatting sqref="H18">
    <cfRule type="cellIs" dxfId="568" priority="942" stopIfTrue="1" operator="equal">
      <formula>"þ"</formula>
    </cfRule>
  </conditionalFormatting>
  <conditionalFormatting sqref="G18">
    <cfRule type="cellIs" dxfId="567" priority="941" stopIfTrue="1" operator="equal">
      <formula>"þ"</formula>
    </cfRule>
  </conditionalFormatting>
  <conditionalFormatting sqref="G18">
    <cfRule type="cellIs" dxfId="566" priority="940" stopIfTrue="1" operator="equal">
      <formula>"þ"</formula>
    </cfRule>
  </conditionalFormatting>
  <conditionalFormatting sqref="E18">
    <cfRule type="cellIs" dxfId="565" priority="939" stopIfTrue="1" operator="equal">
      <formula>"þ"</formula>
    </cfRule>
  </conditionalFormatting>
  <conditionalFormatting sqref="E18">
    <cfRule type="cellIs" dxfId="564" priority="938" stopIfTrue="1" operator="equal">
      <formula>"þ"</formula>
    </cfRule>
  </conditionalFormatting>
  <conditionalFormatting sqref="H21">
    <cfRule type="cellIs" dxfId="563" priority="928" stopIfTrue="1" operator="equal">
      <formula>"þ"</formula>
    </cfRule>
  </conditionalFormatting>
  <conditionalFormatting sqref="K21">
    <cfRule type="cellIs" dxfId="562" priority="929" operator="lessThan">
      <formula>$P$1</formula>
    </cfRule>
  </conditionalFormatting>
  <conditionalFormatting sqref="H21">
    <cfRule type="cellIs" dxfId="561" priority="927" stopIfTrue="1" operator="equal">
      <formula>"þ"</formula>
    </cfRule>
  </conditionalFormatting>
  <conditionalFormatting sqref="G6:H6 M6">
    <cfRule type="cellIs" dxfId="560" priority="910" stopIfTrue="1" operator="equal">
      <formula>"þ"</formula>
    </cfRule>
  </conditionalFormatting>
  <conditionalFormatting sqref="K6">
    <cfRule type="cellIs" dxfId="559" priority="909" operator="lessThan">
      <formula>$P$1</formula>
    </cfRule>
  </conditionalFormatting>
  <conditionalFormatting sqref="E6:F6">
    <cfRule type="cellIs" dxfId="558" priority="908" stopIfTrue="1" operator="equal">
      <formula>"þ"</formula>
    </cfRule>
  </conditionalFormatting>
  <conditionalFormatting sqref="E6:F6">
    <cfRule type="cellIs" dxfId="557" priority="907" stopIfTrue="1" operator="equal">
      <formula>"þ"</formula>
    </cfRule>
  </conditionalFormatting>
  <conditionalFormatting sqref="E21">
    <cfRule type="cellIs" dxfId="556" priority="894" stopIfTrue="1" operator="equal">
      <formula>"þ"</formula>
    </cfRule>
  </conditionalFormatting>
  <conditionalFormatting sqref="E21">
    <cfRule type="cellIs" dxfId="555" priority="893" stopIfTrue="1" operator="equal">
      <formula>"þ"</formula>
    </cfRule>
  </conditionalFormatting>
  <conditionalFormatting sqref="L11">
    <cfRule type="cellIs" dxfId="554" priority="873" stopIfTrue="1" operator="equal">
      <formula>"þ"</formula>
    </cfRule>
  </conditionalFormatting>
  <conditionalFormatting sqref="L11">
    <cfRule type="cellIs" dxfId="553" priority="872" stopIfTrue="1" operator="equal">
      <formula>"þ"</formula>
    </cfRule>
  </conditionalFormatting>
  <conditionalFormatting sqref="M8 H8">
    <cfRule type="cellIs" dxfId="552" priority="871" stopIfTrue="1" operator="equal">
      <formula>"þ"</formula>
    </cfRule>
  </conditionalFormatting>
  <conditionalFormatting sqref="K8">
    <cfRule type="cellIs" dxfId="551" priority="870" operator="lessThan">
      <formula>$P$1</formula>
    </cfRule>
  </conditionalFormatting>
  <conditionalFormatting sqref="P1">
    <cfRule type="cellIs" dxfId="550" priority="844" operator="equal">
      <formula>0</formula>
    </cfRule>
  </conditionalFormatting>
  <conditionalFormatting sqref="T1">
    <cfRule type="cellIs" dxfId="549" priority="842" operator="equal">
      <formula>0</formula>
    </cfRule>
  </conditionalFormatting>
  <conditionalFormatting sqref="R1">
    <cfRule type="cellIs" dxfId="548" priority="843" operator="equal">
      <formula>0</formula>
    </cfRule>
  </conditionalFormatting>
  <conditionalFormatting sqref="H10">
    <cfRule type="cellIs" dxfId="547" priority="839" stopIfTrue="1" operator="equal">
      <formula>"þ"</formula>
    </cfRule>
  </conditionalFormatting>
  <conditionalFormatting sqref="H10">
    <cfRule type="cellIs" dxfId="546" priority="838" stopIfTrue="1" operator="equal">
      <formula>"þ"</formula>
    </cfRule>
  </conditionalFormatting>
  <conditionalFormatting sqref="M10">
    <cfRule type="cellIs" dxfId="545" priority="841" stopIfTrue="1" operator="equal">
      <formula>"þ"</formula>
    </cfRule>
  </conditionalFormatting>
  <conditionalFormatting sqref="K10">
    <cfRule type="cellIs" dxfId="544" priority="840" operator="lessThan">
      <formula>$P$1</formula>
    </cfRule>
  </conditionalFormatting>
  <conditionalFormatting sqref="G10">
    <cfRule type="cellIs" dxfId="543" priority="837" stopIfTrue="1" operator="equal">
      <formula>"þ"</formula>
    </cfRule>
  </conditionalFormatting>
  <conditionalFormatting sqref="G10">
    <cfRule type="cellIs" dxfId="542" priority="836" stopIfTrue="1" operator="equal">
      <formula>"þ"</formula>
    </cfRule>
  </conditionalFormatting>
  <conditionalFormatting sqref="E10">
    <cfRule type="cellIs" dxfId="541" priority="835" stopIfTrue="1" operator="equal">
      <formula>"þ"</formula>
    </cfRule>
  </conditionalFormatting>
  <conditionalFormatting sqref="E10">
    <cfRule type="cellIs" dxfId="540" priority="834" stopIfTrue="1" operator="equal">
      <formula>"þ"</formula>
    </cfRule>
  </conditionalFormatting>
  <conditionalFormatting sqref="M9 H9">
    <cfRule type="cellIs" dxfId="539" priority="815" stopIfTrue="1" operator="equal">
      <formula>"þ"</formula>
    </cfRule>
  </conditionalFormatting>
  <conditionalFormatting sqref="K9">
    <cfRule type="cellIs" dxfId="538" priority="814" operator="lessThan">
      <formula>$P$1</formula>
    </cfRule>
  </conditionalFormatting>
  <conditionalFormatting sqref="E9">
    <cfRule type="cellIs" dxfId="537" priority="813" stopIfTrue="1" operator="equal">
      <formula>"þ"</formula>
    </cfRule>
  </conditionalFormatting>
  <conditionalFormatting sqref="E9">
    <cfRule type="cellIs" dxfId="536" priority="812" stopIfTrue="1" operator="equal">
      <formula>"þ"</formula>
    </cfRule>
  </conditionalFormatting>
  <conditionalFormatting sqref="M13">
    <cfRule type="cellIs" dxfId="535" priority="757" stopIfTrue="1" operator="equal">
      <formula>"þ"</formula>
    </cfRule>
  </conditionalFormatting>
  <conditionalFormatting sqref="M13">
    <cfRule type="cellIs" dxfId="534" priority="756" stopIfTrue="1" operator="equal">
      <formula>"þ"</formula>
    </cfRule>
  </conditionalFormatting>
  <conditionalFormatting sqref="K13">
    <cfRule type="cellIs" dxfId="533" priority="755" operator="lessThan">
      <formula>$P$1</formula>
    </cfRule>
  </conditionalFormatting>
  <conditionalFormatting sqref="E13 H13">
    <cfRule type="cellIs" dxfId="532" priority="754" stopIfTrue="1" operator="equal">
      <formula>"þ"</formula>
    </cfRule>
  </conditionalFormatting>
  <conditionalFormatting sqref="E13 H13">
    <cfRule type="cellIs" dxfId="531" priority="753" stopIfTrue="1" operator="equal">
      <formula>"þ"</formula>
    </cfRule>
  </conditionalFormatting>
  <conditionalFormatting sqref="G13">
    <cfRule type="cellIs" dxfId="530" priority="752" stopIfTrue="1" operator="equal">
      <formula>"þ"</formula>
    </cfRule>
  </conditionalFormatting>
  <conditionalFormatting sqref="G13">
    <cfRule type="cellIs" dxfId="529" priority="751" stopIfTrue="1" operator="equal">
      <formula>"þ"</formula>
    </cfRule>
  </conditionalFormatting>
  <conditionalFormatting sqref="F13">
    <cfRule type="cellIs" dxfId="528" priority="750" stopIfTrue="1" operator="equal">
      <formula>"þ"</formula>
    </cfRule>
  </conditionalFormatting>
  <conditionalFormatting sqref="F13">
    <cfRule type="cellIs" dxfId="527" priority="749" stopIfTrue="1" operator="equal">
      <formula>"þ"</formula>
    </cfRule>
  </conditionalFormatting>
  <conditionalFormatting sqref="L13">
    <cfRule type="cellIs" dxfId="526" priority="748" stopIfTrue="1" operator="equal">
      <formula>"þ"</formula>
    </cfRule>
  </conditionalFormatting>
  <conditionalFormatting sqref="L13">
    <cfRule type="cellIs" dxfId="525" priority="747" stopIfTrue="1" operator="equal">
      <formula>"þ"</formula>
    </cfRule>
  </conditionalFormatting>
  <conditionalFormatting sqref="H5">
    <cfRule type="cellIs" dxfId="524" priority="732" stopIfTrue="1" operator="equal">
      <formula>"þ"</formula>
    </cfRule>
  </conditionalFormatting>
  <conditionalFormatting sqref="H5">
    <cfRule type="cellIs" dxfId="523" priority="731" stopIfTrue="1" operator="equal">
      <formula>"þ"</formula>
    </cfRule>
  </conditionalFormatting>
  <conditionalFormatting sqref="M5">
    <cfRule type="cellIs" dxfId="522" priority="734" stopIfTrue="1" operator="equal">
      <formula>"þ"</formula>
    </cfRule>
  </conditionalFormatting>
  <conditionalFormatting sqref="K5">
    <cfRule type="cellIs" dxfId="521" priority="733" operator="lessThan">
      <formula>$P$1</formula>
    </cfRule>
  </conditionalFormatting>
  <conditionalFormatting sqref="G5">
    <cfRule type="cellIs" dxfId="520" priority="730" stopIfTrue="1" operator="equal">
      <formula>"þ"</formula>
    </cfRule>
  </conditionalFormatting>
  <conditionalFormatting sqref="G5">
    <cfRule type="cellIs" dxfId="519" priority="729" stopIfTrue="1" operator="equal">
      <formula>"þ"</formula>
    </cfRule>
  </conditionalFormatting>
  <conditionalFormatting sqref="E5">
    <cfRule type="cellIs" dxfId="518" priority="728" stopIfTrue="1" operator="equal">
      <formula>"þ"</formula>
    </cfRule>
  </conditionalFormatting>
  <conditionalFormatting sqref="E5">
    <cfRule type="cellIs" dxfId="517" priority="727" stopIfTrue="1" operator="equal">
      <formula>"þ"</formula>
    </cfRule>
  </conditionalFormatting>
  <conditionalFormatting sqref="M15">
    <cfRule type="cellIs" dxfId="516" priority="687" stopIfTrue="1" operator="equal">
      <formula>"þ"</formula>
    </cfRule>
  </conditionalFormatting>
  <conditionalFormatting sqref="M15">
    <cfRule type="cellIs" dxfId="515" priority="686" stopIfTrue="1" operator="equal">
      <formula>"þ"</formula>
    </cfRule>
  </conditionalFormatting>
  <conditionalFormatting sqref="E15 H15">
    <cfRule type="cellIs" dxfId="514" priority="684" stopIfTrue="1" operator="equal">
      <formula>"þ"</formula>
    </cfRule>
  </conditionalFormatting>
  <conditionalFormatting sqref="E15 H15">
    <cfRule type="cellIs" dxfId="513" priority="683" stopIfTrue="1" operator="equal">
      <formula>"þ"</formula>
    </cfRule>
  </conditionalFormatting>
  <conditionalFormatting sqref="K15">
    <cfRule type="cellIs" dxfId="512" priority="685" operator="lessThan">
      <formula>$P$1</formula>
    </cfRule>
  </conditionalFormatting>
  <conditionalFormatting sqref="G15">
    <cfRule type="cellIs" dxfId="511" priority="682" stopIfTrue="1" operator="equal">
      <formula>"þ"</formula>
    </cfRule>
  </conditionalFormatting>
  <conditionalFormatting sqref="G15">
    <cfRule type="cellIs" dxfId="510" priority="681" stopIfTrue="1" operator="equal">
      <formula>"þ"</formula>
    </cfRule>
  </conditionalFormatting>
  <conditionalFormatting sqref="F15">
    <cfRule type="cellIs" dxfId="509" priority="673" stopIfTrue="1" operator="equal">
      <formula>"þ"</formula>
    </cfRule>
  </conditionalFormatting>
  <conditionalFormatting sqref="F15">
    <cfRule type="cellIs" dxfId="508" priority="672" stopIfTrue="1" operator="equal">
      <formula>"þ"</formula>
    </cfRule>
  </conditionalFormatting>
  <conditionalFormatting sqref="E10">
    <cfRule type="cellIs" dxfId="507" priority="654" stopIfTrue="1" operator="equal">
      <formula>"þ"</formula>
    </cfRule>
  </conditionalFormatting>
  <conditionalFormatting sqref="E10">
    <cfRule type="cellIs" dxfId="506" priority="653" stopIfTrue="1" operator="equal">
      <formula>"þ"</formula>
    </cfRule>
  </conditionalFormatting>
  <conditionalFormatting sqref="H16">
    <cfRule type="cellIs" dxfId="505" priority="623" stopIfTrue="1" operator="equal">
      <formula>"þ"</formula>
    </cfRule>
  </conditionalFormatting>
  <conditionalFormatting sqref="K16">
    <cfRule type="cellIs" dxfId="504" priority="624" operator="lessThan">
      <formula>$P$1</formula>
    </cfRule>
  </conditionalFormatting>
  <conditionalFormatting sqref="H16">
    <cfRule type="cellIs" dxfId="503" priority="622" stopIfTrue="1" operator="equal">
      <formula>"þ"</formula>
    </cfRule>
  </conditionalFormatting>
  <conditionalFormatting sqref="G16">
    <cfRule type="cellIs" dxfId="502" priority="621" stopIfTrue="1" operator="equal">
      <formula>"þ"</formula>
    </cfRule>
  </conditionalFormatting>
  <conditionalFormatting sqref="G16">
    <cfRule type="cellIs" dxfId="501" priority="620" stopIfTrue="1" operator="equal">
      <formula>"þ"</formula>
    </cfRule>
  </conditionalFormatting>
  <conditionalFormatting sqref="H23">
    <cfRule type="cellIs" dxfId="500" priority="611" stopIfTrue="1" operator="equal">
      <formula>"þ"</formula>
    </cfRule>
  </conditionalFormatting>
  <conditionalFormatting sqref="K23">
    <cfRule type="cellIs" dxfId="499" priority="612" operator="lessThan">
      <formula>$P$1</formula>
    </cfRule>
  </conditionalFormatting>
  <conditionalFormatting sqref="H23">
    <cfRule type="cellIs" dxfId="498" priority="610" stopIfTrue="1" operator="equal">
      <formula>"þ"</formula>
    </cfRule>
  </conditionalFormatting>
  <conditionalFormatting sqref="G23">
    <cfRule type="cellIs" dxfId="497" priority="609" stopIfTrue="1" operator="equal">
      <formula>"þ"</formula>
    </cfRule>
  </conditionalFormatting>
  <conditionalFormatting sqref="G23">
    <cfRule type="cellIs" dxfId="496" priority="608" stopIfTrue="1" operator="equal">
      <formula>"þ"</formula>
    </cfRule>
  </conditionalFormatting>
  <conditionalFormatting sqref="F23">
    <cfRule type="cellIs" dxfId="495" priority="605" stopIfTrue="1" operator="equal">
      <formula>"þ"</formula>
    </cfRule>
  </conditionalFormatting>
  <conditionalFormatting sqref="F23">
    <cfRule type="cellIs" dxfId="494" priority="604" stopIfTrue="1" operator="equal">
      <formula>"þ"</formula>
    </cfRule>
  </conditionalFormatting>
  <conditionalFormatting sqref="F23">
    <cfRule type="cellIs" dxfId="493" priority="603" stopIfTrue="1" operator="equal">
      <formula>"þ"</formula>
    </cfRule>
  </conditionalFormatting>
  <conditionalFormatting sqref="F23">
    <cfRule type="cellIs" dxfId="492" priority="602" stopIfTrue="1" operator="equal">
      <formula>"þ"</formula>
    </cfRule>
  </conditionalFormatting>
  <conditionalFormatting sqref="F23">
    <cfRule type="cellIs" dxfId="491" priority="601" stopIfTrue="1" operator="equal">
      <formula>"þ"</formula>
    </cfRule>
  </conditionalFormatting>
  <conditionalFormatting sqref="F23">
    <cfRule type="cellIs" dxfId="490" priority="600" stopIfTrue="1" operator="equal">
      <formula>"þ"</formula>
    </cfRule>
  </conditionalFormatting>
  <conditionalFormatting sqref="H17 E17">
    <cfRule type="cellIs" dxfId="489" priority="571" stopIfTrue="1" operator="equal">
      <formula>"þ"</formula>
    </cfRule>
  </conditionalFormatting>
  <conditionalFormatting sqref="K17">
    <cfRule type="cellIs" dxfId="488" priority="572" operator="lessThan">
      <formula>$P$1</formula>
    </cfRule>
  </conditionalFormatting>
  <conditionalFormatting sqref="H17 E17">
    <cfRule type="cellIs" dxfId="487" priority="570" stopIfTrue="1" operator="equal">
      <formula>"þ"</formula>
    </cfRule>
  </conditionalFormatting>
  <conditionalFormatting sqref="G17">
    <cfRule type="cellIs" dxfId="486" priority="569" stopIfTrue="1" operator="equal">
      <formula>"þ"</formula>
    </cfRule>
  </conditionalFormatting>
  <conditionalFormatting sqref="G17">
    <cfRule type="cellIs" dxfId="485" priority="568" stopIfTrue="1" operator="equal">
      <formula>"þ"</formula>
    </cfRule>
  </conditionalFormatting>
  <conditionalFormatting sqref="E17">
    <cfRule type="cellIs" dxfId="484" priority="565" stopIfTrue="1" operator="equal">
      <formula>"þ"</formula>
    </cfRule>
  </conditionalFormatting>
  <conditionalFormatting sqref="E17">
    <cfRule type="cellIs" dxfId="483" priority="566" stopIfTrue="1" operator="equal">
      <formula>"þ"</formula>
    </cfRule>
  </conditionalFormatting>
  <conditionalFormatting sqref="H24">
    <cfRule type="cellIs" dxfId="482" priority="555" stopIfTrue="1" operator="equal">
      <formula>"þ"</formula>
    </cfRule>
  </conditionalFormatting>
  <conditionalFormatting sqref="K24">
    <cfRule type="cellIs" dxfId="481" priority="556" operator="lessThan">
      <formula>$P$1</formula>
    </cfRule>
  </conditionalFormatting>
  <conditionalFormatting sqref="H24">
    <cfRule type="cellIs" dxfId="480" priority="554" stopIfTrue="1" operator="equal">
      <formula>"þ"</formula>
    </cfRule>
  </conditionalFormatting>
  <conditionalFormatting sqref="E24">
    <cfRule type="cellIs" dxfId="479" priority="551" stopIfTrue="1" operator="equal">
      <formula>"þ"</formula>
    </cfRule>
  </conditionalFormatting>
  <conditionalFormatting sqref="E24">
    <cfRule type="cellIs" dxfId="478" priority="550" stopIfTrue="1" operator="equal">
      <formula>"þ"</formula>
    </cfRule>
  </conditionalFormatting>
  <conditionalFormatting sqref="F24">
    <cfRule type="cellIs" dxfId="477" priority="549" stopIfTrue="1" operator="equal">
      <formula>"þ"</formula>
    </cfRule>
  </conditionalFormatting>
  <conditionalFormatting sqref="F24">
    <cfRule type="cellIs" dxfId="476" priority="548" stopIfTrue="1" operator="equal">
      <formula>"þ"</formula>
    </cfRule>
  </conditionalFormatting>
  <conditionalFormatting sqref="F24">
    <cfRule type="cellIs" dxfId="475" priority="547" stopIfTrue="1" operator="equal">
      <formula>"þ"</formula>
    </cfRule>
  </conditionalFormatting>
  <conditionalFormatting sqref="F24">
    <cfRule type="cellIs" dxfId="474" priority="546" stopIfTrue="1" operator="equal">
      <formula>"þ"</formula>
    </cfRule>
  </conditionalFormatting>
  <conditionalFormatting sqref="F24">
    <cfRule type="cellIs" dxfId="473" priority="545" stopIfTrue="1" operator="equal">
      <formula>"þ"</formula>
    </cfRule>
  </conditionalFormatting>
  <conditionalFormatting sqref="F24">
    <cfRule type="cellIs" dxfId="472" priority="544" stopIfTrue="1" operator="equal">
      <formula>"þ"</formula>
    </cfRule>
  </conditionalFormatting>
  <conditionalFormatting sqref="F24">
    <cfRule type="cellIs" dxfId="471" priority="541" stopIfTrue="1" operator="equal">
      <formula>"þ"</formula>
    </cfRule>
  </conditionalFormatting>
  <conditionalFormatting sqref="F24">
    <cfRule type="cellIs" dxfId="470" priority="542" stopIfTrue="1" operator="equal">
      <formula>"þ"</formula>
    </cfRule>
  </conditionalFormatting>
  <conditionalFormatting sqref="E24">
    <cfRule type="cellIs" dxfId="469" priority="540" stopIfTrue="1" operator="equal">
      <formula>"þ"</formula>
    </cfRule>
  </conditionalFormatting>
  <conditionalFormatting sqref="E24">
    <cfRule type="cellIs" dxfId="468" priority="539" stopIfTrue="1" operator="equal">
      <formula>"þ"</formula>
    </cfRule>
  </conditionalFormatting>
  <conditionalFormatting sqref="E24">
    <cfRule type="cellIs" dxfId="467" priority="538" stopIfTrue="1" operator="equal">
      <formula>"þ"</formula>
    </cfRule>
  </conditionalFormatting>
  <conditionalFormatting sqref="E24">
    <cfRule type="cellIs" dxfId="466" priority="537" stopIfTrue="1" operator="equal">
      <formula>"þ"</formula>
    </cfRule>
  </conditionalFormatting>
  <conditionalFormatting sqref="E24">
    <cfRule type="cellIs" dxfId="465" priority="536" stopIfTrue="1" operator="equal">
      <formula>"þ"</formula>
    </cfRule>
  </conditionalFormatting>
  <conditionalFormatting sqref="E24">
    <cfRule type="cellIs" dxfId="464" priority="535" stopIfTrue="1" operator="equal">
      <formula>"þ"</formula>
    </cfRule>
  </conditionalFormatting>
  <conditionalFormatting sqref="G5">
    <cfRule type="cellIs" dxfId="463" priority="452" stopIfTrue="1" operator="equal">
      <formula>"þ"</formula>
    </cfRule>
  </conditionalFormatting>
  <conditionalFormatting sqref="G5">
    <cfRule type="cellIs" dxfId="462" priority="451" stopIfTrue="1" operator="equal">
      <formula>"þ"</formula>
    </cfRule>
  </conditionalFormatting>
  <conditionalFormatting sqref="F10">
    <cfRule type="cellIs" dxfId="461" priority="425" stopIfTrue="1" operator="equal">
      <formula>"þ"</formula>
    </cfRule>
  </conditionalFormatting>
  <conditionalFormatting sqref="G9">
    <cfRule type="cellIs" dxfId="460" priority="434" stopIfTrue="1" operator="equal">
      <formula>"þ"</formula>
    </cfRule>
  </conditionalFormatting>
  <conditionalFormatting sqref="G9">
    <cfRule type="cellIs" dxfId="459" priority="433" stopIfTrue="1" operator="equal">
      <formula>"þ"</formula>
    </cfRule>
  </conditionalFormatting>
  <conditionalFormatting sqref="G9">
    <cfRule type="cellIs" dxfId="458" priority="432" stopIfTrue="1" operator="equal">
      <formula>"þ"</formula>
    </cfRule>
  </conditionalFormatting>
  <conditionalFormatting sqref="F10">
    <cfRule type="cellIs" dxfId="457" priority="424" stopIfTrue="1" operator="equal">
      <formula>"þ"</formula>
    </cfRule>
  </conditionalFormatting>
  <conditionalFormatting sqref="M23:M25 M21">
    <cfRule type="cellIs" dxfId="456" priority="410" stopIfTrue="1" operator="equal">
      <formula>"þ"</formula>
    </cfRule>
  </conditionalFormatting>
  <conditionalFormatting sqref="M23:M25 M21">
    <cfRule type="cellIs" dxfId="455" priority="409" stopIfTrue="1" operator="equal">
      <formula>"þ"</formula>
    </cfRule>
  </conditionalFormatting>
  <conditionalFormatting sqref="F17">
    <cfRule type="cellIs" dxfId="454" priority="400" stopIfTrue="1" operator="equal">
      <formula>"þ"</formula>
    </cfRule>
  </conditionalFormatting>
  <conditionalFormatting sqref="F17">
    <cfRule type="cellIs" dxfId="453" priority="399" stopIfTrue="1" operator="equal">
      <formula>"þ"</formula>
    </cfRule>
  </conditionalFormatting>
  <conditionalFormatting sqref="E16">
    <cfRule type="cellIs" dxfId="452" priority="396" stopIfTrue="1" operator="equal">
      <formula>"þ"</formula>
    </cfRule>
  </conditionalFormatting>
  <conditionalFormatting sqref="E16">
    <cfRule type="cellIs" dxfId="451" priority="395" stopIfTrue="1" operator="equal">
      <formula>"þ"</formula>
    </cfRule>
  </conditionalFormatting>
  <conditionalFormatting sqref="G24">
    <cfRule type="cellIs" dxfId="450" priority="394" stopIfTrue="1" operator="equal">
      <formula>"þ"</formula>
    </cfRule>
  </conditionalFormatting>
  <conditionalFormatting sqref="G24">
    <cfRule type="cellIs" dxfId="449" priority="393" stopIfTrue="1" operator="equal">
      <formula>"þ"</formula>
    </cfRule>
  </conditionalFormatting>
  <conditionalFormatting sqref="G21">
    <cfRule type="cellIs" dxfId="448" priority="392" stopIfTrue="1" operator="equal">
      <formula>"þ"</formula>
    </cfRule>
  </conditionalFormatting>
  <conditionalFormatting sqref="G21">
    <cfRule type="cellIs" dxfId="447" priority="391" stopIfTrue="1" operator="equal">
      <formula>"þ"</formula>
    </cfRule>
  </conditionalFormatting>
  <conditionalFormatting sqref="H21">
    <cfRule type="cellIs" dxfId="446" priority="389" stopIfTrue="1" operator="equal">
      <formula>"þ"</formula>
    </cfRule>
  </conditionalFormatting>
  <conditionalFormatting sqref="K21">
    <cfRule type="cellIs" dxfId="445" priority="390" operator="lessThan">
      <formula>$P$1</formula>
    </cfRule>
  </conditionalFormatting>
  <conditionalFormatting sqref="H21">
    <cfRule type="cellIs" dxfId="444" priority="388" stopIfTrue="1" operator="equal">
      <formula>"þ"</formula>
    </cfRule>
  </conditionalFormatting>
  <conditionalFormatting sqref="G21">
    <cfRule type="cellIs" dxfId="443" priority="387" stopIfTrue="1" operator="equal">
      <formula>"þ"</formula>
    </cfRule>
  </conditionalFormatting>
  <conditionalFormatting sqref="G21">
    <cfRule type="cellIs" dxfId="442" priority="386" stopIfTrue="1" operator="equal">
      <formula>"þ"</formula>
    </cfRule>
  </conditionalFormatting>
  <conditionalFormatting sqref="E21">
    <cfRule type="cellIs" dxfId="441" priority="385" stopIfTrue="1" operator="equal">
      <formula>"þ"</formula>
    </cfRule>
  </conditionalFormatting>
  <conditionalFormatting sqref="E21">
    <cfRule type="cellIs" dxfId="440" priority="384" stopIfTrue="1" operator="equal">
      <formula>"þ"</formula>
    </cfRule>
  </conditionalFormatting>
  <conditionalFormatting sqref="H23">
    <cfRule type="cellIs" dxfId="439" priority="378" stopIfTrue="1" operator="equal">
      <formula>"þ"</formula>
    </cfRule>
  </conditionalFormatting>
  <conditionalFormatting sqref="K23">
    <cfRule type="cellIs" dxfId="438" priority="379" operator="lessThan">
      <formula>$P$1</formula>
    </cfRule>
  </conditionalFormatting>
  <conditionalFormatting sqref="H23">
    <cfRule type="cellIs" dxfId="437" priority="377" stopIfTrue="1" operator="equal">
      <formula>"þ"</formula>
    </cfRule>
  </conditionalFormatting>
  <conditionalFormatting sqref="H24">
    <cfRule type="cellIs" dxfId="436" priority="373" stopIfTrue="1" operator="equal">
      <formula>"þ"</formula>
    </cfRule>
  </conditionalFormatting>
  <conditionalFormatting sqref="K24">
    <cfRule type="cellIs" dxfId="435" priority="374" operator="lessThan">
      <formula>$P$1</formula>
    </cfRule>
  </conditionalFormatting>
  <conditionalFormatting sqref="H24">
    <cfRule type="cellIs" dxfId="434" priority="372" stopIfTrue="1" operator="equal">
      <formula>"þ"</formula>
    </cfRule>
  </conditionalFormatting>
  <conditionalFormatting sqref="G24">
    <cfRule type="cellIs" dxfId="433" priority="371" stopIfTrue="1" operator="equal">
      <formula>"þ"</formula>
    </cfRule>
  </conditionalFormatting>
  <conditionalFormatting sqref="G24">
    <cfRule type="cellIs" dxfId="432" priority="370" stopIfTrue="1" operator="equal">
      <formula>"þ"</formula>
    </cfRule>
  </conditionalFormatting>
  <conditionalFormatting sqref="E24">
    <cfRule type="cellIs" dxfId="431" priority="369" stopIfTrue="1" operator="equal">
      <formula>"þ"</formula>
    </cfRule>
  </conditionalFormatting>
  <conditionalFormatting sqref="E24">
    <cfRule type="cellIs" dxfId="430" priority="368" stopIfTrue="1" operator="equal">
      <formula>"þ"</formula>
    </cfRule>
  </conditionalFormatting>
  <conditionalFormatting sqref="F24">
    <cfRule type="cellIs" dxfId="429" priority="367" stopIfTrue="1" operator="equal">
      <formula>"þ"</formula>
    </cfRule>
  </conditionalFormatting>
  <conditionalFormatting sqref="F24">
    <cfRule type="cellIs" dxfId="428" priority="366" stopIfTrue="1" operator="equal">
      <formula>"þ"</formula>
    </cfRule>
  </conditionalFormatting>
  <conditionalFormatting sqref="F24">
    <cfRule type="cellIs" dxfId="427" priority="365" stopIfTrue="1" operator="equal">
      <formula>"þ"</formula>
    </cfRule>
  </conditionalFormatting>
  <conditionalFormatting sqref="F24">
    <cfRule type="cellIs" dxfId="426" priority="364" stopIfTrue="1" operator="equal">
      <formula>"þ"</formula>
    </cfRule>
  </conditionalFormatting>
  <conditionalFormatting sqref="F24">
    <cfRule type="cellIs" dxfId="425" priority="363" stopIfTrue="1" operator="equal">
      <formula>"þ"</formula>
    </cfRule>
  </conditionalFormatting>
  <conditionalFormatting sqref="F24">
    <cfRule type="cellIs" dxfId="424" priority="362" stopIfTrue="1" operator="equal">
      <formula>"þ"</formula>
    </cfRule>
  </conditionalFormatting>
  <conditionalFormatting sqref="K25">
    <cfRule type="cellIs" dxfId="423" priority="360" operator="lessThan">
      <formula>$P$1</formula>
    </cfRule>
  </conditionalFormatting>
  <conditionalFormatting sqref="E25">
    <cfRule type="cellIs" dxfId="422" priority="357" stopIfTrue="1" operator="equal">
      <formula>"þ"</formula>
    </cfRule>
  </conditionalFormatting>
  <conditionalFormatting sqref="E25">
    <cfRule type="cellIs" dxfId="421" priority="356" stopIfTrue="1" operator="equal">
      <formula>"þ"</formula>
    </cfRule>
  </conditionalFormatting>
  <conditionalFormatting sqref="F25">
    <cfRule type="cellIs" dxfId="420" priority="355" stopIfTrue="1" operator="equal">
      <formula>"þ"</formula>
    </cfRule>
  </conditionalFormatting>
  <conditionalFormatting sqref="F25">
    <cfRule type="cellIs" dxfId="419" priority="354" stopIfTrue="1" operator="equal">
      <formula>"þ"</formula>
    </cfRule>
  </conditionalFormatting>
  <conditionalFormatting sqref="F25">
    <cfRule type="cellIs" dxfId="418" priority="353" stopIfTrue="1" operator="equal">
      <formula>"þ"</formula>
    </cfRule>
  </conditionalFormatting>
  <conditionalFormatting sqref="F25">
    <cfRule type="cellIs" dxfId="417" priority="352" stopIfTrue="1" operator="equal">
      <formula>"þ"</formula>
    </cfRule>
  </conditionalFormatting>
  <conditionalFormatting sqref="F25">
    <cfRule type="cellIs" dxfId="416" priority="351" stopIfTrue="1" operator="equal">
      <formula>"þ"</formula>
    </cfRule>
  </conditionalFormatting>
  <conditionalFormatting sqref="F25">
    <cfRule type="cellIs" dxfId="415" priority="350" stopIfTrue="1" operator="equal">
      <formula>"þ"</formula>
    </cfRule>
  </conditionalFormatting>
  <conditionalFormatting sqref="F25">
    <cfRule type="cellIs" dxfId="414" priority="347" stopIfTrue="1" operator="equal">
      <formula>"þ"</formula>
    </cfRule>
  </conditionalFormatting>
  <conditionalFormatting sqref="F25">
    <cfRule type="cellIs" dxfId="413" priority="348" stopIfTrue="1" operator="equal">
      <formula>"þ"</formula>
    </cfRule>
  </conditionalFormatting>
  <conditionalFormatting sqref="E25">
    <cfRule type="cellIs" dxfId="412" priority="346" stopIfTrue="1" operator="equal">
      <formula>"þ"</formula>
    </cfRule>
  </conditionalFormatting>
  <conditionalFormatting sqref="E25">
    <cfRule type="cellIs" dxfId="411" priority="345" stopIfTrue="1" operator="equal">
      <formula>"þ"</formula>
    </cfRule>
  </conditionalFormatting>
  <conditionalFormatting sqref="E25">
    <cfRule type="cellIs" dxfId="410" priority="344" stopIfTrue="1" operator="equal">
      <formula>"þ"</formula>
    </cfRule>
  </conditionalFormatting>
  <conditionalFormatting sqref="E25">
    <cfRule type="cellIs" dxfId="409" priority="343" stopIfTrue="1" operator="equal">
      <formula>"þ"</formula>
    </cfRule>
  </conditionalFormatting>
  <conditionalFormatting sqref="E25">
    <cfRule type="cellIs" dxfId="408" priority="342" stopIfTrue="1" operator="equal">
      <formula>"þ"</formula>
    </cfRule>
  </conditionalFormatting>
  <conditionalFormatting sqref="E25">
    <cfRule type="cellIs" dxfId="407" priority="341" stopIfTrue="1" operator="equal">
      <formula>"þ"</formula>
    </cfRule>
  </conditionalFormatting>
  <conditionalFormatting sqref="F23">
    <cfRule type="cellIs" dxfId="406" priority="339" stopIfTrue="1" operator="equal">
      <formula>"þ"</formula>
    </cfRule>
  </conditionalFormatting>
  <conditionalFormatting sqref="F23">
    <cfRule type="cellIs" dxfId="405" priority="338" stopIfTrue="1" operator="equal">
      <formula>"þ"</formula>
    </cfRule>
  </conditionalFormatting>
  <conditionalFormatting sqref="G25">
    <cfRule type="cellIs" dxfId="404" priority="336" stopIfTrue="1" operator="equal">
      <formula>"þ"</formula>
    </cfRule>
  </conditionalFormatting>
  <conditionalFormatting sqref="G25">
    <cfRule type="cellIs" dxfId="403" priority="335" stopIfTrue="1" operator="equal">
      <formula>"þ"</formula>
    </cfRule>
  </conditionalFormatting>
  <conditionalFormatting sqref="G23">
    <cfRule type="cellIs" dxfId="402" priority="334" stopIfTrue="1" operator="equal">
      <formula>"þ"</formula>
    </cfRule>
  </conditionalFormatting>
  <conditionalFormatting sqref="G23">
    <cfRule type="cellIs" dxfId="401" priority="333" stopIfTrue="1" operator="equal">
      <formula>"þ"</formula>
    </cfRule>
  </conditionalFormatting>
  <conditionalFormatting sqref="F18">
    <cfRule type="cellIs" dxfId="400" priority="332" stopIfTrue="1" operator="equal">
      <formula>"þ"</formula>
    </cfRule>
  </conditionalFormatting>
  <conditionalFormatting sqref="F18">
    <cfRule type="cellIs" dxfId="399" priority="331" stopIfTrue="1" operator="equal">
      <formula>"þ"</formula>
    </cfRule>
  </conditionalFormatting>
  <conditionalFormatting sqref="M26">
    <cfRule type="cellIs" dxfId="398" priority="330" stopIfTrue="1" operator="equal">
      <formula>"þ"</formula>
    </cfRule>
  </conditionalFormatting>
  <conditionalFormatting sqref="M26">
    <cfRule type="cellIs" dxfId="397" priority="329" stopIfTrue="1" operator="equal">
      <formula>"þ"</formula>
    </cfRule>
  </conditionalFormatting>
  <conditionalFormatting sqref="H26">
    <cfRule type="cellIs" dxfId="396" priority="327" stopIfTrue="1" operator="equal">
      <formula>"þ"</formula>
    </cfRule>
  </conditionalFormatting>
  <conditionalFormatting sqref="K26">
    <cfRule type="cellIs" dxfId="395" priority="328" operator="lessThan">
      <formula>$P$1</formula>
    </cfRule>
  </conditionalFormatting>
  <conditionalFormatting sqref="H26">
    <cfRule type="cellIs" dxfId="394" priority="326" stopIfTrue="1" operator="equal">
      <formula>"þ"</formula>
    </cfRule>
  </conditionalFormatting>
  <conditionalFormatting sqref="F26">
    <cfRule type="cellIs" dxfId="393" priority="323" stopIfTrue="1" operator="equal">
      <formula>"þ"</formula>
    </cfRule>
  </conditionalFormatting>
  <conditionalFormatting sqref="F26">
    <cfRule type="cellIs" dxfId="392" priority="322" stopIfTrue="1" operator="equal">
      <formula>"þ"</formula>
    </cfRule>
  </conditionalFormatting>
  <conditionalFormatting sqref="F26">
    <cfRule type="cellIs" dxfId="391" priority="321" stopIfTrue="1" operator="equal">
      <formula>"þ"</formula>
    </cfRule>
  </conditionalFormatting>
  <conditionalFormatting sqref="F26">
    <cfRule type="cellIs" dxfId="390" priority="320" stopIfTrue="1" operator="equal">
      <formula>"þ"</formula>
    </cfRule>
  </conditionalFormatting>
  <conditionalFormatting sqref="F26">
    <cfRule type="cellIs" dxfId="389" priority="319" stopIfTrue="1" operator="equal">
      <formula>"þ"</formula>
    </cfRule>
  </conditionalFormatting>
  <conditionalFormatting sqref="F26">
    <cfRule type="cellIs" dxfId="388" priority="318" stopIfTrue="1" operator="equal">
      <formula>"þ"</formula>
    </cfRule>
  </conditionalFormatting>
  <conditionalFormatting sqref="F26">
    <cfRule type="cellIs" dxfId="387" priority="315" stopIfTrue="1" operator="equal">
      <formula>"þ"</formula>
    </cfRule>
  </conditionalFormatting>
  <conditionalFormatting sqref="F26">
    <cfRule type="cellIs" dxfId="386" priority="316" stopIfTrue="1" operator="equal">
      <formula>"þ"</formula>
    </cfRule>
  </conditionalFormatting>
  <conditionalFormatting sqref="G26">
    <cfRule type="cellIs" dxfId="385" priority="308" stopIfTrue="1" operator="equal">
      <formula>"þ"</formula>
    </cfRule>
  </conditionalFormatting>
  <conditionalFormatting sqref="G26">
    <cfRule type="cellIs" dxfId="384" priority="307" stopIfTrue="1" operator="equal">
      <formula>"þ"</formula>
    </cfRule>
  </conditionalFormatting>
  <conditionalFormatting sqref="H25">
    <cfRule type="cellIs" dxfId="383" priority="306" stopIfTrue="1" operator="equal">
      <formula>"þ"</formula>
    </cfRule>
  </conditionalFormatting>
  <conditionalFormatting sqref="H25">
    <cfRule type="cellIs" dxfId="382" priority="305" stopIfTrue="1" operator="equal">
      <formula>"þ"</formula>
    </cfRule>
  </conditionalFormatting>
  <conditionalFormatting sqref="L7">
    <cfRule type="cellIs" dxfId="381" priority="303" stopIfTrue="1" operator="equal">
      <formula>"þ"</formula>
    </cfRule>
  </conditionalFormatting>
  <conditionalFormatting sqref="L7">
    <cfRule type="cellIs" dxfId="380" priority="304" stopIfTrue="1" operator="equal">
      <formula>"þ"</formula>
    </cfRule>
  </conditionalFormatting>
  <conditionalFormatting sqref="G23">
    <cfRule type="cellIs" dxfId="379" priority="302" stopIfTrue="1" operator="equal">
      <formula>"þ"</formula>
    </cfRule>
  </conditionalFormatting>
  <conditionalFormatting sqref="G23">
    <cfRule type="cellIs" dxfId="378" priority="301" stopIfTrue="1" operator="equal">
      <formula>"þ"</formula>
    </cfRule>
  </conditionalFormatting>
  <conditionalFormatting sqref="F23">
    <cfRule type="cellIs" dxfId="377" priority="300" stopIfTrue="1" operator="equal">
      <formula>"þ"</formula>
    </cfRule>
  </conditionalFormatting>
  <conditionalFormatting sqref="F23">
    <cfRule type="cellIs" dxfId="376" priority="299" stopIfTrue="1" operator="equal">
      <formula>"þ"</formula>
    </cfRule>
  </conditionalFormatting>
  <conditionalFormatting sqref="G23">
    <cfRule type="cellIs" dxfId="375" priority="298" stopIfTrue="1" operator="equal">
      <formula>"þ"</formula>
    </cfRule>
  </conditionalFormatting>
  <conditionalFormatting sqref="G23">
    <cfRule type="cellIs" dxfId="374" priority="297" stopIfTrue="1" operator="equal">
      <formula>"þ"</formula>
    </cfRule>
  </conditionalFormatting>
  <conditionalFormatting sqref="F23">
    <cfRule type="cellIs" dxfId="373" priority="296" stopIfTrue="1" operator="equal">
      <formula>"þ"</formula>
    </cfRule>
  </conditionalFormatting>
  <conditionalFormatting sqref="F23">
    <cfRule type="cellIs" dxfId="372" priority="295" stopIfTrue="1" operator="equal">
      <formula>"þ"</formula>
    </cfRule>
  </conditionalFormatting>
  <conditionalFormatting sqref="F7">
    <cfRule type="cellIs" dxfId="371" priority="294" stopIfTrue="1" operator="equal">
      <formula>"þ"</formula>
    </cfRule>
  </conditionalFormatting>
  <conditionalFormatting sqref="L4">
    <cfRule type="cellIs" dxfId="370" priority="293" stopIfTrue="1" operator="equal">
      <formula>"þ"</formula>
    </cfRule>
  </conditionalFormatting>
  <conditionalFormatting sqref="L4">
    <cfRule type="cellIs" dxfId="369" priority="292" stopIfTrue="1" operator="equal">
      <formula>"þ"</formula>
    </cfRule>
  </conditionalFormatting>
  <conditionalFormatting sqref="E12">
    <cfRule type="cellIs" dxfId="368" priority="288" stopIfTrue="1" operator="equal">
      <formula>"þ"</formula>
    </cfRule>
  </conditionalFormatting>
  <conditionalFormatting sqref="F12">
    <cfRule type="cellIs" dxfId="367" priority="287" stopIfTrue="1" operator="equal">
      <formula>"þ"</formula>
    </cfRule>
  </conditionalFormatting>
  <conditionalFormatting sqref="F12">
    <cfRule type="cellIs" dxfId="366" priority="286" stopIfTrue="1" operator="equal">
      <formula>"þ"</formula>
    </cfRule>
  </conditionalFormatting>
  <conditionalFormatting sqref="G5">
    <cfRule type="cellIs" dxfId="365" priority="267" stopIfTrue="1" operator="equal">
      <formula>"þ"</formula>
    </cfRule>
  </conditionalFormatting>
  <conditionalFormatting sqref="G5">
    <cfRule type="cellIs" dxfId="364" priority="266" stopIfTrue="1" operator="equal">
      <formula>"þ"</formula>
    </cfRule>
  </conditionalFormatting>
  <conditionalFormatting sqref="F9">
    <cfRule type="cellIs" dxfId="363" priority="253" stopIfTrue="1" operator="equal">
      <formula>"þ"</formula>
    </cfRule>
  </conditionalFormatting>
  <conditionalFormatting sqref="F9">
    <cfRule type="cellIs" dxfId="362" priority="252" stopIfTrue="1" operator="equal">
      <formula>"þ"</formula>
    </cfRule>
  </conditionalFormatting>
  <conditionalFormatting sqref="M3">
    <cfRule type="cellIs" dxfId="361" priority="249" stopIfTrue="1" operator="equal">
      <formula>"þ"</formula>
    </cfRule>
  </conditionalFormatting>
  <conditionalFormatting sqref="K3">
    <cfRule type="cellIs" dxfId="360" priority="248" operator="lessThan">
      <formula>$P$1</formula>
    </cfRule>
  </conditionalFormatting>
  <conditionalFormatting sqref="L3">
    <cfRule type="cellIs" dxfId="359" priority="239" stopIfTrue="1" operator="equal">
      <formula>"þ"</formula>
    </cfRule>
  </conditionalFormatting>
  <conditionalFormatting sqref="L3">
    <cfRule type="cellIs" dxfId="358" priority="238" stopIfTrue="1" operator="equal">
      <formula>"þ"</formula>
    </cfRule>
  </conditionalFormatting>
  <conditionalFormatting sqref="F10">
    <cfRule type="cellIs" dxfId="357" priority="227" stopIfTrue="1" operator="equal">
      <formula>"þ"</formula>
    </cfRule>
  </conditionalFormatting>
  <conditionalFormatting sqref="F10">
    <cfRule type="cellIs" dxfId="356" priority="226" stopIfTrue="1" operator="equal">
      <formula>"þ"</formula>
    </cfRule>
  </conditionalFormatting>
  <conditionalFormatting sqref="E10">
    <cfRule type="cellIs" dxfId="355" priority="225" stopIfTrue="1" operator="equal">
      <formula>"þ"</formula>
    </cfRule>
  </conditionalFormatting>
  <conditionalFormatting sqref="E10">
    <cfRule type="cellIs" dxfId="354" priority="224" stopIfTrue="1" operator="equal">
      <formula>"þ"</formula>
    </cfRule>
  </conditionalFormatting>
  <conditionalFormatting sqref="L10">
    <cfRule type="cellIs" dxfId="353" priority="223" stopIfTrue="1" operator="equal">
      <formula>"þ"</formula>
    </cfRule>
  </conditionalFormatting>
  <conditionalFormatting sqref="L10">
    <cfRule type="cellIs" dxfId="352" priority="222" stopIfTrue="1" operator="equal">
      <formula>"þ"</formula>
    </cfRule>
  </conditionalFormatting>
  <conditionalFormatting sqref="E23">
    <cfRule type="cellIs" dxfId="351" priority="218" stopIfTrue="1" operator="equal">
      <formula>"þ"</formula>
    </cfRule>
  </conditionalFormatting>
  <conditionalFormatting sqref="E23">
    <cfRule type="cellIs" dxfId="350" priority="217" stopIfTrue="1" operator="equal">
      <formula>"þ"</formula>
    </cfRule>
  </conditionalFormatting>
  <conditionalFormatting sqref="F16">
    <cfRule type="cellIs" dxfId="349" priority="216" stopIfTrue="1" operator="equal">
      <formula>"þ"</formula>
    </cfRule>
  </conditionalFormatting>
  <conditionalFormatting sqref="F16">
    <cfRule type="cellIs" dxfId="348" priority="215" stopIfTrue="1" operator="equal">
      <formula>"þ"</formula>
    </cfRule>
  </conditionalFormatting>
  <conditionalFormatting sqref="F21">
    <cfRule type="cellIs" dxfId="347" priority="202" stopIfTrue="1" operator="equal">
      <formula>"þ"</formula>
    </cfRule>
  </conditionalFormatting>
  <conditionalFormatting sqref="F21">
    <cfRule type="cellIs" dxfId="346" priority="201" stopIfTrue="1" operator="equal">
      <formula>"þ"</formula>
    </cfRule>
  </conditionalFormatting>
  <conditionalFormatting sqref="L6">
    <cfRule type="cellIs" dxfId="345" priority="197" stopIfTrue="1" operator="equal">
      <formula>"þ"</formula>
    </cfRule>
  </conditionalFormatting>
  <conditionalFormatting sqref="L6">
    <cfRule type="cellIs" dxfId="344" priority="196" stopIfTrue="1" operator="equal">
      <formula>"þ"</formula>
    </cfRule>
  </conditionalFormatting>
  <conditionalFormatting sqref="H22">
    <cfRule type="cellIs" dxfId="343" priority="184" stopIfTrue="1" operator="equal">
      <formula>"þ"</formula>
    </cfRule>
  </conditionalFormatting>
  <conditionalFormatting sqref="K22">
    <cfRule type="cellIs" dxfId="342" priority="185" operator="lessThan">
      <formula>$P$1</formula>
    </cfRule>
  </conditionalFormatting>
  <conditionalFormatting sqref="H22">
    <cfRule type="cellIs" dxfId="341" priority="183" stopIfTrue="1" operator="equal">
      <formula>"þ"</formula>
    </cfRule>
  </conditionalFormatting>
  <conditionalFormatting sqref="E22">
    <cfRule type="cellIs" dxfId="340" priority="182" stopIfTrue="1" operator="equal">
      <formula>"þ"</formula>
    </cfRule>
  </conditionalFormatting>
  <conditionalFormatting sqref="E22">
    <cfRule type="cellIs" dxfId="339" priority="181" stopIfTrue="1" operator="equal">
      <formula>"þ"</formula>
    </cfRule>
  </conditionalFormatting>
  <conditionalFormatting sqref="M22">
    <cfRule type="cellIs" dxfId="338" priority="180" stopIfTrue="1" operator="equal">
      <formula>"þ"</formula>
    </cfRule>
  </conditionalFormatting>
  <conditionalFormatting sqref="M22">
    <cfRule type="cellIs" dxfId="337" priority="179" stopIfTrue="1" operator="equal">
      <formula>"þ"</formula>
    </cfRule>
  </conditionalFormatting>
  <conditionalFormatting sqref="G22">
    <cfRule type="cellIs" dxfId="336" priority="178" stopIfTrue="1" operator="equal">
      <formula>"þ"</formula>
    </cfRule>
  </conditionalFormatting>
  <conditionalFormatting sqref="G22">
    <cfRule type="cellIs" dxfId="335" priority="177" stopIfTrue="1" operator="equal">
      <formula>"þ"</formula>
    </cfRule>
  </conditionalFormatting>
  <conditionalFormatting sqref="H22">
    <cfRule type="cellIs" dxfId="334" priority="175" stopIfTrue="1" operator="equal">
      <formula>"þ"</formula>
    </cfRule>
  </conditionalFormatting>
  <conditionalFormatting sqref="K22">
    <cfRule type="cellIs" dxfId="333" priority="176" operator="lessThan">
      <formula>$P$1</formula>
    </cfRule>
  </conditionalFormatting>
  <conditionalFormatting sqref="H22">
    <cfRule type="cellIs" dxfId="332" priority="174" stopIfTrue="1" operator="equal">
      <formula>"þ"</formula>
    </cfRule>
  </conditionalFormatting>
  <conditionalFormatting sqref="G22">
    <cfRule type="cellIs" dxfId="331" priority="173" stopIfTrue="1" operator="equal">
      <formula>"þ"</formula>
    </cfRule>
  </conditionalFormatting>
  <conditionalFormatting sqref="G22">
    <cfRule type="cellIs" dxfId="330" priority="172" stopIfTrue="1" operator="equal">
      <formula>"þ"</formula>
    </cfRule>
  </conditionalFormatting>
  <conditionalFormatting sqref="E22">
    <cfRule type="cellIs" dxfId="329" priority="171" stopIfTrue="1" operator="equal">
      <formula>"þ"</formula>
    </cfRule>
  </conditionalFormatting>
  <conditionalFormatting sqref="E22">
    <cfRule type="cellIs" dxfId="328" priority="170" stopIfTrue="1" operator="equal">
      <formula>"þ"</formula>
    </cfRule>
  </conditionalFormatting>
  <conditionalFormatting sqref="F22">
    <cfRule type="cellIs" dxfId="327" priority="169" stopIfTrue="1" operator="equal">
      <formula>"þ"</formula>
    </cfRule>
  </conditionalFormatting>
  <conditionalFormatting sqref="F22">
    <cfRule type="cellIs" dxfId="326" priority="168" stopIfTrue="1" operator="equal">
      <formula>"þ"</formula>
    </cfRule>
  </conditionalFormatting>
  <conditionalFormatting sqref="H19:H20">
    <cfRule type="cellIs" dxfId="325" priority="164" stopIfTrue="1" operator="equal">
      <formula>"þ"</formula>
    </cfRule>
  </conditionalFormatting>
  <conditionalFormatting sqref="K19:K20">
    <cfRule type="cellIs" dxfId="324" priority="165" operator="lessThan">
      <formula>$P$1</formula>
    </cfRule>
  </conditionalFormatting>
  <conditionalFormatting sqref="H19:H20">
    <cfRule type="cellIs" dxfId="323" priority="163" stopIfTrue="1" operator="equal">
      <formula>"þ"</formula>
    </cfRule>
  </conditionalFormatting>
  <conditionalFormatting sqref="G19">
    <cfRule type="cellIs" dxfId="322" priority="162" stopIfTrue="1" operator="equal">
      <formula>"þ"</formula>
    </cfRule>
  </conditionalFormatting>
  <conditionalFormatting sqref="G19">
    <cfRule type="cellIs" dxfId="321" priority="161" stopIfTrue="1" operator="equal">
      <formula>"þ"</formula>
    </cfRule>
  </conditionalFormatting>
  <conditionalFormatting sqref="E19:E20">
    <cfRule type="cellIs" dxfId="320" priority="160" stopIfTrue="1" operator="equal">
      <formula>"þ"</formula>
    </cfRule>
  </conditionalFormatting>
  <conditionalFormatting sqref="E19:E20">
    <cfRule type="cellIs" dxfId="319" priority="159" stopIfTrue="1" operator="equal">
      <formula>"þ"</formula>
    </cfRule>
  </conditionalFormatting>
  <conditionalFormatting sqref="M19:M20">
    <cfRule type="cellIs" dxfId="318" priority="156" stopIfTrue="1" operator="equal">
      <formula>"þ"</formula>
    </cfRule>
  </conditionalFormatting>
  <conditionalFormatting sqref="M19:M20">
    <cfRule type="cellIs" dxfId="317" priority="155" stopIfTrue="1" operator="equal">
      <formula>"þ"</formula>
    </cfRule>
  </conditionalFormatting>
  <conditionalFormatting sqref="F20">
    <cfRule type="cellIs" dxfId="316" priority="154" stopIfTrue="1" operator="equal">
      <formula>"þ"</formula>
    </cfRule>
  </conditionalFormatting>
  <conditionalFormatting sqref="F20">
    <cfRule type="cellIs" dxfId="315" priority="153" stopIfTrue="1" operator="equal">
      <formula>"þ"</formula>
    </cfRule>
  </conditionalFormatting>
  <conditionalFormatting sqref="E2 H2">
    <cfRule type="cellIs" dxfId="314" priority="152" stopIfTrue="1" operator="equal">
      <formula>"þ"</formula>
    </cfRule>
  </conditionalFormatting>
  <conditionalFormatting sqref="G2">
    <cfRule type="cellIs" dxfId="313" priority="151" stopIfTrue="1" operator="equal">
      <formula>"þ"</formula>
    </cfRule>
  </conditionalFormatting>
  <conditionalFormatting sqref="H4">
    <cfRule type="cellIs" dxfId="312" priority="150" stopIfTrue="1" operator="equal">
      <formula>"þ"</formula>
    </cfRule>
  </conditionalFormatting>
  <conditionalFormatting sqref="H4">
    <cfRule type="cellIs" dxfId="311" priority="149" stopIfTrue="1" operator="equal">
      <formula>"þ"</formula>
    </cfRule>
  </conditionalFormatting>
  <conditionalFormatting sqref="G4">
    <cfRule type="cellIs" dxfId="310" priority="148" stopIfTrue="1" operator="equal">
      <formula>"þ"</formula>
    </cfRule>
  </conditionalFormatting>
  <conditionalFormatting sqref="G4">
    <cfRule type="cellIs" dxfId="309" priority="147" stopIfTrue="1" operator="equal">
      <formula>"þ"</formula>
    </cfRule>
  </conditionalFormatting>
  <conditionalFormatting sqref="F2">
    <cfRule type="cellIs" dxfId="308" priority="146" stopIfTrue="1" operator="equal">
      <formula>"þ"</formula>
    </cfRule>
  </conditionalFormatting>
  <conditionalFormatting sqref="F2">
    <cfRule type="cellIs" dxfId="307" priority="145" stopIfTrue="1" operator="equal">
      <formula>"þ"</formula>
    </cfRule>
  </conditionalFormatting>
  <conditionalFormatting sqref="E4">
    <cfRule type="cellIs" dxfId="306" priority="144" stopIfTrue="1" operator="equal">
      <formula>"þ"</formula>
    </cfRule>
  </conditionalFormatting>
  <conditionalFormatting sqref="E4">
    <cfRule type="cellIs" dxfId="305" priority="143" stopIfTrue="1" operator="equal">
      <formula>"þ"</formula>
    </cfRule>
  </conditionalFormatting>
  <conditionalFormatting sqref="F4">
    <cfRule type="cellIs" dxfId="304" priority="142" stopIfTrue="1" operator="equal">
      <formula>"þ"</formula>
    </cfRule>
  </conditionalFormatting>
  <conditionalFormatting sqref="F4">
    <cfRule type="cellIs" dxfId="303" priority="141" stopIfTrue="1" operator="equal">
      <formula>"þ"</formula>
    </cfRule>
  </conditionalFormatting>
  <conditionalFormatting sqref="H3">
    <cfRule type="cellIs" dxfId="302" priority="140" stopIfTrue="1" operator="equal">
      <formula>"þ"</formula>
    </cfRule>
  </conditionalFormatting>
  <conditionalFormatting sqref="H3">
    <cfRule type="cellIs" dxfId="301" priority="139" stopIfTrue="1" operator="equal">
      <formula>"þ"</formula>
    </cfRule>
  </conditionalFormatting>
  <conditionalFormatting sqref="G3">
    <cfRule type="cellIs" dxfId="300" priority="138" stopIfTrue="1" operator="equal">
      <formula>"þ"</formula>
    </cfRule>
  </conditionalFormatting>
  <conditionalFormatting sqref="G3">
    <cfRule type="cellIs" dxfId="299" priority="137" stopIfTrue="1" operator="equal">
      <formula>"þ"</formula>
    </cfRule>
  </conditionalFormatting>
  <conditionalFormatting sqref="E3">
    <cfRule type="cellIs" dxfId="298" priority="136" stopIfTrue="1" operator="equal">
      <formula>"þ"</formula>
    </cfRule>
  </conditionalFormatting>
  <conditionalFormatting sqref="E3">
    <cfRule type="cellIs" dxfId="297" priority="135" stopIfTrue="1" operator="equal">
      <formula>"þ"</formula>
    </cfRule>
  </conditionalFormatting>
  <conditionalFormatting sqref="F3">
    <cfRule type="cellIs" dxfId="296" priority="134" stopIfTrue="1" operator="equal">
      <formula>"þ"</formula>
    </cfRule>
  </conditionalFormatting>
  <conditionalFormatting sqref="F3">
    <cfRule type="cellIs" dxfId="295" priority="133" stopIfTrue="1" operator="equal">
      <formula>"þ"</formula>
    </cfRule>
  </conditionalFormatting>
  <conditionalFormatting sqref="F3">
    <cfRule type="cellIs" dxfId="294" priority="132" stopIfTrue="1" operator="equal">
      <formula>"þ"</formula>
    </cfRule>
  </conditionalFormatting>
  <conditionalFormatting sqref="F3">
    <cfRule type="cellIs" dxfId="293" priority="131" stopIfTrue="1" operator="equal">
      <formula>"þ"</formula>
    </cfRule>
  </conditionalFormatting>
  <conditionalFormatting sqref="G3">
    <cfRule type="cellIs" dxfId="292" priority="130" stopIfTrue="1" operator="equal">
      <formula>"þ"</formula>
    </cfRule>
  </conditionalFormatting>
  <conditionalFormatting sqref="G3">
    <cfRule type="cellIs" dxfId="291" priority="129" stopIfTrue="1" operator="equal">
      <formula>"þ"</formula>
    </cfRule>
  </conditionalFormatting>
  <conditionalFormatting sqref="F5">
    <cfRule type="cellIs" dxfId="290" priority="128" stopIfTrue="1" operator="equal">
      <formula>"þ"</formula>
    </cfRule>
  </conditionalFormatting>
  <conditionalFormatting sqref="F5">
    <cfRule type="cellIs" dxfId="289" priority="127" stopIfTrue="1" operator="equal">
      <formula>"þ"</formula>
    </cfRule>
  </conditionalFormatting>
  <conditionalFormatting sqref="L5">
    <cfRule type="cellIs" dxfId="288" priority="126" stopIfTrue="1" operator="equal">
      <formula>"þ"</formula>
    </cfRule>
  </conditionalFormatting>
  <conditionalFormatting sqref="L5">
    <cfRule type="cellIs" dxfId="287" priority="125" stopIfTrue="1" operator="equal">
      <formula>"þ"</formula>
    </cfRule>
  </conditionalFormatting>
  <conditionalFormatting sqref="G8">
    <cfRule type="cellIs" dxfId="286" priority="124" stopIfTrue="1" operator="equal">
      <formula>"þ"</formula>
    </cfRule>
  </conditionalFormatting>
  <conditionalFormatting sqref="E8">
    <cfRule type="cellIs" dxfId="285" priority="123" stopIfTrue="1" operator="equal">
      <formula>"þ"</formula>
    </cfRule>
  </conditionalFormatting>
  <conditionalFormatting sqref="E8">
    <cfRule type="cellIs" dxfId="284" priority="122" stopIfTrue="1" operator="equal">
      <formula>"þ"</formula>
    </cfRule>
  </conditionalFormatting>
  <conditionalFormatting sqref="L2">
    <cfRule type="cellIs" dxfId="283" priority="117" stopIfTrue="1" operator="equal">
      <formula>"þ"</formula>
    </cfRule>
  </conditionalFormatting>
  <conditionalFormatting sqref="L2">
    <cfRule type="cellIs" dxfId="282" priority="118" stopIfTrue="1" operator="equal">
      <formula>"þ"</formula>
    </cfRule>
  </conditionalFormatting>
  <conditionalFormatting sqref="F19">
    <cfRule type="cellIs" dxfId="281" priority="112" stopIfTrue="1" operator="equal">
      <formula>"þ"</formula>
    </cfRule>
  </conditionalFormatting>
  <conditionalFormatting sqref="F19">
    <cfRule type="cellIs" dxfId="280" priority="111" stopIfTrue="1" operator="equal">
      <formula>"þ"</formula>
    </cfRule>
  </conditionalFormatting>
  <conditionalFormatting sqref="M27">
    <cfRule type="cellIs" dxfId="279" priority="105" stopIfTrue="1" operator="equal">
      <formula>"þ"</formula>
    </cfRule>
  </conditionalFormatting>
  <conditionalFormatting sqref="M27">
    <cfRule type="cellIs" dxfId="278" priority="104" stopIfTrue="1" operator="equal">
      <formula>"þ"</formula>
    </cfRule>
  </conditionalFormatting>
  <conditionalFormatting sqref="H27">
    <cfRule type="cellIs" dxfId="277" priority="102" stopIfTrue="1" operator="equal">
      <formula>"þ"</formula>
    </cfRule>
  </conditionalFormatting>
  <conditionalFormatting sqref="K27">
    <cfRule type="cellIs" dxfId="276" priority="103" operator="lessThan">
      <formula>$P$1</formula>
    </cfRule>
  </conditionalFormatting>
  <conditionalFormatting sqref="H27">
    <cfRule type="cellIs" dxfId="275" priority="101" stopIfTrue="1" operator="equal">
      <formula>"þ"</formula>
    </cfRule>
  </conditionalFormatting>
  <conditionalFormatting sqref="G27">
    <cfRule type="cellIs" dxfId="274" priority="83" stopIfTrue="1" operator="equal">
      <formula>"þ"</formula>
    </cfRule>
  </conditionalFormatting>
  <conditionalFormatting sqref="G27">
    <cfRule type="cellIs" dxfId="273" priority="82" stopIfTrue="1" operator="equal">
      <formula>"þ"</formula>
    </cfRule>
  </conditionalFormatting>
  <conditionalFormatting sqref="E27">
    <cfRule type="cellIs" dxfId="272" priority="79" stopIfTrue="1" operator="equal">
      <formula>"þ"</formula>
    </cfRule>
  </conditionalFormatting>
  <conditionalFormatting sqref="E27">
    <cfRule type="cellIs" dxfId="271" priority="78" stopIfTrue="1" operator="equal">
      <formula>"þ"</formula>
    </cfRule>
  </conditionalFormatting>
  <conditionalFormatting sqref="E27">
    <cfRule type="cellIs" dxfId="270" priority="77" stopIfTrue="1" operator="equal">
      <formula>"þ"</formula>
    </cfRule>
  </conditionalFormatting>
  <conditionalFormatting sqref="E27">
    <cfRule type="cellIs" dxfId="269" priority="76" stopIfTrue="1" operator="equal">
      <formula>"þ"</formula>
    </cfRule>
  </conditionalFormatting>
  <conditionalFormatting sqref="E27">
    <cfRule type="cellIs" dxfId="268" priority="75" stopIfTrue="1" operator="equal">
      <formula>"þ"</formula>
    </cfRule>
  </conditionalFormatting>
  <conditionalFormatting sqref="E27">
    <cfRule type="cellIs" dxfId="267" priority="74" stopIfTrue="1" operator="equal">
      <formula>"þ"</formula>
    </cfRule>
  </conditionalFormatting>
  <conditionalFormatting sqref="E27">
    <cfRule type="cellIs" dxfId="266" priority="73" stopIfTrue="1" operator="equal">
      <formula>"þ"</formula>
    </cfRule>
  </conditionalFormatting>
  <conditionalFormatting sqref="E27">
    <cfRule type="cellIs" dxfId="265" priority="72" stopIfTrue="1" operator="equal">
      <formula>"þ"</formula>
    </cfRule>
  </conditionalFormatting>
  <conditionalFormatting sqref="E26">
    <cfRule type="cellIs" dxfId="264" priority="71" stopIfTrue="1" operator="equal">
      <formula>"þ"</formula>
    </cfRule>
  </conditionalFormatting>
  <conditionalFormatting sqref="E26">
    <cfRule type="cellIs" dxfId="263" priority="70" stopIfTrue="1" operator="equal">
      <formula>"þ"</formula>
    </cfRule>
  </conditionalFormatting>
  <conditionalFormatting sqref="E26">
    <cfRule type="cellIs" dxfId="262" priority="69" stopIfTrue="1" operator="equal">
      <formula>"þ"</formula>
    </cfRule>
  </conditionalFormatting>
  <conditionalFormatting sqref="E26">
    <cfRule type="cellIs" dxfId="261" priority="68" stopIfTrue="1" operator="equal">
      <formula>"þ"</formula>
    </cfRule>
  </conditionalFormatting>
  <conditionalFormatting sqref="E26">
    <cfRule type="cellIs" dxfId="260" priority="67" stopIfTrue="1" operator="equal">
      <formula>"þ"</formula>
    </cfRule>
  </conditionalFormatting>
  <conditionalFormatting sqref="E26">
    <cfRule type="cellIs" dxfId="259" priority="66" stopIfTrue="1" operator="equal">
      <formula>"þ"</formula>
    </cfRule>
  </conditionalFormatting>
  <conditionalFormatting sqref="E26">
    <cfRule type="cellIs" dxfId="258" priority="65" stopIfTrue="1" operator="equal">
      <formula>"þ"</formula>
    </cfRule>
  </conditionalFormatting>
  <conditionalFormatting sqref="E26">
    <cfRule type="cellIs" dxfId="257" priority="64" stopIfTrue="1" operator="equal">
      <formula>"þ"</formula>
    </cfRule>
  </conditionalFormatting>
  <conditionalFormatting sqref="G20">
    <cfRule type="cellIs" dxfId="256" priority="55" stopIfTrue="1" operator="equal">
      <formula>"þ"</formula>
    </cfRule>
  </conditionalFormatting>
  <conditionalFormatting sqref="G20">
    <cfRule type="cellIs" dxfId="255" priority="54" stopIfTrue="1" operator="equal">
      <formula>"þ"</formula>
    </cfRule>
  </conditionalFormatting>
  <conditionalFormatting sqref="F27">
    <cfRule type="cellIs" dxfId="254" priority="43" stopIfTrue="1" operator="equal">
      <formula>"þ"</formula>
    </cfRule>
  </conditionalFormatting>
  <conditionalFormatting sqref="F27">
    <cfRule type="cellIs" dxfId="253" priority="42" stopIfTrue="1" operator="equal">
      <formula>"þ"</formula>
    </cfRule>
  </conditionalFormatting>
  <conditionalFormatting sqref="F8">
    <cfRule type="cellIs" dxfId="252" priority="41" stopIfTrue="1" operator="equal">
      <formula>"þ"</formula>
    </cfRule>
  </conditionalFormatting>
  <conditionalFormatting sqref="F8">
    <cfRule type="cellIs" dxfId="251" priority="40" stopIfTrue="1" operator="equal">
      <formula>"þ"</formula>
    </cfRule>
  </conditionalFormatting>
  <conditionalFormatting sqref="L9">
    <cfRule type="cellIs" dxfId="250" priority="39" stopIfTrue="1" operator="equal">
      <formula>"þ"</formula>
    </cfRule>
  </conditionalFormatting>
  <conditionalFormatting sqref="L9">
    <cfRule type="cellIs" dxfId="249" priority="38" stopIfTrue="1" operator="equal">
      <formula>"þ"</formula>
    </cfRule>
  </conditionalFormatting>
  <conditionalFormatting sqref="M12">
    <cfRule type="cellIs" dxfId="248" priority="37" stopIfTrue="1" operator="equal">
      <formula>"þ"</formula>
    </cfRule>
  </conditionalFormatting>
  <conditionalFormatting sqref="M12">
    <cfRule type="cellIs" dxfId="247" priority="36" stopIfTrue="1" operator="equal">
      <formula>"þ"</formula>
    </cfRule>
  </conditionalFormatting>
  <conditionalFormatting sqref="K12">
    <cfRule type="cellIs" dxfId="246" priority="35" operator="lessThan">
      <formula>$P$1</formula>
    </cfRule>
  </conditionalFormatting>
  <conditionalFormatting sqref="E12">
    <cfRule type="cellIs" dxfId="245" priority="34" stopIfTrue="1" operator="equal">
      <formula>"þ"</formula>
    </cfRule>
  </conditionalFormatting>
  <conditionalFormatting sqref="E12">
    <cfRule type="cellIs" dxfId="244" priority="33" stopIfTrue="1" operator="equal">
      <formula>"þ"</formula>
    </cfRule>
  </conditionalFormatting>
  <conditionalFormatting sqref="G12">
    <cfRule type="cellIs" dxfId="243" priority="32" stopIfTrue="1" operator="equal">
      <formula>"þ"</formula>
    </cfRule>
  </conditionalFormatting>
  <conditionalFormatting sqref="G12">
    <cfRule type="cellIs" dxfId="242" priority="31" stopIfTrue="1" operator="equal">
      <formula>"þ"</formula>
    </cfRule>
  </conditionalFormatting>
  <conditionalFormatting sqref="F12">
    <cfRule type="cellIs" dxfId="241" priority="30" stopIfTrue="1" operator="equal">
      <formula>"þ"</formula>
    </cfRule>
  </conditionalFormatting>
  <conditionalFormatting sqref="F12">
    <cfRule type="cellIs" dxfId="240" priority="29" stopIfTrue="1" operator="equal">
      <formula>"þ"</formula>
    </cfRule>
  </conditionalFormatting>
  <conditionalFormatting sqref="H12">
    <cfRule type="cellIs" dxfId="239" priority="27" stopIfTrue="1" operator="equal">
      <formula>"þ"</formula>
    </cfRule>
  </conditionalFormatting>
  <conditionalFormatting sqref="H12">
    <cfRule type="cellIs" dxfId="238" priority="28" stopIfTrue="1" operator="equal">
      <formula>"þ"</formula>
    </cfRule>
  </conditionalFormatting>
  <conditionalFormatting sqref="H11">
    <cfRule type="cellIs" dxfId="237" priority="22" stopIfTrue="1" operator="equal">
      <formula>"þ"</formula>
    </cfRule>
  </conditionalFormatting>
  <conditionalFormatting sqref="H11">
    <cfRule type="cellIs" dxfId="236" priority="21" stopIfTrue="1" operator="equal">
      <formula>"þ"</formula>
    </cfRule>
  </conditionalFormatting>
  <conditionalFormatting sqref="M11">
    <cfRule type="cellIs" dxfId="235" priority="24" stopIfTrue="1" operator="equal">
      <formula>"þ"</formula>
    </cfRule>
  </conditionalFormatting>
  <conditionalFormatting sqref="K11">
    <cfRule type="cellIs" dxfId="234" priority="23" operator="lessThan">
      <formula>$P$1</formula>
    </cfRule>
  </conditionalFormatting>
  <conditionalFormatting sqref="G11">
    <cfRule type="cellIs" dxfId="233" priority="20" stopIfTrue="1" operator="equal">
      <formula>"þ"</formula>
    </cfRule>
  </conditionalFormatting>
  <conditionalFormatting sqref="G11">
    <cfRule type="cellIs" dxfId="232" priority="19" stopIfTrue="1" operator="equal">
      <formula>"þ"</formula>
    </cfRule>
  </conditionalFormatting>
  <conditionalFormatting sqref="E11">
    <cfRule type="cellIs" dxfId="231" priority="18" stopIfTrue="1" operator="equal">
      <formula>"þ"</formula>
    </cfRule>
  </conditionalFormatting>
  <conditionalFormatting sqref="E11">
    <cfRule type="cellIs" dxfId="230" priority="17" stopIfTrue="1" operator="equal">
      <formula>"þ"</formula>
    </cfRule>
  </conditionalFormatting>
  <conditionalFormatting sqref="E11">
    <cfRule type="cellIs" dxfId="229" priority="16" stopIfTrue="1" operator="equal">
      <formula>"þ"</formula>
    </cfRule>
  </conditionalFormatting>
  <conditionalFormatting sqref="E11">
    <cfRule type="cellIs" dxfId="228" priority="15" stopIfTrue="1" operator="equal">
      <formula>"þ"</formula>
    </cfRule>
  </conditionalFormatting>
  <conditionalFormatting sqref="F11">
    <cfRule type="cellIs" dxfId="227" priority="14" stopIfTrue="1" operator="equal">
      <formula>"þ"</formula>
    </cfRule>
  </conditionalFormatting>
  <conditionalFormatting sqref="F11">
    <cfRule type="cellIs" dxfId="226" priority="13" stopIfTrue="1" operator="equal">
      <formula>"þ"</formula>
    </cfRule>
  </conditionalFormatting>
  <conditionalFormatting sqref="F11">
    <cfRule type="cellIs" dxfId="225" priority="12" stopIfTrue="1" operator="equal">
      <formula>"þ"</formula>
    </cfRule>
  </conditionalFormatting>
  <conditionalFormatting sqref="F11">
    <cfRule type="cellIs" dxfId="224" priority="11" stopIfTrue="1" operator="equal">
      <formula>"þ"</formula>
    </cfRule>
  </conditionalFormatting>
  <conditionalFormatting sqref="E11">
    <cfRule type="cellIs" dxfId="223" priority="10" stopIfTrue="1" operator="equal">
      <formula>"þ"</formula>
    </cfRule>
  </conditionalFormatting>
  <conditionalFormatting sqref="E11">
    <cfRule type="cellIs" dxfId="222" priority="9" stopIfTrue="1" operator="equal">
      <formula>"þ"</formula>
    </cfRule>
  </conditionalFormatting>
  <conditionalFormatting sqref="L11">
    <cfRule type="cellIs" dxfId="221" priority="8" stopIfTrue="1" operator="equal">
      <formula>"þ"</formula>
    </cfRule>
  </conditionalFormatting>
  <conditionalFormatting sqref="L11">
    <cfRule type="cellIs" dxfId="220" priority="7" stopIfTrue="1" operator="equal">
      <formula>"þ"</formula>
    </cfRule>
  </conditionalFormatting>
  <conditionalFormatting sqref="L15">
    <cfRule type="cellIs" dxfId="219" priority="6" stopIfTrue="1" operator="equal">
      <formula>"þ"</formula>
    </cfRule>
  </conditionalFormatting>
  <conditionalFormatting sqref="L15">
    <cfRule type="cellIs" dxfId="218" priority="5" stopIfTrue="1" operator="equal">
      <formula>"þ"</formula>
    </cfRule>
  </conditionalFormatting>
  <conditionalFormatting sqref="L12">
    <cfRule type="cellIs" dxfId="217" priority="4" stopIfTrue="1" operator="equal">
      <formula>"þ"</formula>
    </cfRule>
  </conditionalFormatting>
  <conditionalFormatting sqref="L12">
    <cfRule type="cellIs" dxfId="216" priority="3" stopIfTrue="1" operator="equal">
      <formula>"þ"</formula>
    </cfRule>
  </conditionalFormatting>
  <conditionalFormatting sqref="L8">
    <cfRule type="cellIs" dxfId="215" priority="2" stopIfTrue="1" operator="equal">
      <formula>"þ"</formula>
    </cfRule>
  </conditionalFormatting>
  <conditionalFormatting sqref="L8">
    <cfRule type="cellIs" dxfId="214" priority="1" stopIfTrue="1" operator="equal">
      <formula>"þ"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42B83-5BEB-4D5D-AB84-9433CB14EEBD}">
  <dimension ref="A1:J25"/>
  <sheetViews>
    <sheetView showGridLines="0" zoomScaleNormal="100" workbookViewId="0">
      <pane ySplit="2" topLeftCell="A3" activePane="bottomLeft" state="frozen"/>
      <selection pane="bottomLeft" activeCell="A3" sqref="A3"/>
    </sheetView>
  </sheetViews>
  <sheetFormatPr defaultColWidth="13" defaultRowHeight="15.6" x14ac:dyDescent="0.3"/>
  <cols>
    <col min="1" max="1" width="22.09765625" style="233" bestFit="1" customWidth="1"/>
    <col min="2" max="2" width="6.19921875" style="233" bestFit="1" customWidth="1"/>
    <col min="3" max="3" width="13.59765625" style="234" bestFit="1" customWidth="1"/>
    <col min="4" max="4" width="12.69921875" style="234" bestFit="1" customWidth="1"/>
    <col min="5" max="5" width="8.09765625" style="234" bestFit="1" customWidth="1"/>
    <col min="6" max="6" width="13.19921875" style="234" bestFit="1" customWidth="1"/>
    <col min="7" max="7" width="13.19921875" style="233" bestFit="1" customWidth="1"/>
    <col min="8" max="8" width="19.69921875" style="231" bestFit="1" customWidth="1"/>
    <col min="9" max="9" width="5.5" style="231" bestFit="1" customWidth="1"/>
    <col min="10" max="10" width="13" style="232"/>
    <col min="11" max="16384" width="13" style="231"/>
  </cols>
  <sheetData>
    <row r="1" spans="1:10" ht="23.4" thickBot="1" x14ac:dyDescent="0.35">
      <c r="A1" s="266" t="s">
        <v>336</v>
      </c>
      <c r="B1" s="265"/>
      <c r="C1" s="265"/>
      <c r="D1" s="265"/>
      <c r="E1" s="265"/>
      <c r="F1" s="265"/>
      <c r="G1" s="265"/>
      <c r="H1" s="265"/>
    </row>
    <row r="2" spans="1:10" s="258" customFormat="1" ht="16.8" x14ac:dyDescent="0.3">
      <c r="A2" s="264" t="s">
        <v>71</v>
      </c>
      <c r="B2" s="263" t="s">
        <v>278</v>
      </c>
      <c r="C2" s="262" t="s">
        <v>277</v>
      </c>
      <c r="D2" s="262" t="s">
        <v>276</v>
      </c>
      <c r="E2" s="262" t="s">
        <v>275</v>
      </c>
      <c r="F2" s="262" t="s">
        <v>274</v>
      </c>
      <c r="G2" s="262" t="s">
        <v>273</v>
      </c>
      <c r="H2" s="262" t="s">
        <v>272</v>
      </c>
      <c r="I2" s="261" t="s">
        <v>271</v>
      </c>
      <c r="J2" s="232"/>
    </row>
    <row r="3" spans="1:10" s="258" customFormat="1" ht="16.8" x14ac:dyDescent="0.3">
      <c r="A3" s="248" t="s">
        <v>270</v>
      </c>
      <c r="B3" s="247">
        <v>0</v>
      </c>
      <c r="C3" s="260" t="s">
        <v>258</v>
      </c>
      <c r="D3" s="245" t="s">
        <v>239</v>
      </c>
      <c r="E3" s="243" t="s">
        <v>234</v>
      </c>
      <c r="F3" s="243" t="s">
        <v>269</v>
      </c>
      <c r="G3" s="243" t="s">
        <v>92</v>
      </c>
      <c r="H3" s="243" t="s">
        <v>231</v>
      </c>
      <c r="I3" s="242">
        <v>219</v>
      </c>
      <c r="J3" s="232"/>
    </row>
    <row r="4" spans="1:10" s="258" customFormat="1" ht="16.8" x14ac:dyDescent="0.3">
      <c r="A4" s="248" t="s">
        <v>268</v>
      </c>
      <c r="B4" s="247">
        <v>0</v>
      </c>
      <c r="C4" s="260" t="s">
        <v>248</v>
      </c>
      <c r="D4" s="245" t="s">
        <v>235</v>
      </c>
      <c r="E4" s="244" t="s">
        <v>234</v>
      </c>
      <c r="F4" s="243" t="s">
        <v>244</v>
      </c>
      <c r="G4" s="243" t="s">
        <v>93</v>
      </c>
      <c r="H4" s="243" t="s">
        <v>231</v>
      </c>
      <c r="I4" s="242">
        <v>235</v>
      </c>
      <c r="J4" s="232"/>
    </row>
    <row r="5" spans="1:10" s="258" customFormat="1" ht="16.8" x14ac:dyDescent="0.3">
      <c r="A5" s="248" t="s">
        <v>265</v>
      </c>
      <c r="B5" s="247">
        <v>0</v>
      </c>
      <c r="C5" s="246" t="s">
        <v>236</v>
      </c>
      <c r="D5" s="245" t="s">
        <v>264</v>
      </c>
      <c r="E5" s="244" t="s">
        <v>234</v>
      </c>
      <c r="F5" s="243" t="s">
        <v>246</v>
      </c>
      <c r="G5" s="243" t="s">
        <v>91</v>
      </c>
      <c r="H5" s="243" t="s">
        <v>231</v>
      </c>
      <c r="I5" s="242">
        <v>248</v>
      </c>
      <c r="J5" s="232"/>
    </row>
    <row r="6" spans="1:10" s="258" customFormat="1" ht="16.8" x14ac:dyDescent="0.3">
      <c r="A6" s="248" t="s">
        <v>267</v>
      </c>
      <c r="B6" s="247">
        <v>0</v>
      </c>
      <c r="C6" s="260" t="s">
        <v>260</v>
      </c>
      <c r="D6" s="245" t="s">
        <v>239</v>
      </c>
      <c r="E6" s="244" t="s">
        <v>234</v>
      </c>
      <c r="F6" s="243" t="s">
        <v>244</v>
      </c>
      <c r="G6" s="243" t="s">
        <v>266</v>
      </c>
      <c r="H6" s="243" t="s">
        <v>231</v>
      </c>
      <c r="I6" s="242">
        <v>249</v>
      </c>
      <c r="J6" s="232"/>
    </row>
    <row r="7" spans="1:10" s="258" customFormat="1" ht="16.8" x14ac:dyDescent="0.3">
      <c r="A7" s="248" t="s">
        <v>263</v>
      </c>
      <c r="B7" s="247">
        <v>0</v>
      </c>
      <c r="C7" s="246" t="s">
        <v>260</v>
      </c>
      <c r="D7" s="245" t="s">
        <v>239</v>
      </c>
      <c r="E7" s="244" t="s">
        <v>234</v>
      </c>
      <c r="F7" s="243" t="s">
        <v>262</v>
      </c>
      <c r="G7" s="243" t="s">
        <v>232</v>
      </c>
      <c r="H7" s="243" t="s">
        <v>231</v>
      </c>
      <c r="I7" s="242">
        <v>253</v>
      </c>
      <c r="J7" s="232"/>
    </row>
    <row r="8" spans="1:10" s="258" customFormat="1" ht="16.8" x14ac:dyDescent="0.3">
      <c r="A8" s="248" t="s">
        <v>261</v>
      </c>
      <c r="B8" s="247">
        <v>0</v>
      </c>
      <c r="C8" s="260" t="s">
        <v>260</v>
      </c>
      <c r="D8" s="245" t="s">
        <v>253</v>
      </c>
      <c r="E8" s="244" t="s">
        <v>234</v>
      </c>
      <c r="F8" s="243" t="s">
        <v>238</v>
      </c>
      <c r="G8" s="243" t="s">
        <v>91</v>
      </c>
      <c r="H8" s="243" t="s">
        <v>231</v>
      </c>
      <c r="I8" s="242">
        <v>253</v>
      </c>
      <c r="J8" s="232"/>
    </row>
    <row r="9" spans="1:10" s="258" customFormat="1" ht="16.8" x14ac:dyDescent="0.3">
      <c r="A9" s="248" t="s">
        <v>279</v>
      </c>
      <c r="B9" s="247">
        <v>0</v>
      </c>
      <c r="C9" s="246" t="s">
        <v>242</v>
      </c>
      <c r="D9" s="245" t="s">
        <v>239</v>
      </c>
      <c r="E9" s="244" t="s">
        <v>234</v>
      </c>
      <c r="F9" s="243" t="s">
        <v>244</v>
      </c>
      <c r="G9" s="243" t="s">
        <v>232</v>
      </c>
      <c r="H9" s="243" t="s">
        <v>231</v>
      </c>
      <c r="I9" s="242">
        <v>269</v>
      </c>
      <c r="J9" s="232"/>
    </row>
    <row r="10" spans="1:10" s="258" customFormat="1" ht="16.8" x14ac:dyDescent="0.3">
      <c r="A10" s="255" t="s">
        <v>259</v>
      </c>
      <c r="B10" s="254">
        <v>0</v>
      </c>
      <c r="C10" s="253" t="s">
        <v>258</v>
      </c>
      <c r="D10" s="252" t="s">
        <v>253</v>
      </c>
      <c r="E10" s="251" t="s">
        <v>234</v>
      </c>
      <c r="F10" s="250" t="s">
        <v>250</v>
      </c>
      <c r="G10" s="250" t="s">
        <v>91</v>
      </c>
      <c r="H10" s="250" t="s">
        <v>231</v>
      </c>
      <c r="I10" s="259">
        <v>269</v>
      </c>
      <c r="J10" s="232"/>
    </row>
    <row r="11" spans="1:10" ht="16.8" x14ac:dyDescent="0.3">
      <c r="A11" s="248" t="s">
        <v>257</v>
      </c>
      <c r="B11" s="247">
        <v>1</v>
      </c>
      <c r="C11" s="246" t="s">
        <v>236</v>
      </c>
      <c r="D11" s="245" t="s">
        <v>239</v>
      </c>
      <c r="E11" s="244" t="s">
        <v>234</v>
      </c>
      <c r="F11" s="243" t="s">
        <v>256</v>
      </c>
      <c r="G11" s="243" t="s">
        <v>232</v>
      </c>
      <c r="H11" s="243" t="s">
        <v>231</v>
      </c>
      <c r="I11" s="242">
        <v>207</v>
      </c>
    </row>
    <row r="12" spans="1:10" ht="16.8" x14ac:dyDescent="0.3">
      <c r="A12" s="248" t="s">
        <v>255</v>
      </c>
      <c r="B12" s="247">
        <v>1</v>
      </c>
      <c r="C12" s="246" t="s">
        <v>254</v>
      </c>
      <c r="D12" s="245" t="s">
        <v>245</v>
      </c>
      <c r="E12" s="244" t="s">
        <v>234</v>
      </c>
      <c r="F12" s="243" t="s">
        <v>250</v>
      </c>
      <c r="G12" s="243" t="s">
        <v>91</v>
      </c>
      <c r="H12" s="243" t="s">
        <v>231</v>
      </c>
      <c r="I12" s="242">
        <v>212</v>
      </c>
    </row>
    <row r="13" spans="1:10" ht="16.8" x14ac:dyDescent="0.3">
      <c r="A13" s="248" t="s">
        <v>108</v>
      </c>
      <c r="B13" s="247">
        <v>1</v>
      </c>
      <c r="C13" s="246" t="s">
        <v>242</v>
      </c>
      <c r="D13" s="245" t="s">
        <v>253</v>
      </c>
      <c r="E13" s="244" t="s">
        <v>234</v>
      </c>
      <c r="F13" s="243" t="s">
        <v>246</v>
      </c>
      <c r="G13" s="243" t="s">
        <v>90</v>
      </c>
      <c r="H13" s="243" t="s">
        <v>231</v>
      </c>
      <c r="I13" s="242">
        <v>249</v>
      </c>
    </row>
    <row r="14" spans="1:10" ht="16.8" x14ac:dyDescent="0.3">
      <c r="A14" s="248" t="s">
        <v>252</v>
      </c>
      <c r="B14" s="247">
        <v>1</v>
      </c>
      <c r="C14" s="246" t="s">
        <v>236</v>
      </c>
      <c r="D14" s="245" t="s">
        <v>239</v>
      </c>
      <c r="E14" s="244" t="s">
        <v>234</v>
      </c>
      <c r="F14" s="243" t="s">
        <v>238</v>
      </c>
      <c r="G14" s="243" t="s">
        <v>232</v>
      </c>
      <c r="H14" s="243" t="s">
        <v>231</v>
      </c>
      <c r="I14" s="256">
        <v>251</v>
      </c>
    </row>
    <row r="15" spans="1:10" ht="16.8" x14ac:dyDescent="0.3">
      <c r="A15" s="255" t="s">
        <v>251</v>
      </c>
      <c r="B15" s="254">
        <v>1</v>
      </c>
      <c r="C15" s="253" t="s">
        <v>240</v>
      </c>
      <c r="D15" s="252" t="s">
        <v>239</v>
      </c>
      <c r="E15" s="251" t="s">
        <v>234</v>
      </c>
      <c r="F15" s="250" t="s">
        <v>250</v>
      </c>
      <c r="G15" s="250" t="s">
        <v>92</v>
      </c>
      <c r="H15" s="250" t="s">
        <v>231</v>
      </c>
      <c r="I15" s="249">
        <v>278</v>
      </c>
    </row>
    <row r="16" spans="1:10" ht="16.8" x14ac:dyDescent="0.3">
      <c r="A16" s="248" t="s">
        <v>249</v>
      </c>
      <c r="B16" s="247">
        <v>2</v>
      </c>
      <c r="C16" s="246" t="s">
        <v>248</v>
      </c>
      <c r="D16" s="245" t="s">
        <v>247</v>
      </c>
      <c r="E16" s="244" t="s">
        <v>234</v>
      </c>
      <c r="F16" s="243" t="s">
        <v>246</v>
      </c>
      <c r="G16" s="243" t="s">
        <v>91</v>
      </c>
      <c r="H16" s="243" t="s">
        <v>231</v>
      </c>
      <c r="I16" s="257">
        <v>245</v>
      </c>
    </row>
    <row r="17" spans="1:9" ht="16.8" x14ac:dyDescent="0.3">
      <c r="A17" s="248" t="s">
        <v>280</v>
      </c>
      <c r="B17" s="247">
        <v>2</v>
      </c>
      <c r="C17" s="246" t="s">
        <v>236</v>
      </c>
      <c r="D17" s="245" t="s">
        <v>239</v>
      </c>
      <c r="E17" s="244" t="s">
        <v>234</v>
      </c>
      <c r="F17" s="243" t="s">
        <v>244</v>
      </c>
      <c r="G17" s="243" t="s">
        <v>232</v>
      </c>
      <c r="H17" s="243" t="s">
        <v>231</v>
      </c>
      <c r="I17" s="257">
        <v>274</v>
      </c>
    </row>
    <row r="18" spans="1:9" ht="16.8" x14ac:dyDescent="0.3">
      <c r="A18" s="248" t="s">
        <v>307</v>
      </c>
      <c r="B18" s="247">
        <v>2</v>
      </c>
      <c r="C18" s="246" t="s">
        <v>236</v>
      </c>
      <c r="D18" s="245" t="s">
        <v>253</v>
      </c>
      <c r="E18" s="274" t="s">
        <v>234</v>
      </c>
      <c r="F18" s="243" t="s">
        <v>244</v>
      </c>
      <c r="G18" s="243" t="s">
        <v>232</v>
      </c>
      <c r="H18" s="243" t="s">
        <v>308</v>
      </c>
      <c r="I18" s="275">
        <v>66</v>
      </c>
    </row>
    <row r="19" spans="1:9" ht="16.8" x14ac:dyDescent="0.3">
      <c r="A19" s="255" t="s">
        <v>243</v>
      </c>
      <c r="B19" s="254">
        <v>2</v>
      </c>
      <c r="C19" s="253" t="s">
        <v>242</v>
      </c>
      <c r="D19" s="252" t="s">
        <v>235</v>
      </c>
      <c r="E19" s="251" t="s">
        <v>234</v>
      </c>
      <c r="F19" s="250" t="s">
        <v>238</v>
      </c>
      <c r="G19" s="250" t="s">
        <v>91</v>
      </c>
      <c r="H19" s="250" t="s">
        <v>231</v>
      </c>
      <c r="I19" s="249">
        <v>301</v>
      </c>
    </row>
    <row r="20" spans="1:9" ht="16.8" x14ac:dyDescent="0.3">
      <c r="A20" s="248" t="s">
        <v>241</v>
      </c>
      <c r="B20" s="247">
        <v>3</v>
      </c>
      <c r="C20" s="246" t="s">
        <v>240</v>
      </c>
      <c r="D20" s="245" t="s">
        <v>239</v>
      </c>
      <c r="E20" s="244" t="s">
        <v>234</v>
      </c>
      <c r="F20" s="243" t="s">
        <v>238</v>
      </c>
      <c r="G20" s="243" t="s">
        <v>232</v>
      </c>
      <c r="H20" s="243" t="s">
        <v>231</v>
      </c>
      <c r="I20" s="242">
        <v>223</v>
      </c>
    </row>
    <row r="21" spans="1:9" ht="16.8" x14ac:dyDescent="0.3">
      <c r="A21" s="248" t="s">
        <v>237</v>
      </c>
      <c r="B21" s="247">
        <v>3</v>
      </c>
      <c r="C21" s="246" t="s">
        <v>236</v>
      </c>
      <c r="D21" s="245" t="s">
        <v>235</v>
      </c>
      <c r="E21" s="244" t="s">
        <v>234</v>
      </c>
      <c r="F21" s="243" t="s">
        <v>233</v>
      </c>
      <c r="G21" s="243" t="s">
        <v>232</v>
      </c>
      <c r="H21" s="243" t="s">
        <v>231</v>
      </c>
      <c r="I21" s="242">
        <v>231</v>
      </c>
    </row>
    <row r="22" spans="1:9" ht="16.8" x14ac:dyDescent="0.3">
      <c r="A22" s="255" t="s">
        <v>281</v>
      </c>
      <c r="B22" s="254">
        <v>3</v>
      </c>
      <c r="C22" s="253" t="s">
        <v>236</v>
      </c>
      <c r="D22" s="252" t="s">
        <v>239</v>
      </c>
      <c r="E22" s="251" t="s">
        <v>234</v>
      </c>
      <c r="F22" s="250" t="s">
        <v>269</v>
      </c>
      <c r="G22" s="250" t="s">
        <v>232</v>
      </c>
      <c r="H22" s="250" t="s">
        <v>282</v>
      </c>
      <c r="I22" s="259">
        <v>121</v>
      </c>
    </row>
    <row r="23" spans="1:9" ht="16.8" x14ac:dyDescent="0.3">
      <c r="A23" s="248" t="s">
        <v>286</v>
      </c>
      <c r="B23" s="247">
        <v>4</v>
      </c>
      <c r="C23" s="246" t="s">
        <v>236</v>
      </c>
      <c r="D23" s="245" t="s">
        <v>245</v>
      </c>
      <c r="E23" s="244" t="s">
        <v>234</v>
      </c>
      <c r="F23" s="243" t="s">
        <v>233</v>
      </c>
      <c r="G23" s="243" t="s">
        <v>287</v>
      </c>
      <c r="H23" s="243" t="s">
        <v>231</v>
      </c>
      <c r="I23" s="242">
        <v>243</v>
      </c>
    </row>
    <row r="24" spans="1:9" ht="17.399999999999999" thickBot="1" x14ac:dyDescent="0.35">
      <c r="A24" s="241" t="s">
        <v>283</v>
      </c>
      <c r="B24" s="240">
        <v>4</v>
      </c>
      <c r="C24" s="239" t="s">
        <v>284</v>
      </c>
      <c r="D24" s="238" t="s">
        <v>239</v>
      </c>
      <c r="E24" s="237" t="s">
        <v>234</v>
      </c>
      <c r="F24" s="236" t="s">
        <v>238</v>
      </c>
      <c r="G24" s="236" t="s">
        <v>232</v>
      </c>
      <c r="H24" s="236" t="s">
        <v>285</v>
      </c>
      <c r="I24" s="235">
        <v>52</v>
      </c>
    </row>
    <row r="25" spans="1:9" ht="16.2" thickTop="1" x14ac:dyDescent="0.3"/>
  </sheetData>
  <sortState xmlns:xlrd2="http://schemas.microsoft.com/office/spreadsheetml/2017/richdata2" ref="A3:I24">
    <sortCondition ref="B3:B24"/>
    <sortCondition ref="A3:A24"/>
  </sortState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4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9.69921875" style="48" bestFit="1" customWidth="1"/>
    <col min="2" max="2" width="22.59765625" style="48" bestFit="1" customWidth="1"/>
    <col min="3" max="3" width="24.69921875" style="48" bestFit="1" customWidth="1"/>
    <col min="4" max="4" width="7.296875" style="48" bestFit="1" customWidth="1"/>
    <col min="5" max="5" width="4.8984375" style="48" bestFit="1" customWidth="1"/>
    <col min="6" max="6" width="5.796875" style="48" bestFit="1" customWidth="1"/>
    <col min="7" max="7" width="5.796875" style="48" customWidth="1"/>
    <col min="8" max="8" width="3.8984375" style="48" bestFit="1" customWidth="1"/>
    <col min="9" max="9" width="7.09765625" style="48" bestFit="1" customWidth="1"/>
    <col min="10" max="10" width="5.69921875" style="48" bestFit="1" customWidth="1"/>
    <col min="11" max="11" width="4.296875" style="48" bestFit="1" customWidth="1"/>
    <col min="12" max="12" width="5.3984375" style="48" bestFit="1" customWidth="1"/>
    <col min="13" max="13" width="4.296875" style="48" bestFit="1" customWidth="1"/>
    <col min="14" max="14" width="6.69921875" style="48" bestFit="1" customWidth="1"/>
    <col min="15" max="15" width="54.59765625" style="43" customWidth="1"/>
    <col min="16" max="16384" width="8.796875" style="43"/>
  </cols>
  <sheetData>
    <row r="1" spans="1:15" ht="31.8" thickBot="1" x14ac:dyDescent="0.35">
      <c r="A1" s="132" t="s">
        <v>0</v>
      </c>
      <c r="B1" s="128" t="s">
        <v>32</v>
      </c>
      <c r="C1" s="128" t="s">
        <v>33</v>
      </c>
      <c r="D1" s="129" t="s">
        <v>89</v>
      </c>
      <c r="E1" s="131" t="s">
        <v>34</v>
      </c>
      <c r="F1" s="130" t="s">
        <v>88</v>
      </c>
      <c r="G1" s="129" t="s">
        <v>87</v>
      </c>
      <c r="H1" s="128" t="s">
        <v>35</v>
      </c>
      <c r="I1" s="128" t="s">
        <v>36</v>
      </c>
      <c r="J1" s="125" t="s">
        <v>86</v>
      </c>
      <c r="K1" s="127" t="s">
        <v>3</v>
      </c>
      <c r="L1" s="125" t="s">
        <v>23</v>
      </c>
      <c r="M1" s="126" t="s">
        <v>83</v>
      </c>
      <c r="N1" s="125" t="s">
        <v>82</v>
      </c>
      <c r="O1" s="183" t="s">
        <v>85</v>
      </c>
    </row>
    <row r="2" spans="1:15" x14ac:dyDescent="0.3">
      <c r="A2" s="123" t="s">
        <v>144</v>
      </c>
      <c r="B2" s="219" t="s">
        <v>162</v>
      </c>
      <c r="C2" s="220" t="s">
        <v>165</v>
      </c>
      <c r="D2" s="124" t="s">
        <v>79</v>
      </c>
      <c r="E2" s="123">
        <v>18</v>
      </c>
      <c r="F2" s="122">
        <v>0</v>
      </c>
      <c r="G2" s="121">
        <v>0</v>
      </c>
      <c r="H2" s="44">
        <v>0</v>
      </c>
      <c r="I2" s="44">
        <v>0</v>
      </c>
      <c r="J2" s="44">
        <f t="shared" ref="J2:J10" si="0">IF(D2="þ",SUM(E2,G2:I2),SUM(E2,F2,H2,I2))</f>
        <v>18</v>
      </c>
      <c r="K2" s="45">
        <f t="shared" ref="K2:K10" ca="1" si="1">RANDBETWEEN(1,20)</f>
        <v>6</v>
      </c>
      <c r="L2" s="44">
        <f t="shared" ref="L2:L10" ca="1" si="2">SUM(J2:K2)</f>
        <v>24</v>
      </c>
      <c r="M2" s="63">
        <v>19</v>
      </c>
      <c r="N2" s="66" t="str">
        <f t="shared" ref="N2:N10" ca="1" si="3">IF(K2&gt;(M2-1),"þ","ý")</f>
        <v>ý</v>
      </c>
      <c r="O2" s="68" t="s">
        <v>183</v>
      </c>
    </row>
    <row r="3" spans="1:15" x14ac:dyDescent="0.3">
      <c r="A3" s="123" t="s">
        <v>144</v>
      </c>
      <c r="B3" s="219" t="s">
        <v>151</v>
      </c>
      <c r="C3" s="220" t="s">
        <v>166</v>
      </c>
      <c r="D3" s="124" t="s">
        <v>79</v>
      </c>
      <c r="E3" s="123">
        <v>18</v>
      </c>
      <c r="F3" s="122">
        <v>0</v>
      </c>
      <c r="G3" s="121">
        <v>0</v>
      </c>
      <c r="H3" s="44">
        <v>0</v>
      </c>
      <c r="I3" s="44">
        <v>0</v>
      </c>
      <c r="J3" s="44">
        <f t="shared" si="0"/>
        <v>18</v>
      </c>
      <c r="K3" s="45">
        <f t="shared" ca="1" si="1"/>
        <v>5</v>
      </c>
      <c r="L3" s="44">
        <f t="shared" ca="1" si="2"/>
        <v>23</v>
      </c>
      <c r="M3" s="63">
        <v>19</v>
      </c>
      <c r="N3" s="66" t="str">
        <f t="shared" ca="1" si="3"/>
        <v>ý</v>
      </c>
      <c r="O3" s="68"/>
    </row>
    <row r="4" spans="1:15" x14ac:dyDescent="0.3">
      <c r="A4" s="123" t="s">
        <v>144</v>
      </c>
      <c r="B4" s="219" t="s">
        <v>153</v>
      </c>
      <c r="C4" s="220" t="s">
        <v>166</v>
      </c>
      <c r="D4" s="124" t="s">
        <v>79</v>
      </c>
      <c r="E4" s="123">
        <v>18</v>
      </c>
      <c r="F4" s="122">
        <v>0</v>
      </c>
      <c r="G4" s="121">
        <v>0</v>
      </c>
      <c r="H4" s="44">
        <v>0</v>
      </c>
      <c r="I4" s="44">
        <v>0</v>
      </c>
      <c r="J4" s="44">
        <f t="shared" ref="J4" si="4">IF(D4="þ",SUM(E4,G4:I4),SUM(E4,F4,H4,I4))</f>
        <v>18</v>
      </c>
      <c r="K4" s="45">
        <f t="shared" ca="1" si="1"/>
        <v>6</v>
      </c>
      <c r="L4" s="44">
        <f t="shared" ref="L4" ca="1" si="5">SUM(J4:K4)</f>
        <v>24</v>
      </c>
      <c r="M4" s="63">
        <v>19</v>
      </c>
      <c r="N4" s="66" t="str">
        <f t="shared" ref="N4" ca="1" si="6">IF(K4&gt;(M4-1),"þ","ý")</f>
        <v>ý</v>
      </c>
      <c r="O4" s="68"/>
    </row>
    <row r="5" spans="1:15" x14ac:dyDescent="0.3">
      <c r="A5" s="123" t="s">
        <v>144</v>
      </c>
      <c r="B5" s="219" t="s">
        <v>163</v>
      </c>
      <c r="C5" s="220" t="s">
        <v>158</v>
      </c>
      <c r="D5" s="124" t="s">
        <v>79</v>
      </c>
      <c r="E5" s="123">
        <v>18</v>
      </c>
      <c r="F5" s="122">
        <v>0</v>
      </c>
      <c r="G5" s="121">
        <v>0</v>
      </c>
      <c r="H5" s="44">
        <v>0</v>
      </c>
      <c r="I5" s="44">
        <v>0</v>
      </c>
      <c r="J5" s="44">
        <f t="shared" si="0"/>
        <v>18</v>
      </c>
      <c r="K5" s="45">
        <f t="shared" ca="1" si="1"/>
        <v>16</v>
      </c>
      <c r="L5" s="44">
        <f t="shared" ca="1" si="2"/>
        <v>34</v>
      </c>
      <c r="M5" s="63">
        <v>19</v>
      </c>
      <c r="N5" s="66" t="str">
        <f t="shared" ca="1" si="3"/>
        <v>ý</v>
      </c>
      <c r="O5" s="68"/>
    </row>
    <row r="6" spans="1:15" x14ac:dyDescent="0.3">
      <c r="A6" s="123" t="s">
        <v>144</v>
      </c>
      <c r="B6" s="219" t="s">
        <v>164</v>
      </c>
      <c r="C6" s="220" t="s">
        <v>158</v>
      </c>
      <c r="D6" s="124" t="s">
        <v>79</v>
      </c>
      <c r="E6" s="123">
        <v>18</v>
      </c>
      <c r="F6" s="122">
        <v>0</v>
      </c>
      <c r="G6" s="121">
        <v>0</v>
      </c>
      <c r="H6" s="44">
        <v>0</v>
      </c>
      <c r="I6" s="44">
        <v>0</v>
      </c>
      <c r="J6" s="44">
        <f t="shared" si="0"/>
        <v>18</v>
      </c>
      <c r="K6" s="45">
        <f t="shared" ca="1" si="1"/>
        <v>19</v>
      </c>
      <c r="L6" s="44">
        <f t="shared" ca="1" si="2"/>
        <v>37</v>
      </c>
      <c r="M6" s="63">
        <v>19</v>
      </c>
      <c r="N6" s="66" t="str">
        <f t="shared" ca="1" si="3"/>
        <v>þ</v>
      </c>
      <c r="O6" s="68"/>
    </row>
    <row r="7" spans="1:15" x14ac:dyDescent="0.3">
      <c r="A7" s="123" t="s">
        <v>144</v>
      </c>
      <c r="B7" s="219" t="s">
        <v>149</v>
      </c>
      <c r="C7" s="220" t="s">
        <v>167</v>
      </c>
      <c r="D7" s="124" t="s">
        <v>79</v>
      </c>
      <c r="E7" s="123">
        <v>18</v>
      </c>
      <c r="F7" s="122">
        <v>0</v>
      </c>
      <c r="G7" s="121">
        <v>0</v>
      </c>
      <c r="H7" s="44">
        <v>0</v>
      </c>
      <c r="I7" s="44">
        <v>0</v>
      </c>
      <c r="J7" s="44">
        <f t="shared" si="0"/>
        <v>18</v>
      </c>
      <c r="K7" s="45">
        <f t="shared" ca="1" si="1"/>
        <v>17</v>
      </c>
      <c r="L7" s="44">
        <f t="shared" ca="1" si="2"/>
        <v>35</v>
      </c>
      <c r="M7" s="63">
        <v>19</v>
      </c>
      <c r="N7" s="66" t="str">
        <f t="shared" ca="1" si="3"/>
        <v>ý</v>
      </c>
      <c r="O7" s="68"/>
    </row>
    <row r="8" spans="1:15" x14ac:dyDescent="0.3">
      <c r="A8" s="123" t="s">
        <v>144</v>
      </c>
      <c r="B8" s="219" t="s">
        <v>168</v>
      </c>
      <c r="C8" s="220" t="s">
        <v>306</v>
      </c>
      <c r="D8" s="124" t="s">
        <v>84</v>
      </c>
      <c r="E8" s="227"/>
      <c r="F8" s="228"/>
      <c r="G8" s="228"/>
      <c r="H8" s="228"/>
      <c r="I8" s="228"/>
      <c r="J8" s="228"/>
      <c r="K8" s="229"/>
      <c r="L8" s="228"/>
      <c r="M8" s="228"/>
      <c r="N8" s="230"/>
      <c r="O8" s="219" t="s">
        <v>184</v>
      </c>
    </row>
    <row r="9" spans="1:15" x14ac:dyDescent="0.3">
      <c r="A9" s="123" t="s">
        <v>144</v>
      </c>
      <c r="B9" s="219" t="s">
        <v>170</v>
      </c>
      <c r="C9" s="224" t="s">
        <v>169</v>
      </c>
      <c r="D9" s="124" t="s">
        <v>84</v>
      </c>
      <c r="E9" s="227"/>
      <c r="F9" s="228"/>
      <c r="G9" s="228"/>
      <c r="H9" s="228"/>
      <c r="I9" s="228"/>
      <c r="J9" s="228"/>
      <c r="K9" s="229"/>
      <c r="L9" s="228"/>
      <c r="M9" s="228"/>
      <c r="N9" s="230"/>
      <c r="O9" s="68" t="s">
        <v>290</v>
      </c>
    </row>
    <row r="10" spans="1:15" x14ac:dyDescent="0.3">
      <c r="A10" s="119" t="s">
        <v>144</v>
      </c>
      <c r="B10" s="46" t="s">
        <v>154</v>
      </c>
      <c r="C10" s="46" t="s">
        <v>154</v>
      </c>
      <c r="D10" s="120" t="s">
        <v>79</v>
      </c>
      <c r="E10" s="119">
        <v>18</v>
      </c>
      <c r="F10" s="118">
        <v>5</v>
      </c>
      <c r="G10" s="117">
        <v>0</v>
      </c>
      <c r="H10" s="46">
        <v>0</v>
      </c>
      <c r="I10" s="46">
        <v>0</v>
      </c>
      <c r="J10" s="46">
        <f t="shared" si="0"/>
        <v>23</v>
      </c>
      <c r="K10" s="47">
        <f t="shared" ca="1" si="1"/>
        <v>14</v>
      </c>
      <c r="L10" s="46">
        <f t="shared" ca="1" si="2"/>
        <v>37</v>
      </c>
      <c r="M10" s="64">
        <v>20</v>
      </c>
      <c r="N10" s="65" t="str">
        <f t="shared" ca="1" si="3"/>
        <v>ý</v>
      </c>
      <c r="O10" s="116"/>
    </row>
    <row r="11" spans="1:15" x14ac:dyDescent="0.3">
      <c r="A11" s="123" t="s">
        <v>147</v>
      </c>
      <c r="B11" s="219" t="s">
        <v>149</v>
      </c>
      <c r="C11" s="220" t="s">
        <v>150</v>
      </c>
      <c r="D11" s="124" t="s">
        <v>79</v>
      </c>
      <c r="E11" s="123">
        <v>12</v>
      </c>
      <c r="F11" s="122">
        <v>6</v>
      </c>
      <c r="G11" s="121">
        <v>-2</v>
      </c>
      <c r="H11" s="44">
        <v>0</v>
      </c>
      <c r="I11" s="44">
        <v>0</v>
      </c>
      <c r="J11" s="44">
        <f t="shared" ref="J11:J21" si="7">IF(D11="þ",SUM(E11,G11:I11),SUM(E11,F11,H11,I11))</f>
        <v>18</v>
      </c>
      <c r="K11" s="45">
        <f t="shared" ref="K11:K21" ca="1" si="8">RANDBETWEEN(1,20)</f>
        <v>15</v>
      </c>
      <c r="L11" s="44">
        <f t="shared" ref="L11:L13" ca="1" si="9">SUM(J11:K11)</f>
        <v>33</v>
      </c>
      <c r="M11" s="63">
        <v>19</v>
      </c>
      <c r="N11" s="66" t="str">
        <f t="shared" ref="N11:N21" ca="1" si="10">IF(K11&gt;(M11-1),"þ","ý")</f>
        <v>ý</v>
      </c>
      <c r="O11" s="182"/>
    </row>
    <row r="12" spans="1:15" x14ac:dyDescent="0.3">
      <c r="A12" s="123" t="s">
        <v>147</v>
      </c>
      <c r="B12" s="68" t="s">
        <v>151</v>
      </c>
      <c r="C12" s="44" t="s">
        <v>152</v>
      </c>
      <c r="D12" s="124" t="s">
        <v>79</v>
      </c>
      <c r="E12" s="123">
        <v>12</v>
      </c>
      <c r="F12" s="122">
        <v>5</v>
      </c>
      <c r="G12" s="121">
        <v>-2</v>
      </c>
      <c r="H12" s="44">
        <v>0</v>
      </c>
      <c r="I12" s="44">
        <v>0</v>
      </c>
      <c r="J12" s="44">
        <f t="shared" si="7"/>
        <v>17</v>
      </c>
      <c r="K12" s="45">
        <f t="shared" ca="1" si="8"/>
        <v>2</v>
      </c>
      <c r="L12" s="44">
        <f t="shared" ca="1" si="9"/>
        <v>19</v>
      </c>
      <c r="M12" s="63">
        <v>20</v>
      </c>
      <c r="N12" s="66" t="str">
        <f t="shared" ca="1" si="10"/>
        <v>ý</v>
      </c>
      <c r="O12" s="68"/>
    </row>
    <row r="13" spans="1:15" x14ac:dyDescent="0.3">
      <c r="A13" s="123" t="s">
        <v>147</v>
      </c>
      <c r="B13" s="68" t="s">
        <v>153</v>
      </c>
      <c r="C13" s="44" t="s">
        <v>152</v>
      </c>
      <c r="D13" s="124" t="s">
        <v>79</v>
      </c>
      <c r="E13" s="123">
        <v>12</v>
      </c>
      <c r="F13" s="122">
        <v>5</v>
      </c>
      <c r="G13" s="121">
        <v>-2</v>
      </c>
      <c r="H13" s="44">
        <v>0</v>
      </c>
      <c r="I13" s="44">
        <v>0</v>
      </c>
      <c r="J13" s="44">
        <f t="shared" si="7"/>
        <v>17</v>
      </c>
      <c r="K13" s="45">
        <f t="shared" ca="1" si="8"/>
        <v>5</v>
      </c>
      <c r="L13" s="44">
        <f t="shared" ca="1" si="9"/>
        <v>22</v>
      </c>
      <c r="M13" s="63">
        <v>20</v>
      </c>
      <c r="N13" s="66" t="str">
        <f t="shared" ca="1" si="10"/>
        <v>ý</v>
      </c>
      <c r="O13" s="68"/>
    </row>
    <row r="14" spans="1:15" x14ac:dyDescent="0.3">
      <c r="A14" s="119" t="s">
        <v>147</v>
      </c>
      <c r="B14" s="46" t="s">
        <v>154</v>
      </c>
      <c r="C14" s="46" t="s">
        <v>154</v>
      </c>
      <c r="D14" s="120" t="s">
        <v>79</v>
      </c>
      <c r="E14" s="119">
        <v>12</v>
      </c>
      <c r="F14" s="118">
        <v>18</v>
      </c>
      <c r="G14" s="117">
        <v>-2</v>
      </c>
      <c r="H14" s="46">
        <v>0</v>
      </c>
      <c r="I14" s="46">
        <v>0</v>
      </c>
      <c r="J14" s="46">
        <f t="shared" si="7"/>
        <v>30</v>
      </c>
      <c r="K14" s="47">
        <f t="shared" ca="1" si="8"/>
        <v>9</v>
      </c>
      <c r="L14" s="46">
        <f t="shared" ref="L14" ca="1" si="11">SUM(J14:K14)</f>
        <v>39</v>
      </c>
      <c r="M14" s="64">
        <v>20</v>
      </c>
      <c r="N14" s="65" t="str">
        <f t="shared" ca="1" si="10"/>
        <v>ý</v>
      </c>
      <c r="O14" s="116"/>
    </row>
    <row r="15" spans="1:15" ht="31.2" x14ac:dyDescent="0.3">
      <c r="A15" s="123" t="s">
        <v>145</v>
      </c>
      <c r="B15" s="68" t="s">
        <v>155</v>
      </c>
      <c r="C15" s="44" t="s">
        <v>156</v>
      </c>
      <c r="D15" s="124" t="s">
        <v>79</v>
      </c>
      <c r="E15" s="123">
        <v>6</v>
      </c>
      <c r="F15" s="122">
        <v>8</v>
      </c>
      <c r="G15" s="121">
        <v>-1</v>
      </c>
      <c r="H15" s="44">
        <v>0</v>
      </c>
      <c r="I15" s="44">
        <v>0</v>
      </c>
      <c r="J15" s="44">
        <f t="shared" si="7"/>
        <v>14</v>
      </c>
      <c r="K15" s="45">
        <f t="shared" ca="1" si="8"/>
        <v>17</v>
      </c>
      <c r="L15" s="44">
        <f t="shared" ref="L15" ca="1" si="12">SUM(J15:K15)</f>
        <v>31</v>
      </c>
      <c r="M15" s="63">
        <v>20</v>
      </c>
      <c r="N15" s="66" t="str">
        <f t="shared" ca="1" si="10"/>
        <v>ý</v>
      </c>
      <c r="O15" s="182" t="s">
        <v>326</v>
      </c>
    </row>
    <row r="16" spans="1:15" x14ac:dyDescent="0.3">
      <c r="A16" s="123" t="s">
        <v>145</v>
      </c>
      <c r="B16" s="68" t="s">
        <v>327</v>
      </c>
      <c r="C16" s="220" t="s">
        <v>328</v>
      </c>
      <c r="D16" s="124" t="s">
        <v>84</v>
      </c>
      <c r="E16" s="227"/>
      <c r="F16" s="228"/>
      <c r="G16" s="228"/>
      <c r="H16" s="228"/>
      <c r="I16" s="228"/>
      <c r="J16" s="228"/>
      <c r="K16" s="229"/>
      <c r="L16" s="228"/>
      <c r="M16" s="228"/>
      <c r="N16" s="230"/>
      <c r="O16" s="219" t="s">
        <v>329</v>
      </c>
    </row>
    <row r="17" spans="1:15" x14ac:dyDescent="0.3">
      <c r="A17" s="119" t="s">
        <v>145</v>
      </c>
      <c r="B17" s="46" t="s">
        <v>154</v>
      </c>
      <c r="C17" s="46" t="s">
        <v>154</v>
      </c>
      <c r="D17" s="120" t="s">
        <v>79</v>
      </c>
      <c r="E17" s="119">
        <v>6</v>
      </c>
      <c r="F17" s="118">
        <v>12</v>
      </c>
      <c r="G17" s="117">
        <v>-1</v>
      </c>
      <c r="H17" s="46">
        <v>0</v>
      </c>
      <c r="I17" s="46">
        <v>0</v>
      </c>
      <c r="J17" s="46">
        <f t="shared" si="7"/>
        <v>18</v>
      </c>
      <c r="K17" s="47">
        <f t="shared" ca="1" si="8"/>
        <v>12</v>
      </c>
      <c r="L17" s="46">
        <f t="shared" ref="L17" ca="1" si="13">SUM(J17:K17)</f>
        <v>30</v>
      </c>
      <c r="M17" s="64">
        <v>20</v>
      </c>
      <c r="N17" s="65" t="str">
        <f t="shared" ca="1" si="10"/>
        <v>ý</v>
      </c>
      <c r="O17" s="116"/>
    </row>
    <row r="18" spans="1:15" x14ac:dyDescent="0.3">
      <c r="A18" s="123" t="s">
        <v>146</v>
      </c>
      <c r="B18" s="68" t="s">
        <v>151</v>
      </c>
      <c r="C18" s="44" t="s">
        <v>157</v>
      </c>
      <c r="D18" s="124" t="s">
        <v>79</v>
      </c>
      <c r="E18" s="123">
        <v>4</v>
      </c>
      <c r="F18" s="122">
        <v>4</v>
      </c>
      <c r="G18" s="121">
        <v>0</v>
      </c>
      <c r="H18" s="44">
        <v>0</v>
      </c>
      <c r="I18" s="44">
        <v>0</v>
      </c>
      <c r="J18" s="44">
        <f t="shared" si="7"/>
        <v>8</v>
      </c>
      <c r="K18" s="45">
        <f t="shared" ca="1" si="8"/>
        <v>1</v>
      </c>
      <c r="L18" s="44">
        <f t="shared" ref="L18:L20" ca="1" si="14">SUM(J18:K18)</f>
        <v>9</v>
      </c>
      <c r="M18" s="63">
        <v>20</v>
      </c>
      <c r="N18" s="66" t="str">
        <f t="shared" ca="1" si="10"/>
        <v>ý</v>
      </c>
      <c r="O18" s="182"/>
    </row>
    <row r="19" spans="1:15" x14ac:dyDescent="0.3">
      <c r="A19" s="123" t="s">
        <v>146</v>
      </c>
      <c r="B19" s="68" t="s">
        <v>153</v>
      </c>
      <c r="C19" s="44" t="s">
        <v>157</v>
      </c>
      <c r="D19" s="124" t="s">
        <v>79</v>
      </c>
      <c r="E19" s="123">
        <v>4</v>
      </c>
      <c r="F19" s="122">
        <v>4</v>
      </c>
      <c r="G19" s="121">
        <v>0</v>
      </c>
      <c r="H19" s="44">
        <v>0</v>
      </c>
      <c r="I19" s="44">
        <v>0</v>
      </c>
      <c r="J19" s="44">
        <f t="shared" si="7"/>
        <v>8</v>
      </c>
      <c r="K19" s="45">
        <f t="shared" ca="1" si="8"/>
        <v>12</v>
      </c>
      <c r="L19" s="44">
        <f t="shared" ca="1" si="14"/>
        <v>20</v>
      </c>
      <c r="M19" s="63">
        <v>20</v>
      </c>
      <c r="N19" s="66" t="str">
        <f t="shared" ca="1" si="10"/>
        <v>ý</v>
      </c>
      <c r="O19" s="68"/>
    </row>
    <row r="20" spans="1:15" x14ac:dyDescent="0.3">
      <c r="A20" s="123" t="s">
        <v>146</v>
      </c>
      <c r="B20" s="68" t="s">
        <v>155</v>
      </c>
      <c r="C20" s="44" t="s">
        <v>158</v>
      </c>
      <c r="D20" s="124" t="s">
        <v>79</v>
      </c>
      <c r="E20" s="123">
        <v>4</v>
      </c>
      <c r="F20" s="122">
        <v>6</v>
      </c>
      <c r="G20" s="121">
        <v>0</v>
      </c>
      <c r="H20" s="44">
        <v>0</v>
      </c>
      <c r="I20" s="44">
        <v>0</v>
      </c>
      <c r="J20" s="44">
        <f t="shared" si="7"/>
        <v>10</v>
      </c>
      <c r="K20" s="45">
        <f t="shared" ca="1" si="8"/>
        <v>5</v>
      </c>
      <c r="L20" s="44">
        <f t="shared" ca="1" si="14"/>
        <v>15</v>
      </c>
      <c r="M20" s="63">
        <v>20</v>
      </c>
      <c r="N20" s="66" t="str">
        <f t="shared" ca="1" si="10"/>
        <v>ý</v>
      </c>
      <c r="O20" s="68"/>
    </row>
    <row r="21" spans="1:15" x14ac:dyDescent="0.3">
      <c r="A21" s="119" t="s">
        <v>146</v>
      </c>
      <c r="B21" s="46" t="s">
        <v>154</v>
      </c>
      <c r="C21" s="46" t="s">
        <v>154</v>
      </c>
      <c r="D21" s="120" t="s">
        <v>79</v>
      </c>
      <c r="E21" s="119">
        <v>4</v>
      </c>
      <c r="F21" s="118">
        <v>4</v>
      </c>
      <c r="G21" s="117">
        <v>0</v>
      </c>
      <c r="H21" s="46">
        <v>0</v>
      </c>
      <c r="I21" s="46">
        <v>0</v>
      </c>
      <c r="J21" s="46">
        <f t="shared" si="7"/>
        <v>8</v>
      </c>
      <c r="K21" s="47">
        <f t="shared" ca="1" si="8"/>
        <v>9</v>
      </c>
      <c r="L21" s="46">
        <f t="shared" ref="L21" ca="1" si="15">SUM(J21:K21)</f>
        <v>17</v>
      </c>
      <c r="M21" s="64">
        <v>20</v>
      </c>
      <c r="N21" s="65" t="str">
        <f t="shared" ca="1" si="10"/>
        <v>ý</v>
      </c>
      <c r="O21" s="116"/>
    </row>
    <row r="22" spans="1:15" x14ac:dyDescent="0.3">
      <c r="A22" s="123" t="s">
        <v>198</v>
      </c>
      <c r="B22" s="68" t="s">
        <v>203</v>
      </c>
      <c r="C22" s="44" t="s">
        <v>299</v>
      </c>
      <c r="D22" s="124" t="s">
        <v>79</v>
      </c>
      <c r="E22" s="123">
        <v>6</v>
      </c>
      <c r="F22" s="122">
        <v>2</v>
      </c>
      <c r="G22" s="121">
        <v>5</v>
      </c>
      <c r="H22" s="44">
        <v>1</v>
      </c>
      <c r="I22" s="44">
        <v>0</v>
      </c>
      <c r="J22" s="44">
        <f t="shared" ref="J22:J24" si="16">IF(D22="þ",SUM(E22,G22:I22),SUM(E22,F22,H22,I22))</f>
        <v>9</v>
      </c>
      <c r="K22" s="45">
        <f t="shared" ref="K22:K34" ca="1" si="17">RANDBETWEEN(1,20)</f>
        <v>3</v>
      </c>
      <c r="L22" s="44">
        <f t="shared" ref="L22" ca="1" si="18">SUM(J22:K22)</f>
        <v>12</v>
      </c>
      <c r="M22" s="63">
        <v>20</v>
      </c>
      <c r="N22" s="66" t="str">
        <f t="shared" ref="N22:N24" ca="1" si="19">IF(K22&gt;(M22-1),"þ","ý")</f>
        <v>ý</v>
      </c>
      <c r="O22" s="182"/>
    </row>
    <row r="23" spans="1:15" x14ac:dyDescent="0.3">
      <c r="A23" s="123" t="s">
        <v>198</v>
      </c>
      <c r="B23" s="68" t="s">
        <v>319</v>
      </c>
      <c r="C23" s="44" t="s">
        <v>300</v>
      </c>
      <c r="D23" s="124" t="s">
        <v>84</v>
      </c>
      <c r="E23" s="123">
        <v>6</v>
      </c>
      <c r="F23" s="122">
        <v>2</v>
      </c>
      <c r="G23" s="121">
        <v>5</v>
      </c>
      <c r="H23" s="44">
        <v>1</v>
      </c>
      <c r="I23" s="44">
        <v>0</v>
      </c>
      <c r="J23" s="44">
        <f t="shared" ref="J23" si="20">IF(D23="þ",SUM(E23,G23:I23),SUM(E23,F23,H23,I23))</f>
        <v>12</v>
      </c>
      <c r="K23" s="45">
        <f t="shared" ca="1" si="17"/>
        <v>16</v>
      </c>
      <c r="L23" s="44">
        <f t="shared" ref="L23" ca="1" si="21">SUM(J23:K23)</f>
        <v>28</v>
      </c>
      <c r="M23" s="63">
        <v>19</v>
      </c>
      <c r="N23" s="66" t="str">
        <f t="shared" ref="N23" ca="1" si="22">IF(K23&gt;(M23-1),"þ","ý")</f>
        <v>ý</v>
      </c>
      <c r="O23" s="182"/>
    </row>
    <row r="24" spans="1:15" x14ac:dyDescent="0.3">
      <c r="A24" s="119" t="s">
        <v>198</v>
      </c>
      <c r="B24" s="46" t="s">
        <v>154</v>
      </c>
      <c r="C24" s="46" t="s">
        <v>154</v>
      </c>
      <c r="D24" s="120" t="s">
        <v>79</v>
      </c>
      <c r="E24" s="119">
        <v>6</v>
      </c>
      <c r="F24" s="118">
        <v>1</v>
      </c>
      <c r="G24" s="117">
        <v>5</v>
      </c>
      <c r="H24" s="46">
        <v>0</v>
      </c>
      <c r="I24" s="46">
        <v>0</v>
      </c>
      <c r="J24" s="46">
        <f t="shared" si="16"/>
        <v>7</v>
      </c>
      <c r="K24" s="47">
        <f t="shared" ca="1" si="17"/>
        <v>11</v>
      </c>
      <c r="L24" s="46">
        <f t="shared" ref="L24" ca="1" si="23">SUM(J24:K24)</f>
        <v>18</v>
      </c>
      <c r="M24" s="64">
        <v>20</v>
      </c>
      <c r="N24" s="65" t="str">
        <f t="shared" ca="1" si="19"/>
        <v>ý</v>
      </c>
      <c r="O24" s="116"/>
    </row>
    <row r="25" spans="1:15" x14ac:dyDescent="0.3">
      <c r="A25" s="123" t="s">
        <v>160</v>
      </c>
      <c r="B25" s="68" t="s">
        <v>316</v>
      </c>
      <c r="C25" s="44" t="s">
        <v>318</v>
      </c>
      <c r="D25" s="124" t="s">
        <v>84</v>
      </c>
      <c r="E25" s="123">
        <v>3</v>
      </c>
      <c r="F25" s="122">
        <v>1</v>
      </c>
      <c r="G25" s="121">
        <v>3</v>
      </c>
      <c r="H25" s="44">
        <v>0</v>
      </c>
      <c r="I25" s="44">
        <v>0</v>
      </c>
      <c r="J25" s="44">
        <f t="shared" ref="J25:J33" si="24">IF(D25="þ",SUM(E25,G25:I25),SUM(E25,F25,H25,I25))</f>
        <v>6</v>
      </c>
      <c r="K25" s="45">
        <f t="shared" ca="1" si="17"/>
        <v>12</v>
      </c>
      <c r="L25" s="44">
        <f t="shared" ref="L25" ca="1" si="25">SUM(J25:K25)</f>
        <v>18</v>
      </c>
      <c r="M25" s="63">
        <v>20</v>
      </c>
      <c r="N25" s="66" t="str">
        <f t="shared" ref="N25:N33" ca="1" si="26">IF(K25&gt;(M25-1),"þ","ý")</f>
        <v>ý</v>
      </c>
      <c r="O25" s="182"/>
    </row>
    <row r="26" spans="1:15" x14ac:dyDescent="0.3">
      <c r="A26" s="123" t="s">
        <v>160</v>
      </c>
      <c r="B26" s="68" t="s">
        <v>317</v>
      </c>
      <c r="C26" s="44" t="s">
        <v>318</v>
      </c>
      <c r="D26" s="124" t="s">
        <v>84</v>
      </c>
      <c r="E26" s="123">
        <v>3</v>
      </c>
      <c r="F26" s="122">
        <v>1</v>
      </c>
      <c r="G26" s="121">
        <v>3</v>
      </c>
      <c r="H26" s="44">
        <v>0</v>
      </c>
      <c r="I26" s="44">
        <v>0</v>
      </c>
      <c r="J26" s="44">
        <f t="shared" ref="J26:J30" si="27">IF(D26="þ",SUM(E26,G26:I26),SUM(E26,F26,H26,I26))</f>
        <v>6</v>
      </c>
      <c r="K26" s="45">
        <f t="shared" ca="1" si="17"/>
        <v>8</v>
      </c>
      <c r="L26" s="44">
        <f t="shared" ref="L26:L28" ca="1" si="28">SUM(J26:K26)</f>
        <v>14</v>
      </c>
      <c r="M26" s="63">
        <v>20</v>
      </c>
      <c r="N26" s="66" t="str">
        <f t="shared" ref="N26:N30" ca="1" si="29">IF(K26&gt;(M26-1),"þ","ý")</f>
        <v>ý</v>
      </c>
      <c r="O26" s="182"/>
    </row>
    <row r="27" spans="1:15" x14ac:dyDescent="0.3">
      <c r="A27" s="123" t="s">
        <v>160</v>
      </c>
      <c r="B27" s="68" t="s">
        <v>199</v>
      </c>
      <c r="C27" s="44" t="s">
        <v>321</v>
      </c>
      <c r="D27" s="124" t="s">
        <v>79</v>
      </c>
      <c r="E27" s="123">
        <v>3</v>
      </c>
      <c r="F27" s="122">
        <v>1</v>
      </c>
      <c r="G27" s="121">
        <v>3</v>
      </c>
      <c r="H27" s="44">
        <v>0</v>
      </c>
      <c r="I27" s="44">
        <v>0</v>
      </c>
      <c r="J27" s="44">
        <f t="shared" ref="J27" si="30">IF(D27="þ",SUM(E27,G27:I27),SUM(E27,F27,H27,I27))</f>
        <v>4</v>
      </c>
      <c r="K27" s="45">
        <f t="shared" ca="1" si="17"/>
        <v>5</v>
      </c>
      <c r="L27" s="44">
        <f t="shared" ref="L27" ca="1" si="31">SUM(J27:K27)</f>
        <v>9</v>
      </c>
      <c r="M27" s="63">
        <v>20</v>
      </c>
      <c r="N27" s="66" t="str">
        <f t="shared" ref="N27" ca="1" si="32">IF(K27&gt;(M27-1),"þ","ý")</f>
        <v>ý</v>
      </c>
      <c r="O27" s="182"/>
    </row>
    <row r="28" spans="1:15" x14ac:dyDescent="0.3">
      <c r="A28" s="119" t="s">
        <v>160</v>
      </c>
      <c r="B28" s="46" t="s">
        <v>154</v>
      </c>
      <c r="C28" s="46" t="s">
        <v>154</v>
      </c>
      <c r="D28" s="120" t="s">
        <v>79</v>
      </c>
      <c r="E28" s="119">
        <v>3</v>
      </c>
      <c r="F28" s="118">
        <v>0</v>
      </c>
      <c r="G28" s="117">
        <v>3</v>
      </c>
      <c r="H28" s="46">
        <v>0</v>
      </c>
      <c r="I28" s="46">
        <v>0</v>
      </c>
      <c r="J28" s="46">
        <f t="shared" si="27"/>
        <v>3</v>
      </c>
      <c r="K28" s="47">
        <f t="shared" ca="1" si="17"/>
        <v>10</v>
      </c>
      <c r="L28" s="46">
        <f t="shared" ca="1" si="28"/>
        <v>13</v>
      </c>
      <c r="M28" s="64">
        <v>20</v>
      </c>
      <c r="N28" s="65" t="str">
        <f t="shared" ca="1" si="29"/>
        <v>ý</v>
      </c>
      <c r="O28" s="116"/>
    </row>
    <row r="29" spans="1:15" x14ac:dyDescent="0.3">
      <c r="A29" s="123" t="s">
        <v>182</v>
      </c>
      <c r="B29" s="68" t="s">
        <v>199</v>
      </c>
      <c r="C29" s="44" t="s">
        <v>321</v>
      </c>
      <c r="D29" s="124" t="s">
        <v>79</v>
      </c>
      <c r="E29" s="123">
        <v>1</v>
      </c>
      <c r="F29" s="122">
        <v>-1</v>
      </c>
      <c r="G29" s="121">
        <v>3</v>
      </c>
      <c r="H29" s="44">
        <v>0</v>
      </c>
      <c r="I29" s="44">
        <v>0</v>
      </c>
      <c r="J29" s="44">
        <f t="shared" si="27"/>
        <v>0</v>
      </c>
      <c r="K29" s="45">
        <f t="shared" ca="1" si="17"/>
        <v>7</v>
      </c>
      <c r="L29" s="44">
        <f t="shared" ref="L29:L30" ca="1" si="33">SUM(J29:K29)</f>
        <v>7</v>
      </c>
      <c r="M29" s="63">
        <v>20</v>
      </c>
      <c r="N29" s="66" t="str">
        <f t="shared" ca="1" si="29"/>
        <v>ý</v>
      </c>
      <c r="O29" s="182"/>
    </row>
    <row r="30" spans="1:15" x14ac:dyDescent="0.3">
      <c r="A30" s="123" t="s">
        <v>182</v>
      </c>
      <c r="B30" s="68" t="s">
        <v>200</v>
      </c>
      <c r="C30" s="44" t="s">
        <v>320</v>
      </c>
      <c r="D30" s="124" t="s">
        <v>84</v>
      </c>
      <c r="E30" s="123">
        <v>1</v>
      </c>
      <c r="F30" s="122">
        <v>-1</v>
      </c>
      <c r="G30" s="121">
        <v>3</v>
      </c>
      <c r="H30" s="44">
        <v>0</v>
      </c>
      <c r="I30" s="44">
        <v>0</v>
      </c>
      <c r="J30" s="44">
        <f t="shared" si="27"/>
        <v>4</v>
      </c>
      <c r="K30" s="45">
        <f t="shared" ca="1" si="17"/>
        <v>13</v>
      </c>
      <c r="L30" s="44">
        <f t="shared" ca="1" si="33"/>
        <v>17</v>
      </c>
      <c r="M30" s="63">
        <v>20</v>
      </c>
      <c r="N30" s="66" t="str">
        <f t="shared" ca="1" si="29"/>
        <v>ý</v>
      </c>
      <c r="O30" s="182"/>
    </row>
    <row r="31" spans="1:15" x14ac:dyDescent="0.3">
      <c r="A31" s="119" t="s">
        <v>182</v>
      </c>
      <c r="B31" s="46" t="s">
        <v>154</v>
      </c>
      <c r="C31" s="46" t="s">
        <v>154</v>
      </c>
      <c r="D31" s="120" t="s">
        <v>79</v>
      </c>
      <c r="E31" s="119">
        <v>1</v>
      </c>
      <c r="F31" s="118">
        <v>-1</v>
      </c>
      <c r="G31" s="117">
        <v>3</v>
      </c>
      <c r="H31" s="46">
        <v>0</v>
      </c>
      <c r="I31" s="46">
        <v>0</v>
      </c>
      <c r="J31" s="46">
        <f t="shared" si="24"/>
        <v>0</v>
      </c>
      <c r="K31" s="47">
        <f t="shared" ca="1" si="17"/>
        <v>5</v>
      </c>
      <c r="L31" s="46">
        <f t="shared" ref="L31" ca="1" si="34">SUM(J31:K31)</f>
        <v>5</v>
      </c>
      <c r="M31" s="64">
        <v>20</v>
      </c>
      <c r="N31" s="65" t="str">
        <f t="shared" ca="1" si="26"/>
        <v>ý</v>
      </c>
      <c r="O31" s="116"/>
    </row>
    <row r="32" spans="1:15" x14ac:dyDescent="0.3">
      <c r="A32" s="123" t="s">
        <v>314</v>
      </c>
      <c r="B32" s="68" t="s">
        <v>313</v>
      </c>
      <c r="C32" s="289" t="s">
        <v>335</v>
      </c>
      <c r="D32" s="124" t="s">
        <v>79</v>
      </c>
      <c r="E32" s="285">
        <f>6+3-1</f>
        <v>8</v>
      </c>
      <c r="F32" s="281">
        <f t="shared" ref="F32:F34" si="35">3+2</f>
        <v>5</v>
      </c>
      <c r="G32" s="283">
        <f t="shared" ref="G32:G34" si="36">2-2</f>
        <v>0</v>
      </c>
      <c r="H32" s="44">
        <v>2</v>
      </c>
      <c r="I32" s="44">
        <v>0</v>
      </c>
      <c r="J32" s="44">
        <f t="shared" si="24"/>
        <v>15</v>
      </c>
      <c r="K32" s="45">
        <f t="shared" ca="1" si="17"/>
        <v>1</v>
      </c>
      <c r="L32" s="44">
        <f t="shared" ref="L32:L33" ca="1" si="37">SUM(J32:K32)</f>
        <v>16</v>
      </c>
      <c r="M32" s="63">
        <v>19</v>
      </c>
      <c r="N32" s="66" t="str">
        <f t="shared" ca="1" si="26"/>
        <v>ý</v>
      </c>
      <c r="O32" s="182"/>
    </row>
    <row r="33" spans="1:15" x14ac:dyDescent="0.3">
      <c r="A33" s="123" t="s">
        <v>314</v>
      </c>
      <c r="B33" s="68" t="s">
        <v>227</v>
      </c>
      <c r="C33" s="289" t="s">
        <v>335</v>
      </c>
      <c r="D33" s="124" t="s">
        <v>79</v>
      </c>
      <c r="E33" s="285">
        <f>E32-5</f>
        <v>3</v>
      </c>
      <c r="F33" s="281">
        <f t="shared" si="35"/>
        <v>5</v>
      </c>
      <c r="G33" s="283">
        <f t="shared" si="36"/>
        <v>0</v>
      </c>
      <c r="H33" s="44">
        <v>2</v>
      </c>
      <c r="I33" s="44">
        <v>0</v>
      </c>
      <c r="J33" s="44">
        <f t="shared" si="24"/>
        <v>10</v>
      </c>
      <c r="K33" s="45">
        <f t="shared" ca="1" si="17"/>
        <v>6</v>
      </c>
      <c r="L33" s="44">
        <f t="shared" ca="1" si="37"/>
        <v>16</v>
      </c>
      <c r="M33" s="63">
        <v>19</v>
      </c>
      <c r="N33" s="66" t="str">
        <f t="shared" ca="1" si="26"/>
        <v>ý</v>
      </c>
      <c r="O33" s="182"/>
    </row>
    <row r="34" spans="1:15" x14ac:dyDescent="0.3">
      <c r="A34" s="119" t="s">
        <v>314</v>
      </c>
      <c r="B34" s="46" t="s">
        <v>154</v>
      </c>
      <c r="C34" s="46" t="s">
        <v>154</v>
      </c>
      <c r="D34" s="120" t="s">
        <v>79</v>
      </c>
      <c r="E34" s="286">
        <f>6+3-1</f>
        <v>8</v>
      </c>
      <c r="F34" s="282">
        <f t="shared" si="35"/>
        <v>5</v>
      </c>
      <c r="G34" s="284">
        <f t="shared" si="36"/>
        <v>0</v>
      </c>
      <c r="H34" s="46">
        <v>0</v>
      </c>
      <c r="I34" s="46">
        <v>0</v>
      </c>
      <c r="J34" s="46">
        <f t="shared" ref="J34" si="38">IF(D34="þ",SUM(E34,G34:I34),SUM(E34,F34,H34,I34))</f>
        <v>13</v>
      </c>
      <c r="K34" s="47">
        <f t="shared" ca="1" si="17"/>
        <v>11</v>
      </c>
      <c r="L34" s="46">
        <f t="shared" ref="L34" ca="1" si="39">SUM(J34:K34)</f>
        <v>24</v>
      </c>
      <c r="M34" s="64">
        <v>20</v>
      </c>
      <c r="N34" s="65" t="str">
        <f t="shared" ref="N34" ca="1" si="40">IF(K34&gt;(M34-1),"þ","ý")</f>
        <v>ý</v>
      </c>
      <c r="O34" s="116"/>
    </row>
  </sheetData>
  <conditionalFormatting sqref="K22:K26 K28:K31">
    <cfRule type="cellIs" dxfId="213" priority="236" operator="greaterThanOrEqual">
      <formula>$M22</formula>
    </cfRule>
  </conditionalFormatting>
  <conditionalFormatting sqref="D10">
    <cfRule type="cellIs" dxfId="212" priority="52" operator="equal">
      <formula>"þ"</formula>
    </cfRule>
  </conditionalFormatting>
  <conditionalFormatting sqref="N10">
    <cfRule type="cellIs" dxfId="211" priority="53" operator="equal">
      <formula>"þ"</formula>
    </cfRule>
  </conditionalFormatting>
  <conditionalFormatting sqref="D24">
    <cfRule type="cellIs" dxfId="210" priority="76" operator="equal">
      <formula>"þ"</formula>
    </cfRule>
  </conditionalFormatting>
  <conditionalFormatting sqref="N24">
    <cfRule type="cellIs" dxfId="209" priority="77" operator="equal">
      <formula>"þ"</formula>
    </cfRule>
  </conditionalFormatting>
  <conditionalFormatting sqref="N24">
    <cfRule type="cellIs" dxfId="208" priority="75" operator="equal">
      <formula>"þ"</formula>
    </cfRule>
  </conditionalFormatting>
  <conditionalFormatting sqref="D24">
    <cfRule type="cellIs" dxfId="207" priority="74" operator="equal">
      <formula>"þ"</formula>
    </cfRule>
  </conditionalFormatting>
  <conditionalFormatting sqref="N22:N23">
    <cfRule type="cellIs" dxfId="206" priority="73" operator="equal">
      <formula>"þ"</formula>
    </cfRule>
  </conditionalFormatting>
  <conditionalFormatting sqref="D22:D23">
    <cfRule type="cellIs" dxfId="205" priority="72" operator="equal">
      <formula>"þ"</formula>
    </cfRule>
  </conditionalFormatting>
  <conditionalFormatting sqref="D31">
    <cfRule type="cellIs" dxfId="204" priority="65" operator="equal">
      <formula>"þ"</formula>
    </cfRule>
  </conditionalFormatting>
  <conditionalFormatting sqref="N31">
    <cfRule type="cellIs" dxfId="203" priority="66" operator="equal">
      <formula>"þ"</formula>
    </cfRule>
  </conditionalFormatting>
  <conditionalFormatting sqref="N31">
    <cfRule type="cellIs" dxfId="202" priority="64" operator="equal">
      <formula>"þ"</formula>
    </cfRule>
  </conditionalFormatting>
  <conditionalFormatting sqref="D31">
    <cfRule type="cellIs" dxfId="201" priority="63" operator="equal">
      <formula>"þ"</formula>
    </cfRule>
  </conditionalFormatting>
  <conditionalFormatting sqref="N25:N26 N28:N30">
    <cfRule type="cellIs" dxfId="200" priority="62" operator="equal">
      <formula>"þ"</formula>
    </cfRule>
  </conditionalFormatting>
  <conditionalFormatting sqref="D25:D26 D28:D30">
    <cfRule type="cellIs" dxfId="199" priority="61" operator="equal">
      <formula>"þ"</formula>
    </cfRule>
  </conditionalFormatting>
  <conditionalFormatting sqref="D2 D5:D7">
    <cfRule type="cellIs" dxfId="198" priority="54" operator="equal">
      <formula>"þ"</formula>
    </cfRule>
  </conditionalFormatting>
  <conditionalFormatting sqref="N2">
    <cfRule type="cellIs" dxfId="197" priority="55" operator="equal">
      <formula>"þ"</formula>
    </cfRule>
  </conditionalFormatting>
  <conditionalFormatting sqref="N5:N7">
    <cfRule type="cellIs" dxfId="196" priority="51" operator="equal">
      <formula>"þ"</formula>
    </cfRule>
  </conditionalFormatting>
  <conditionalFormatting sqref="D4">
    <cfRule type="cellIs" dxfId="195" priority="50" operator="equal">
      <formula>"þ"</formula>
    </cfRule>
  </conditionalFormatting>
  <conditionalFormatting sqref="N4">
    <cfRule type="cellIs" dxfId="194" priority="49" operator="equal">
      <formula>"þ"</formula>
    </cfRule>
  </conditionalFormatting>
  <conditionalFormatting sqref="D3">
    <cfRule type="cellIs" dxfId="193" priority="48" operator="equal">
      <formula>"þ"</formula>
    </cfRule>
  </conditionalFormatting>
  <conditionalFormatting sqref="N3">
    <cfRule type="cellIs" dxfId="192" priority="47" operator="equal">
      <formula>"þ"</formula>
    </cfRule>
  </conditionalFormatting>
  <conditionalFormatting sqref="D9">
    <cfRule type="cellIs" dxfId="191" priority="46" operator="equal">
      <formula>"þ"</formula>
    </cfRule>
  </conditionalFormatting>
  <conditionalFormatting sqref="N9">
    <cfRule type="cellIs" dxfId="190" priority="45" operator="equal">
      <formula>"þ"</formula>
    </cfRule>
  </conditionalFormatting>
  <conditionalFormatting sqref="D8">
    <cfRule type="cellIs" dxfId="189" priority="44" operator="equal">
      <formula>"þ"</formula>
    </cfRule>
  </conditionalFormatting>
  <conditionalFormatting sqref="N8">
    <cfRule type="cellIs" dxfId="188" priority="43" operator="equal">
      <formula>"þ"</formula>
    </cfRule>
  </conditionalFormatting>
  <conditionalFormatting sqref="D20">
    <cfRule type="cellIs" dxfId="187" priority="13" operator="equal">
      <formula>"þ"</formula>
    </cfRule>
  </conditionalFormatting>
  <conditionalFormatting sqref="K11:K15 K17">
    <cfRule type="cellIs" dxfId="186" priority="40" operator="greaterThanOrEqual">
      <formula>$M11</formula>
    </cfRule>
  </conditionalFormatting>
  <conditionalFormatting sqref="D14">
    <cfRule type="cellIs" dxfId="185" priority="38" operator="equal">
      <formula>"þ"</formula>
    </cfRule>
  </conditionalFormatting>
  <conditionalFormatting sqref="N14">
    <cfRule type="cellIs" dxfId="184" priority="39" operator="equal">
      <formula>"þ"</formula>
    </cfRule>
  </conditionalFormatting>
  <conditionalFormatting sqref="N14">
    <cfRule type="cellIs" dxfId="183" priority="37" operator="equal">
      <formula>"þ"</formula>
    </cfRule>
  </conditionalFormatting>
  <conditionalFormatting sqref="D14">
    <cfRule type="cellIs" dxfId="182" priority="36" operator="equal">
      <formula>"þ"</formula>
    </cfRule>
  </conditionalFormatting>
  <conditionalFormatting sqref="D12">
    <cfRule type="cellIs" dxfId="181" priority="31" operator="equal">
      <formula>"þ"</formula>
    </cfRule>
  </conditionalFormatting>
  <conditionalFormatting sqref="N12">
    <cfRule type="cellIs" dxfId="180" priority="32" operator="equal">
      <formula>"þ"</formula>
    </cfRule>
  </conditionalFormatting>
  <conditionalFormatting sqref="N11">
    <cfRule type="cellIs" dxfId="179" priority="35" operator="equal">
      <formula>"þ"</formula>
    </cfRule>
  </conditionalFormatting>
  <conditionalFormatting sqref="D11">
    <cfRule type="cellIs" dxfId="178" priority="34" operator="equal">
      <formula>"þ"</formula>
    </cfRule>
  </conditionalFormatting>
  <conditionalFormatting sqref="N13">
    <cfRule type="cellIs" dxfId="177" priority="33" operator="equal">
      <formula>"þ"</formula>
    </cfRule>
  </conditionalFormatting>
  <conditionalFormatting sqref="D13">
    <cfRule type="cellIs" dxfId="176" priority="30" operator="equal">
      <formula>"þ"</formula>
    </cfRule>
  </conditionalFormatting>
  <conditionalFormatting sqref="D17">
    <cfRule type="cellIs" dxfId="175" priority="28" operator="equal">
      <formula>"þ"</formula>
    </cfRule>
  </conditionalFormatting>
  <conditionalFormatting sqref="N17">
    <cfRule type="cellIs" dxfId="174" priority="29" operator="equal">
      <formula>"þ"</formula>
    </cfRule>
  </conditionalFormatting>
  <conditionalFormatting sqref="N17">
    <cfRule type="cellIs" dxfId="173" priority="27" operator="equal">
      <formula>"þ"</formula>
    </cfRule>
  </conditionalFormatting>
  <conditionalFormatting sqref="D17">
    <cfRule type="cellIs" dxfId="172" priority="26" operator="equal">
      <formula>"þ"</formula>
    </cfRule>
  </conditionalFormatting>
  <conditionalFormatting sqref="N15">
    <cfRule type="cellIs" dxfId="171" priority="25" operator="equal">
      <formula>"þ"</formula>
    </cfRule>
  </conditionalFormatting>
  <conditionalFormatting sqref="D15">
    <cfRule type="cellIs" dxfId="170" priority="24" operator="equal">
      <formula>"þ"</formula>
    </cfRule>
  </conditionalFormatting>
  <conditionalFormatting sqref="K18:K21">
    <cfRule type="cellIs" dxfId="169" priority="23" operator="greaterThanOrEqual">
      <formula>$M18</formula>
    </cfRule>
  </conditionalFormatting>
  <conditionalFormatting sqref="D21">
    <cfRule type="cellIs" dxfId="168" priority="21" operator="equal">
      <formula>"þ"</formula>
    </cfRule>
  </conditionalFormatting>
  <conditionalFormatting sqref="N21">
    <cfRule type="cellIs" dxfId="167" priority="22" operator="equal">
      <formula>"þ"</formula>
    </cfRule>
  </conditionalFormatting>
  <conditionalFormatting sqref="N21">
    <cfRule type="cellIs" dxfId="166" priority="20" operator="equal">
      <formula>"þ"</formula>
    </cfRule>
  </conditionalFormatting>
  <conditionalFormatting sqref="D21">
    <cfRule type="cellIs" dxfId="165" priority="19" operator="equal">
      <formula>"þ"</formula>
    </cfRule>
  </conditionalFormatting>
  <conditionalFormatting sqref="D19">
    <cfRule type="cellIs" dxfId="164" priority="14" operator="equal">
      <formula>"þ"</formula>
    </cfRule>
  </conditionalFormatting>
  <conditionalFormatting sqref="N19">
    <cfRule type="cellIs" dxfId="163" priority="15" operator="equal">
      <formula>"þ"</formula>
    </cfRule>
  </conditionalFormatting>
  <conditionalFormatting sqref="N18">
    <cfRule type="cellIs" dxfId="162" priority="18" operator="equal">
      <formula>"þ"</formula>
    </cfRule>
  </conditionalFormatting>
  <conditionalFormatting sqref="D18">
    <cfRule type="cellIs" dxfId="161" priority="17" operator="equal">
      <formula>"þ"</formula>
    </cfRule>
  </conditionalFormatting>
  <conditionalFormatting sqref="N20">
    <cfRule type="cellIs" dxfId="160" priority="16" operator="equal">
      <formula>"þ"</formula>
    </cfRule>
  </conditionalFormatting>
  <conditionalFormatting sqref="K32:K34">
    <cfRule type="cellIs" dxfId="159" priority="12" operator="greaterThanOrEqual">
      <formula>$M32</formula>
    </cfRule>
  </conditionalFormatting>
  <conditionalFormatting sqref="D34">
    <cfRule type="cellIs" dxfId="158" priority="10" operator="equal">
      <formula>"þ"</formula>
    </cfRule>
  </conditionalFormatting>
  <conditionalFormatting sqref="N34">
    <cfRule type="cellIs" dxfId="157" priority="11" operator="equal">
      <formula>"þ"</formula>
    </cfRule>
  </conditionalFormatting>
  <conditionalFormatting sqref="N34">
    <cfRule type="cellIs" dxfId="156" priority="9" operator="equal">
      <formula>"þ"</formula>
    </cfRule>
  </conditionalFormatting>
  <conditionalFormatting sqref="D34">
    <cfRule type="cellIs" dxfId="155" priority="8" operator="equal">
      <formula>"þ"</formula>
    </cfRule>
  </conditionalFormatting>
  <conditionalFormatting sqref="N32:N33">
    <cfRule type="cellIs" dxfId="154" priority="7" operator="equal">
      <formula>"þ"</formula>
    </cfRule>
  </conditionalFormatting>
  <conditionalFormatting sqref="D32:D33">
    <cfRule type="cellIs" dxfId="153" priority="6" operator="equal">
      <formula>"þ"</formula>
    </cfRule>
  </conditionalFormatting>
  <conditionalFormatting sqref="K27">
    <cfRule type="cellIs" dxfId="152" priority="5" operator="greaterThanOrEqual">
      <formula>$M27</formula>
    </cfRule>
  </conditionalFormatting>
  <conditionalFormatting sqref="N27">
    <cfRule type="cellIs" dxfId="151" priority="4" operator="equal">
      <formula>"þ"</formula>
    </cfRule>
  </conditionalFormatting>
  <conditionalFormatting sqref="D27">
    <cfRule type="cellIs" dxfId="150" priority="3" operator="equal">
      <formula>"þ"</formula>
    </cfRule>
  </conditionalFormatting>
  <conditionalFormatting sqref="D16">
    <cfRule type="cellIs" dxfId="149" priority="2" operator="equal">
      <formula>"þ"</formula>
    </cfRule>
  </conditionalFormatting>
  <conditionalFormatting sqref="N16">
    <cfRule type="cellIs" dxfId="148" priority="1" operator="equal">
      <formula>"þ"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49498-D2FC-468D-A53E-B9E9959475B7}">
  <dimension ref="A1:T48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7.3984375" style="48" bestFit="1" customWidth="1"/>
    <col min="2" max="2" width="27.09765625" style="48" bestFit="1" customWidth="1"/>
    <col min="3" max="3" width="22.796875" style="48" bestFit="1" customWidth="1"/>
    <col min="4" max="4" width="7.296875" style="48" bestFit="1" customWidth="1"/>
    <col min="5" max="5" width="4.8984375" style="48" bestFit="1" customWidth="1"/>
    <col min="6" max="6" width="5.796875" style="48" bestFit="1" customWidth="1"/>
    <col min="7" max="7" width="5.796875" style="48" customWidth="1"/>
    <col min="8" max="8" width="3.8984375" style="48" bestFit="1" customWidth="1"/>
    <col min="9" max="9" width="7.09765625" style="48" bestFit="1" customWidth="1"/>
    <col min="10" max="10" width="5.69921875" style="48" bestFit="1" customWidth="1"/>
    <col min="11" max="11" width="4.296875" style="48" bestFit="1" customWidth="1"/>
    <col min="12" max="12" width="5.3984375" style="48" bestFit="1" customWidth="1"/>
    <col min="13" max="13" width="4.296875" style="48" bestFit="1" customWidth="1"/>
    <col min="14" max="14" width="6.69921875" style="48" bestFit="1" customWidth="1"/>
    <col min="15" max="15" width="36.19921875" style="43" customWidth="1"/>
    <col min="16" max="16" width="8.796875" style="43"/>
    <col min="17" max="20" width="3.296875" style="54" bestFit="1" customWidth="1"/>
    <col min="21" max="16384" width="8.796875" style="43"/>
  </cols>
  <sheetData>
    <row r="1" spans="1:15" ht="31.8" thickBot="1" x14ac:dyDescent="0.35">
      <c r="A1" s="132" t="s">
        <v>0</v>
      </c>
      <c r="B1" s="128" t="s">
        <v>32</v>
      </c>
      <c r="C1" s="128" t="s">
        <v>33</v>
      </c>
      <c r="D1" s="129" t="s">
        <v>89</v>
      </c>
      <c r="E1" s="131" t="s">
        <v>34</v>
      </c>
      <c r="F1" s="130" t="s">
        <v>88</v>
      </c>
      <c r="G1" s="129" t="s">
        <v>87</v>
      </c>
      <c r="H1" s="128" t="s">
        <v>35</v>
      </c>
      <c r="I1" s="128" t="s">
        <v>36</v>
      </c>
      <c r="J1" s="125" t="s">
        <v>86</v>
      </c>
      <c r="K1" s="127" t="s">
        <v>3</v>
      </c>
      <c r="L1" s="125" t="s">
        <v>23</v>
      </c>
      <c r="M1" s="126" t="s">
        <v>83</v>
      </c>
      <c r="N1" s="125" t="s">
        <v>82</v>
      </c>
      <c r="O1" s="183" t="s">
        <v>85</v>
      </c>
    </row>
    <row r="2" spans="1:15" x14ac:dyDescent="0.3">
      <c r="A2" s="221" t="s">
        <v>139</v>
      </c>
      <c r="B2" s="219" t="s">
        <v>203</v>
      </c>
      <c r="C2" s="220" t="s">
        <v>295</v>
      </c>
      <c r="D2" s="124" t="s">
        <v>79</v>
      </c>
      <c r="E2" s="123">
        <v>6</v>
      </c>
      <c r="F2" s="122">
        <v>1</v>
      </c>
      <c r="G2" s="121">
        <v>1</v>
      </c>
      <c r="H2" s="44">
        <v>1</v>
      </c>
      <c r="I2" s="44">
        <v>0</v>
      </c>
      <c r="J2" s="44">
        <f t="shared" ref="J2:J30" si="0">IF(D2="þ",SUM(E2,G2:I2),SUM(E2,F2,H2,I2))</f>
        <v>8</v>
      </c>
      <c r="K2" s="45">
        <f t="shared" ref="K2:K48" ca="1" si="1">RANDBETWEEN(1,20)</f>
        <v>13</v>
      </c>
      <c r="L2" s="44">
        <f t="shared" ref="L2:L44" ca="1" si="2">SUM(J2:K2)</f>
        <v>21</v>
      </c>
      <c r="M2" s="63">
        <v>19</v>
      </c>
      <c r="N2" s="66" t="str">
        <f t="shared" ref="N2:N44" ca="1" si="3">IF(K2&gt;(M2-1),"þ","ý")</f>
        <v>ý</v>
      </c>
      <c r="O2" s="68" t="s">
        <v>124</v>
      </c>
    </row>
    <row r="3" spans="1:15" x14ac:dyDescent="0.3">
      <c r="A3" s="221" t="s">
        <v>139</v>
      </c>
      <c r="B3" s="219" t="s">
        <v>208</v>
      </c>
      <c r="C3" s="220" t="s">
        <v>295</v>
      </c>
      <c r="D3" s="124" t="s">
        <v>79</v>
      </c>
      <c r="E3" s="123">
        <v>1</v>
      </c>
      <c r="F3" s="122">
        <v>1</v>
      </c>
      <c r="G3" s="121">
        <v>1</v>
      </c>
      <c r="H3" s="44">
        <v>1</v>
      </c>
      <c r="I3" s="44">
        <v>0</v>
      </c>
      <c r="J3" s="44">
        <f t="shared" ref="J3" si="4">IF(D3="þ",SUM(E3,G3:I3),SUM(E3,F3,H3,I3))</f>
        <v>3</v>
      </c>
      <c r="K3" s="45">
        <f t="shared" ca="1" si="1"/>
        <v>12</v>
      </c>
      <c r="L3" s="44">
        <f t="shared" ref="L3" ca="1" si="5">SUM(J3:K3)</f>
        <v>15</v>
      </c>
      <c r="M3" s="63">
        <v>19</v>
      </c>
      <c r="N3" s="66" t="str">
        <f t="shared" ref="N3" ca="1" si="6">IF(K3&gt;(M3-1),"þ","ý")</f>
        <v>ý</v>
      </c>
      <c r="O3" s="68" t="s">
        <v>124</v>
      </c>
    </row>
    <row r="4" spans="1:15" x14ac:dyDescent="0.3">
      <c r="A4" s="221" t="s">
        <v>139</v>
      </c>
      <c r="B4" s="219" t="s">
        <v>204</v>
      </c>
      <c r="C4" s="220" t="s">
        <v>297</v>
      </c>
      <c r="D4" s="124" t="s">
        <v>84</v>
      </c>
      <c r="E4" s="123">
        <v>6</v>
      </c>
      <c r="F4" s="122">
        <v>1</v>
      </c>
      <c r="G4" s="121">
        <v>1</v>
      </c>
      <c r="H4" s="44">
        <v>1</v>
      </c>
      <c r="I4" s="44">
        <v>0</v>
      </c>
      <c r="J4" s="44">
        <f t="shared" si="0"/>
        <v>8</v>
      </c>
      <c r="K4" s="45">
        <f t="shared" ca="1" si="1"/>
        <v>20</v>
      </c>
      <c r="L4" s="44">
        <f t="shared" ca="1" si="2"/>
        <v>28</v>
      </c>
      <c r="M4" s="63">
        <v>19</v>
      </c>
      <c r="N4" s="66" t="str">
        <f t="shared" ca="1" si="3"/>
        <v>þ</v>
      </c>
      <c r="O4" s="68"/>
    </row>
    <row r="5" spans="1:15" x14ac:dyDescent="0.3">
      <c r="A5" s="222" t="s">
        <v>139</v>
      </c>
      <c r="B5" s="46" t="s">
        <v>154</v>
      </c>
      <c r="C5" s="46" t="s">
        <v>154</v>
      </c>
      <c r="D5" s="120" t="s">
        <v>79</v>
      </c>
      <c r="E5" s="119">
        <v>6</v>
      </c>
      <c r="F5" s="118">
        <v>1</v>
      </c>
      <c r="G5" s="117">
        <v>1</v>
      </c>
      <c r="H5" s="46">
        <v>0</v>
      </c>
      <c r="I5" s="46">
        <v>0</v>
      </c>
      <c r="J5" s="46">
        <f t="shared" si="0"/>
        <v>7</v>
      </c>
      <c r="K5" s="47">
        <f t="shared" ca="1" si="1"/>
        <v>3</v>
      </c>
      <c r="L5" s="46">
        <f t="shared" ref="L5:L6" ca="1" si="7">SUM(J5:K5)</f>
        <v>10</v>
      </c>
      <c r="M5" s="64">
        <v>20</v>
      </c>
      <c r="N5" s="65" t="str">
        <f t="shared" ref="N5:N6" ca="1" si="8">IF(K5&gt;(M5-1),"þ","ý")</f>
        <v>ý</v>
      </c>
      <c r="O5" s="116"/>
    </row>
    <row r="6" spans="1:15" x14ac:dyDescent="0.3">
      <c r="A6" s="221" t="s">
        <v>134</v>
      </c>
      <c r="B6" s="219" t="s">
        <v>205</v>
      </c>
      <c r="C6" s="220" t="s">
        <v>296</v>
      </c>
      <c r="D6" s="124" t="s">
        <v>79</v>
      </c>
      <c r="E6" s="123">
        <v>4</v>
      </c>
      <c r="F6" s="122">
        <v>-1</v>
      </c>
      <c r="G6" s="121">
        <v>3</v>
      </c>
      <c r="H6" s="44">
        <v>1</v>
      </c>
      <c r="I6" s="44">
        <v>0</v>
      </c>
      <c r="J6" s="44">
        <f t="shared" si="0"/>
        <v>4</v>
      </c>
      <c r="K6" s="45">
        <f t="shared" ca="1" si="1"/>
        <v>19</v>
      </c>
      <c r="L6" s="44">
        <f t="shared" ca="1" si="7"/>
        <v>23</v>
      </c>
      <c r="M6" s="63">
        <v>17</v>
      </c>
      <c r="N6" s="66" t="str">
        <f t="shared" ca="1" si="8"/>
        <v>þ</v>
      </c>
      <c r="O6" s="68" t="s">
        <v>125</v>
      </c>
    </row>
    <row r="7" spans="1:15" x14ac:dyDescent="0.3">
      <c r="A7" s="221" t="s">
        <v>134</v>
      </c>
      <c r="B7" s="219" t="s">
        <v>206</v>
      </c>
      <c r="C7" s="220" t="s">
        <v>294</v>
      </c>
      <c r="D7" s="124" t="s">
        <v>84</v>
      </c>
      <c r="E7" s="123">
        <v>4</v>
      </c>
      <c r="F7" s="122">
        <v>-1</v>
      </c>
      <c r="G7" s="121">
        <v>3</v>
      </c>
      <c r="H7" s="44">
        <v>1</v>
      </c>
      <c r="I7" s="44">
        <v>0</v>
      </c>
      <c r="J7" s="44">
        <f t="shared" si="0"/>
        <v>8</v>
      </c>
      <c r="K7" s="45">
        <f t="shared" ca="1" si="1"/>
        <v>2</v>
      </c>
      <c r="L7" s="44">
        <f t="shared" ca="1" si="2"/>
        <v>10</v>
      </c>
      <c r="M7" s="63">
        <v>19</v>
      </c>
      <c r="N7" s="66" t="str">
        <f t="shared" ca="1" si="3"/>
        <v>ý</v>
      </c>
      <c r="O7" s="68" t="s">
        <v>229</v>
      </c>
    </row>
    <row r="8" spans="1:15" x14ac:dyDescent="0.3">
      <c r="A8" s="222" t="s">
        <v>134</v>
      </c>
      <c r="B8" s="46" t="s">
        <v>154</v>
      </c>
      <c r="C8" s="46" t="s">
        <v>154</v>
      </c>
      <c r="D8" s="120" t="s">
        <v>79</v>
      </c>
      <c r="E8" s="119">
        <v>4</v>
      </c>
      <c r="F8" s="118">
        <v>-1</v>
      </c>
      <c r="G8" s="117">
        <v>3</v>
      </c>
      <c r="H8" s="46">
        <v>0</v>
      </c>
      <c r="I8" s="46">
        <v>0</v>
      </c>
      <c r="J8" s="46">
        <f t="shared" si="0"/>
        <v>3</v>
      </c>
      <c r="K8" s="47">
        <f t="shared" ca="1" si="1"/>
        <v>5</v>
      </c>
      <c r="L8" s="46">
        <f t="shared" ca="1" si="2"/>
        <v>8</v>
      </c>
      <c r="M8" s="64">
        <v>20</v>
      </c>
      <c r="N8" s="65" t="str">
        <f t="shared" ca="1" si="3"/>
        <v>ý</v>
      </c>
      <c r="O8" s="116"/>
    </row>
    <row r="9" spans="1:15" x14ac:dyDescent="0.3">
      <c r="A9" s="221" t="s">
        <v>135</v>
      </c>
      <c r="B9" s="219" t="s">
        <v>207</v>
      </c>
      <c r="C9" s="220" t="s">
        <v>292</v>
      </c>
      <c r="D9" s="124" t="s">
        <v>79</v>
      </c>
      <c r="E9" s="123">
        <v>6</v>
      </c>
      <c r="F9" s="122">
        <v>0</v>
      </c>
      <c r="G9" s="121">
        <v>4</v>
      </c>
      <c r="H9" s="44">
        <v>1</v>
      </c>
      <c r="I9" s="44">
        <v>0</v>
      </c>
      <c r="J9" s="44">
        <f t="shared" si="0"/>
        <v>7</v>
      </c>
      <c r="K9" s="45">
        <f t="shared" ca="1" si="1"/>
        <v>6</v>
      </c>
      <c r="L9" s="44">
        <f t="shared" ca="1" si="2"/>
        <v>13</v>
      </c>
      <c r="M9" s="63">
        <v>17</v>
      </c>
      <c r="N9" s="66" t="str">
        <f t="shared" ca="1" si="3"/>
        <v>ý</v>
      </c>
      <c r="O9" s="68" t="s">
        <v>126</v>
      </c>
    </row>
    <row r="10" spans="1:15" x14ac:dyDescent="0.3">
      <c r="A10" s="221" t="s">
        <v>135</v>
      </c>
      <c r="B10" s="219" t="s">
        <v>220</v>
      </c>
      <c r="C10" s="220" t="s">
        <v>292</v>
      </c>
      <c r="D10" s="124" t="s">
        <v>79</v>
      </c>
      <c r="E10" s="123">
        <v>1</v>
      </c>
      <c r="F10" s="122">
        <v>0</v>
      </c>
      <c r="G10" s="121">
        <v>4</v>
      </c>
      <c r="H10" s="44">
        <v>1</v>
      </c>
      <c r="I10" s="44">
        <v>0</v>
      </c>
      <c r="J10" s="44">
        <f t="shared" si="0"/>
        <v>2</v>
      </c>
      <c r="K10" s="45">
        <f t="shared" ca="1" si="1"/>
        <v>18</v>
      </c>
      <c r="L10" s="44">
        <f t="shared" ca="1" si="2"/>
        <v>20</v>
      </c>
      <c r="M10" s="63">
        <v>17</v>
      </c>
      <c r="N10" s="66" t="str">
        <f t="shared" ca="1" si="3"/>
        <v>þ</v>
      </c>
      <c r="O10" s="68"/>
    </row>
    <row r="11" spans="1:15" x14ac:dyDescent="0.3">
      <c r="A11" s="221" t="s">
        <v>135</v>
      </c>
      <c r="B11" s="219" t="s">
        <v>221</v>
      </c>
      <c r="C11" s="220" t="s">
        <v>293</v>
      </c>
      <c r="D11" s="124" t="s">
        <v>84</v>
      </c>
      <c r="E11" s="123">
        <v>6</v>
      </c>
      <c r="F11" s="122">
        <v>0</v>
      </c>
      <c r="G11" s="121">
        <v>4</v>
      </c>
      <c r="H11" s="44">
        <v>1</v>
      </c>
      <c r="I11" s="44">
        <v>0</v>
      </c>
      <c r="J11" s="44">
        <f t="shared" si="0"/>
        <v>11</v>
      </c>
      <c r="K11" s="45">
        <f t="shared" ca="1" si="1"/>
        <v>6</v>
      </c>
      <c r="L11" s="44">
        <f t="shared" ca="1" si="2"/>
        <v>17</v>
      </c>
      <c r="M11" s="63">
        <v>17</v>
      </c>
      <c r="N11" s="66" t="str">
        <f t="shared" ca="1" si="3"/>
        <v>ý</v>
      </c>
      <c r="O11" s="68"/>
    </row>
    <row r="12" spans="1:15" x14ac:dyDescent="0.3">
      <c r="A12" s="221" t="s">
        <v>135</v>
      </c>
      <c r="B12" s="68" t="s">
        <v>222</v>
      </c>
      <c r="C12" s="44" t="s">
        <v>293</v>
      </c>
      <c r="D12" s="124" t="s">
        <v>84</v>
      </c>
      <c r="E12" s="123">
        <v>1</v>
      </c>
      <c r="F12" s="122">
        <v>0</v>
      </c>
      <c r="G12" s="121">
        <v>4</v>
      </c>
      <c r="H12" s="44">
        <v>1</v>
      </c>
      <c r="I12" s="44">
        <v>0</v>
      </c>
      <c r="J12" s="44">
        <f t="shared" si="0"/>
        <v>6</v>
      </c>
      <c r="K12" s="45">
        <f t="shared" ca="1" si="1"/>
        <v>15</v>
      </c>
      <c r="L12" s="44">
        <f t="shared" ca="1" si="2"/>
        <v>21</v>
      </c>
      <c r="M12" s="63">
        <v>17</v>
      </c>
      <c r="N12" s="66" t="str">
        <f t="shared" ca="1" si="3"/>
        <v>ý</v>
      </c>
      <c r="O12" s="68"/>
    </row>
    <row r="13" spans="1:15" x14ac:dyDescent="0.3">
      <c r="A13" s="221" t="s">
        <v>135</v>
      </c>
      <c r="B13" s="68" t="s">
        <v>218</v>
      </c>
      <c r="C13" s="68" t="s">
        <v>219</v>
      </c>
      <c r="D13" s="124" t="s">
        <v>84</v>
      </c>
      <c r="E13" s="123">
        <v>6</v>
      </c>
      <c r="F13" s="122">
        <v>0</v>
      </c>
      <c r="G13" s="121">
        <v>4</v>
      </c>
      <c r="H13" s="44">
        <v>1</v>
      </c>
      <c r="I13" s="44">
        <v>4</v>
      </c>
      <c r="J13" s="44">
        <f t="shared" si="0"/>
        <v>15</v>
      </c>
      <c r="K13" s="45">
        <f t="shared" ca="1" si="1"/>
        <v>18</v>
      </c>
      <c r="L13" s="44">
        <f t="shared" ref="L13" ca="1" si="9">SUM(J13:K13)</f>
        <v>33</v>
      </c>
      <c r="M13" s="63">
        <v>17</v>
      </c>
      <c r="N13" s="66" t="str">
        <f t="shared" ref="N13" ca="1" si="10">IF(K13&gt;(M13-1),"þ","ý")</f>
        <v>þ</v>
      </c>
      <c r="O13" s="68"/>
    </row>
    <row r="14" spans="1:15" x14ac:dyDescent="0.3">
      <c r="A14" s="222" t="s">
        <v>135</v>
      </c>
      <c r="B14" s="46" t="s">
        <v>154</v>
      </c>
      <c r="C14" s="46" t="s">
        <v>154</v>
      </c>
      <c r="D14" s="120" t="s">
        <v>79</v>
      </c>
      <c r="E14" s="119">
        <v>6</v>
      </c>
      <c r="F14" s="118">
        <v>0</v>
      </c>
      <c r="G14" s="117">
        <v>4</v>
      </c>
      <c r="H14" s="46">
        <v>0</v>
      </c>
      <c r="I14" s="46">
        <v>0</v>
      </c>
      <c r="J14" s="46">
        <f t="shared" si="0"/>
        <v>6</v>
      </c>
      <c r="K14" s="47">
        <f t="shared" ca="1" si="1"/>
        <v>1</v>
      </c>
      <c r="L14" s="46">
        <f t="shared" ca="1" si="2"/>
        <v>7</v>
      </c>
      <c r="M14" s="64">
        <v>20</v>
      </c>
      <c r="N14" s="65" t="str">
        <f t="shared" ca="1" si="3"/>
        <v>ý</v>
      </c>
      <c r="O14" s="116"/>
    </row>
    <row r="15" spans="1:15" x14ac:dyDescent="0.3">
      <c r="A15" s="221" t="s">
        <v>136</v>
      </c>
      <c r="B15" s="219" t="s">
        <v>214</v>
      </c>
      <c r="C15" s="220" t="s">
        <v>298</v>
      </c>
      <c r="D15" s="124" t="s">
        <v>79</v>
      </c>
      <c r="E15" s="123">
        <v>7</v>
      </c>
      <c r="F15" s="122">
        <v>2</v>
      </c>
      <c r="G15" s="121">
        <v>2</v>
      </c>
      <c r="H15" s="44">
        <v>1</v>
      </c>
      <c r="I15" s="44">
        <v>0</v>
      </c>
      <c r="J15" s="44">
        <f t="shared" si="0"/>
        <v>10</v>
      </c>
      <c r="K15" s="45">
        <f t="shared" ca="1" si="1"/>
        <v>20</v>
      </c>
      <c r="L15" s="44">
        <f t="shared" ca="1" si="2"/>
        <v>30</v>
      </c>
      <c r="M15" s="63">
        <v>19</v>
      </c>
      <c r="N15" s="66" t="str">
        <f t="shared" ca="1" si="3"/>
        <v>þ</v>
      </c>
      <c r="O15" s="182" t="s">
        <v>129</v>
      </c>
    </row>
    <row r="16" spans="1:15" x14ac:dyDescent="0.3">
      <c r="A16" s="221" t="s">
        <v>136</v>
      </c>
      <c r="B16" s="219" t="s">
        <v>208</v>
      </c>
      <c r="C16" s="220" t="s">
        <v>298</v>
      </c>
      <c r="D16" s="124" t="s">
        <v>79</v>
      </c>
      <c r="E16" s="123">
        <v>2</v>
      </c>
      <c r="F16" s="122">
        <v>2</v>
      </c>
      <c r="G16" s="121">
        <v>2</v>
      </c>
      <c r="H16" s="44">
        <v>1</v>
      </c>
      <c r="I16" s="44">
        <v>0</v>
      </c>
      <c r="J16" s="44">
        <f t="shared" si="0"/>
        <v>5</v>
      </c>
      <c r="K16" s="45">
        <f t="shared" ca="1" si="1"/>
        <v>13</v>
      </c>
      <c r="L16" s="44">
        <f t="shared" ca="1" si="2"/>
        <v>18</v>
      </c>
      <c r="M16" s="63">
        <v>20</v>
      </c>
      <c r="N16" s="66" t="str">
        <f t="shared" ca="1" si="3"/>
        <v>ý</v>
      </c>
      <c r="O16" s="68" t="s">
        <v>215</v>
      </c>
    </row>
    <row r="17" spans="1:15" x14ac:dyDescent="0.3">
      <c r="A17" s="221" t="s">
        <v>136</v>
      </c>
      <c r="B17" s="219" t="s">
        <v>224</v>
      </c>
      <c r="C17" s="220" t="s">
        <v>166</v>
      </c>
      <c r="D17" s="124" t="s">
        <v>84</v>
      </c>
      <c r="E17" s="123">
        <v>7</v>
      </c>
      <c r="F17" s="122">
        <v>2</v>
      </c>
      <c r="G17" s="121">
        <v>2</v>
      </c>
      <c r="H17" s="44">
        <v>1</v>
      </c>
      <c r="I17" s="44">
        <v>0</v>
      </c>
      <c r="J17" s="44">
        <f t="shared" si="0"/>
        <v>10</v>
      </c>
      <c r="K17" s="45">
        <f t="shared" ca="1" si="1"/>
        <v>11</v>
      </c>
      <c r="L17" s="44">
        <f t="shared" ca="1" si="2"/>
        <v>21</v>
      </c>
      <c r="M17" s="63">
        <v>20</v>
      </c>
      <c r="N17" s="66" t="str">
        <f t="shared" ca="1" si="3"/>
        <v>ý</v>
      </c>
      <c r="O17" s="68"/>
    </row>
    <row r="18" spans="1:15" x14ac:dyDescent="0.3">
      <c r="A18" s="221" t="s">
        <v>136</v>
      </c>
      <c r="B18" s="219" t="s">
        <v>216</v>
      </c>
      <c r="C18" s="220" t="s">
        <v>166</v>
      </c>
      <c r="D18" s="124" t="s">
        <v>84</v>
      </c>
      <c r="E18" s="123">
        <v>2</v>
      </c>
      <c r="F18" s="122">
        <v>2</v>
      </c>
      <c r="G18" s="121">
        <v>2</v>
      </c>
      <c r="H18" s="44">
        <v>1</v>
      </c>
      <c r="I18" s="44">
        <v>0</v>
      </c>
      <c r="J18" s="44">
        <f t="shared" si="0"/>
        <v>5</v>
      </c>
      <c r="K18" s="45">
        <f t="shared" ca="1" si="1"/>
        <v>9</v>
      </c>
      <c r="L18" s="44">
        <f t="shared" ref="L18" ca="1" si="11">SUM(J18:K18)</f>
        <v>14</v>
      </c>
      <c r="M18" s="63">
        <v>20</v>
      </c>
      <c r="N18" s="66" t="str">
        <f t="shared" ref="N18" ca="1" si="12">IF(K18&gt;(M18-1),"þ","ý")</f>
        <v>ý</v>
      </c>
      <c r="O18" s="68"/>
    </row>
    <row r="19" spans="1:15" x14ac:dyDescent="0.3">
      <c r="A19" s="221" t="s">
        <v>136</v>
      </c>
      <c r="B19" s="219" t="s">
        <v>217</v>
      </c>
      <c r="C19" s="220" t="s">
        <v>166</v>
      </c>
      <c r="D19" s="124" t="s">
        <v>84</v>
      </c>
      <c r="E19" s="123">
        <v>7</v>
      </c>
      <c r="F19" s="122">
        <v>2</v>
      </c>
      <c r="G19" s="121">
        <v>2</v>
      </c>
      <c r="H19" s="44">
        <v>1</v>
      </c>
      <c r="I19" s="44">
        <v>0</v>
      </c>
      <c r="J19" s="44">
        <f t="shared" ref="J19" si="13">IF(D19="þ",SUM(E19,G19:I19),SUM(E19,F19,H19,I19))</f>
        <v>10</v>
      </c>
      <c r="K19" s="45">
        <f t="shared" ca="1" si="1"/>
        <v>6</v>
      </c>
      <c r="L19" s="44">
        <f t="shared" ref="L19" ca="1" si="14">SUM(J19:K19)</f>
        <v>16</v>
      </c>
      <c r="M19" s="63">
        <v>20</v>
      </c>
      <c r="N19" s="66" t="str">
        <f t="shared" ref="N19" ca="1" si="15">IF(K19&gt;(M19-1),"þ","ý")</f>
        <v>ý</v>
      </c>
      <c r="O19" s="68"/>
    </row>
    <row r="20" spans="1:15" x14ac:dyDescent="0.3">
      <c r="A20" s="222" t="s">
        <v>136</v>
      </c>
      <c r="B20" s="46" t="s">
        <v>154</v>
      </c>
      <c r="C20" s="46" t="s">
        <v>154</v>
      </c>
      <c r="D20" s="120" t="s">
        <v>79</v>
      </c>
      <c r="E20" s="119">
        <v>7</v>
      </c>
      <c r="F20" s="118">
        <v>2</v>
      </c>
      <c r="G20" s="117">
        <v>2</v>
      </c>
      <c r="H20" s="46">
        <v>0</v>
      </c>
      <c r="I20" s="46">
        <v>0</v>
      </c>
      <c r="J20" s="46">
        <f t="shared" si="0"/>
        <v>9</v>
      </c>
      <c r="K20" s="47">
        <f t="shared" ca="1" si="1"/>
        <v>18</v>
      </c>
      <c r="L20" s="46">
        <f t="shared" ca="1" si="2"/>
        <v>27</v>
      </c>
      <c r="M20" s="64">
        <v>20</v>
      </c>
      <c r="N20" s="65" t="str">
        <f t="shared" ca="1" si="3"/>
        <v>ý</v>
      </c>
      <c r="O20" s="116"/>
    </row>
    <row r="21" spans="1:15" x14ac:dyDescent="0.3">
      <c r="A21" s="221" t="s">
        <v>137</v>
      </c>
      <c r="B21" s="219" t="s">
        <v>225</v>
      </c>
      <c r="C21" s="220" t="s">
        <v>299</v>
      </c>
      <c r="D21" s="124" t="s">
        <v>79</v>
      </c>
      <c r="E21" s="123">
        <v>5</v>
      </c>
      <c r="F21" s="122">
        <v>0</v>
      </c>
      <c r="G21" s="121">
        <v>2</v>
      </c>
      <c r="H21" s="44">
        <v>1</v>
      </c>
      <c r="I21" s="44">
        <v>0</v>
      </c>
      <c r="J21" s="44">
        <f t="shared" si="0"/>
        <v>6</v>
      </c>
      <c r="K21" s="45">
        <f t="shared" ca="1" si="1"/>
        <v>7</v>
      </c>
      <c r="L21" s="44">
        <f t="shared" ca="1" si="2"/>
        <v>13</v>
      </c>
      <c r="M21" s="63">
        <v>20</v>
      </c>
      <c r="N21" s="66" t="str">
        <f t="shared" ca="1" si="3"/>
        <v>ý</v>
      </c>
      <c r="O21" s="182" t="s">
        <v>130</v>
      </c>
    </row>
    <row r="22" spans="1:15" x14ac:dyDescent="0.3">
      <c r="A22" s="221" t="s">
        <v>137</v>
      </c>
      <c r="B22" s="219" t="s">
        <v>212</v>
      </c>
      <c r="C22" s="220" t="s">
        <v>300</v>
      </c>
      <c r="D22" s="124" t="s">
        <v>84</v>
      </c>
      <c r="E22" s="123">
        <v>5</v>
      </c>
      <c r="F22" s="122">
        <v>0</v>
      </c>
      <c r="G22" s="121">
        <v>2</v>
      </c>
      <c r="H22" s="44">
        <v>1</v>
      </c>
      <c r="I22" s="44">
        <v>0</v>
      </c>
      <c r="J22" s="44">
        <f t="shared" si="0"/>
        <v>8</v>
      </c>
      <c r="K22" s="45">
        <f t="shared" ca="1" si="1"/>
        <v>18</v>
      </c>
      <c r="L22" s="44">
        <f t="shared" ca="1" si="2"/>
        <v>26</v>
      </c>
      <c r="M22" s="63">
        <v>20</v>
      </c>
      <c r="N22" s="66" t="str">
        <f t="shared" ca="1" si="3"/>
        <v>ý</v>
      </c>
      <c r="O22" s="68"/>
    </row>
    <row r="23" spans="1:15" x14ac:dyDescent="0.3">
      <c r="A23" s="222" t="s">
        <v>137</v>
      </c>
      <c r="B23" s="46" t="s">
        <v>154</v>
      </c>
      <c r="C23" s="46" t="s">
        <v>154</v>
      </c>
      <c r="D23" s="120" t="s">
        <v>79</v>
      </c>
      <c r="E23" s="119">
        <v>5</v>
      </c>
      <c r="F23" s="118">
        <v>0</v>
      </c>
      <c r="G23" s="117">
        <v>2</v>
      </c>
      <c r="H23" s="46">
        <v>0</v>
      </c>
      <c r="I23" s="46">
        <v>0</v>
      </c>
      <c r="J23" s="46">
        <f t="shared" si="0"/>
        <v>5</v>
      </c>
      <c r="K23" s="47">
        <f t="shared" ca="1" si="1"/>
        <v>4</v>
      </c>
      <c r="L23" s="46">
        <f t="shared" ca="1" si="2"/>
        <v>9</v>
      </c>
      <c r="M23" s="64">
        <v>20</v>
      </c>
      <c r="N23" s="65" t="str">
        <f t="shared" ca="1" si="3"/>
        <v>ý</v>
      </c>
      <c r="O23" s="116"/>
    </row>
    <row r="24" spans="1:15" x14ac:dyDescent="0.3">
      <c r="A24" s="221" t="s">
        <v>138</v>
      </c>
      <c r="B24" s="219" t="s">
        <v>304</v>
      </c>
      <c r="C24" s="220" t="s">
        <v>302</v>
      </c>
      <c r="D24" s="124" t="s">
        <v>79</v>
      </c>
      <c r="E24" s="123">
        <v>7</v>
      </c>
      <c r="F24" s="122">
        <v>3</v>
      </c>
      <c r="G24" s="121">
        <v>0</v>
      </c>
      <c r="H24" s="44">
        <v>1</v>
      </c>
      <c r="I24" s="44">
        <v>0</v>
      </c>
      <c r="J24" s="44">
        <f t="shared" si="0"/>
        <v>11</v>
      </c>
      <c r="K24" s="45">
        <f t="shared" ca="1" si="1"/>
        <v>3</v>
      </c>
      <c r="L24" s="44">
        <f t="shared" ca="1" si="2"/>
        <v>14</v>
      </c>
      <c r="M24" s="63">
        <v>20</v>
      </c>
      <c r="N24" s="66" t="str">
        <f t="shared" ca="1" si="3"/>
        <v>ý</v>
      </c>
      <c r="O24" s="182" t="s">
        <v>128</v>
      </c>
    </row>
    <row r="25" spans="1:15" x14ac:dyDescent="0.3">
      <c r="A25" s="221" t="s">
        <v>138</v>
      </c>
      <c r="B25" s="219" t="s">
        <v>305</v>
      </c>
      <c r="C25" s="220" t="s">
        <v>302</v>
      </c>
      <c r="D25" s="124" t="s">
        <v>79</v>
      </c>
      <c r="E25" s="123">
        <v>2</v>
      </c>
      <c r="F25" s="122">
        <v>3</v>
      </c>
      <c r="G25" s="121">
        <v>0</v>
      </c>
      <c r="H25" s="44">
        <v>1</v>
      </c>
      <c r="I25" s="44">
        <v>0</v>
      </c>
      <c r="J25" s="44">
        <f t="shared" si="0"/>
        <v>6</v>
      </c>
      <c r="K25" s="45">
        <f t="shared" ca="1" si="1"/>
        <v>4</v>
      </c>
      <c r="L25" s="44">
        <f t="shared" ca="1" si="2"/>
        <v>10</v>
      </c>
      <c r="M25" s="63">
        <v>20</v>
      </c>
      <c r="N25" s="66" t="str">
        <f t="shared" ca="1" si="3"/>
        <v>ý</v>
      </c>
      <c r="O25" s="68"/>
    </row>
    <row r="26" spans="1:15" x14ac:dyDescent="0.3">
      <c r="A26" s="221" t="s">
        <v>138</v>
      </c>
      <c r="B26" s="68" t="s">
        <v>209</v>
      </c>
      <c r="C26" s="44" t="s">
        <v>210</v>
      </c>
      <c r="D26" s="124" t="s">
        <v>84</v>
      </c>
      <c r="E26" s="123">
        <v>7</v>
      </c>
      <c r="F26" s="122">
        <v>3</v>
      </c>
      <c r="G26" s="121">
        <v>0</v>
      </c>
      <c r="H26" s="44">
        <v>1</v>
      </c>
      <c r="I26" s="44">
        <v>0</v>
      </c>
      <c r="J26" s="44">
        <f t="shared" si="0"/>
        <v>8</v>
      </c>
      <c r="K26" s="45">
        <f t="shared" ca="1" si="1"/>
        <v>4</v>
      </c>
      <c r="L26" s="44">
        <f t="shared" ca="1" si="2"/>
        <v>12</v>
      </c>
      <c r="M26" s="63">
        <v>20</v>
      </c>
      <c r="N26" s="66" t="str">
        <f t="shared" ca="1" si="3"/>
        <v>ý</v>
      </c>
      <c r="O26" s="68"/>
    </row>
    <row r="27" spans="1:15" x14ac:dyDescent="0.3">
      <c r="A27" s="222" t="s">
        <v>138</v>
      </c>
      <c r="B27" s="46" t="s">
        <v>154</v>
      </c>
      <c r="C27" s="46" t="s">
        <v>154</v>
      </c>
      <c r="D27" s="120" t="s">
        <v>79</v>
      </c>
      <c r="E27" s="119">
        <v>7</v>
      </c>
      <c r="F27" s="118">
        <v>3</v>
      </c>
      <c r="G27" s="117">
        <v>0</v>
      </c>
      <c r="H27" s="46">
        <v>0</v>
      </c>
      <c r="I27" s="46">
        <v>0</v>
      </c>
      <c r="J27" s="46">
        <f t="shared" si="0"/>
        <v>10</v>
      </c>
      <c r="K27" s="47">
        <f t="shared" ca="1" si="1"/>
        <v>2</v>
      </c>
      <c r="L27" s="46">
        <f t="shared" ca="1" si="2"/>
        <v>12</v>
      </c>
      <c r="M27" s="64">
        <v>20</v>
      </c>
      <c r="N27" s="65" t="str">
        <f t="shared" ca="1" si="3"/>
        <v>ý</v>
      </c>
      <c r="O27" s="116"/>
    </row>
    <row r="28" spans="1:15" x14ac:dyDescent="0.3">
      <c r="A28" s="221" t="s">
        <v>140</v>
      </c>
      <c r="B28" s="219" t="s">
        <v>223</v>
      </c>
      <c r="C28" s="220" t="s">
        <v>299</v>
      </c>
      <c r="D28" s="124" t="s">
        <v>79</v>
      </c>
      <c r="E28" s="123">
        <v>4</v>
      </c>
      <c r="F28" s="122">
        <v>1</v>
      </c>
      <c r="G28" s="121">
        <v>3</v>
      </c>
      <c r="H28" s="44">
        <v>1</v>
      </c>
      <c r="I28" s="44">
        <v>0</v>
      </c>
      <c r="J28" s="44">
        <f t="shared" si="0"/>
        <v>6</v>
      </c>
      <c r="K28" s="45">
        <f t="shared" ca="1" si="1"/>
        <v>5</v>
      </c>
      <c r="L28" s="44">
        <f t="shared" ca="1" si="2"/>
        <v>11</v>
      </c>
      <c r="M28" s="63">
        <v>20</v>
      </c>
      <c r="N28" s="66" t="str">
        <f t="shared" ca="1" si="3"/>
        <v>ý</v>
      </c>
      <c r="O28" s="182" t="s">
        <v>131</v>
      </c>
    </row>
    <row r="29" spans="1:15" x14ac:dyDescent="0.3">
      <c r="A29" s="221" t="s">
        <v>140</v>
      </c>
      <c r="B29" s="219" t="s">
        <v>224</v>
      </c>
      <c r="C29" s="220" t="s">
        <v>166</v>
      </c>
      <c r="D29" s="124" t="s">
        <v>84</v>
      </c>
      <c r="E29" s="123">
        <v>4</v>
      </c>
      <c r="F29" s="122">
        <v>1</v>
      </c>
      <c r="G29" s="121">
        <v>3</v>
      </c>
      <c r="H29" s="44">
        <v>1</v>
      </c>
      <c r="I29" s="44">
        <v>0</v>
      </c>
      <c r="J29" s="44">
        <f t="shared" si="0"/>
        <v>8</v>
      </c>
      <c r="K29" s="45">
        <f t="shared" ca="1" si="1"/>
        <v>12</v>
      </c>
      <c r="L29" s="44">
        <f t="shared" ca="1" si="2"/>
        <v>20</v>
      </c>
      <c r="M29" s="63">
        <v>20</v>
      </c>
      <c r="N29" s="66" t="str">
        <f t="shared" ca="1" si="3"/>
        <v>ý</v>
      </c>
      <c r="O29" s="68"/>
    </row>
    <row r="30" spans="1:15" x14ac:dyDescent="0.3">
      <c r="A30" s="222" t="s">
        <v>140</v>
      </c>
      <c r="B30" s="46" t="s">
        <v>154</v>
      </c>
      <c r="C30" s="46" t="s">
        <v>154</v>
      </c>
      <c r="D30" s="120" t="s">
        <v>79</v>
      </c>
      <c r="E30" s="119">
        <v>4</v>
      </c>
      <c r="F30" s="118">
        <v>1</v>
      </c>
      <c r="G30" s="117">
        <v>3</v>
      </c>
      <c r="H30" s="46">
        <v>0</v>
      </c>
      <c r="I30" s="46">
        <v>0</v>
      </c>
      <c r="J30" s="46">
        <f t="shared" si="0"/>
        <v>5</v>
      </c>
      <c r="K30" s="47">
        <f t="shared" ca="1" si="1"/>
        <v>14</v>
      </c>
      <c r="L30" s="46">
        <f t="shared" ca="1" si="2"/>
        <v>19</v>
      </c>
      <c r="M30" s="64">
        <v>20</v>
      </c>
      <c r="N30" s="65" t="str">
        <f t="shared" ca="1" si="3"/>
        <v>ý</v>
      </c>
      <c r="O30" s="116"/>
    </row>
    <row r="31" spans="1:15" x14ac:dyDescent="0.3">
      <c r="A31" s="221" t="s">
        <v>142</v>
      </c>
      <c r="B31" s="219" t="s">
        <v>226</v>
      </c>
      <c r="C31" s="220" t="s">
        <v>303</v>
      </c>
      <c r="D31" s="124" t="s">
        <v>79</v>
      </c>
      <c r="E31" s="123">
        <v>6</v>
      </c>
      <c r="F31" s="122">
        <v>4</v>
      </c>
      <c r="G31" s="121">
        <v>1</v>
      </c>
      <c r="H31" s="44">
        <v>1</v>
      </c>
      <c r="I31" s="44">
        <v>0</v>
      </c>
      <c r="J31" s="44">
        <f t="shared" ref="J31:J48" si="16">IF(D31="þ",SUM(E31,G31:I31),SUM(E31,F31,H31,I31))</f>
        <v>11</v>
      </c>
      <c r="K31" s="45">
        <f t="shared" ca="1" si="1"/>
        <v>9</v>
      </c>
      <c r="L31" s="44">
        <f t="shared" ca="1" si="2"/>
        <v>20</v>
      </c>
      <c r="M31" s="63">
        <v>20</v>
      </c>
      <c r="N31" s="66" t="str">
        <f t="shared" ca="1" si="3"/>
        <v>ý</v>
      </c>
      <c r="O31" s="182" t="s">
        <v>132</v>
      </c>
    </row>
    <row r="32" spans="1:15" x14ac:dyDescent="0.3">
      <c r="A32" s="221" t="s">
        <v>142</v>
      </c>
      <c r="B32" s="219" t="s">
        <v>227</v>
      </c>
      <c r="C32" s="220" t="s">
        <v>303</v>
      </c>
      <c r="D32" s="124" t="s">
        <v>79</v>
      </c>
      <c r="E32" s="123">
        <v>1</v>
      </c>
      <c r="F32" s="122">
        <v>4</v>
      </c>
      <c r="G32" s="121">
        <v>1</v>
      </c>
      <c r="H32" s="44">
        <v>1</v>
      </c>
      <c r="I32" s="44">
        <v>0</v>
      </c>
      <c r="J32" s="44">
        <f t="shared" si="16"/>
        <v>6</v>
      </c>
      <c r="K32" s="45">
        <f t="shared" ca="1" si="1"/>
        <v>9</v>
      </c>
      <c r="L32" s="44">
        <f t="shared" ca="1" si="2"/>
        <v>15</v>
      </c>
      <c r="M32" s="63">
        <v>20</v>
      </c>
      <c r="N32" s="66" t="str">
        <f t="shared" ca="1" si="3"/>
        <v>ý</v>
      </c>
      <c r="O32" s="182"/>
    </row>
    <row r="33" spans="1:15" x14ac:dyDescent="0.3">
      <c r="A33" s="221" t="s">
        <v>142</v>
      </c>
      <c r="B33" s="219" t="s">
        <v>204</v>
      </c>
      <c r="C33" s="220" t="s">
        <v>297</v>
      </c>
      <c r="D33" s="124" t="s">
        <v>84</v>
      </c>
      <c r="E33" s="123">
        <v>6</v>
      </c>
      <c r="F33" s="122">
        <v>4</v>
      </c>
      <c r="G33" s="121">
        <v>1</v>
      </c>
      <c r="H33" s="44">
        <v>1</v>
      </c>
      <c r="I33" s="44">
        <v>0</v>
      </c>
      <c r="J33" s="44">
        <f t="shared" si="16"/>
        <v>8</v>
      </c>
      <c r="K33" s="45">
        <f t="shared" ca="1" si="1"/>
        <v>18</v>
      </c>
      <c r="L33" s="44">
        <f t="shared" ca="1" si="2"/>
        <v>26</v>
      </c>
      <c r="M33" s="63">
        <v>20</v>
      </c>
      <c r="N33" s="66" t="str">
        <f t="shared" ca="1" si="3"/>
        <v>ý</v>
      </c>
      <c r="O33" s="182"/>
    </row>
    <row r="34" spans="1:15" x14ac:dyDescent="0.3">
      <c r="A34" s="222" t="s">
        <v>142</v>
      </c>
      <c r="B34" s="46" t="s">
        <v>154</v>
      </c>
      <c r="C34" s="46" t="s">
        <v>154</v>
      </c>
      <c r="D34" s="120" t="s">
        <v>79</v>
      </c>
      <c r="E34" s="119">
        <v>6</v>
      </c>
      <c r="F34" s="118">
        <v>4</v>
      </c>
      <c r="G34" s="117">
        <v>1</v>
      </c>
      <c r="H34" s="46">
        <v>0</v>
      </c>
      <c r="I34" s="46">
        <v>0</v>
      </c>
      <c r="J34" s="46">
        <f t="shared" si="16"/>
        <v>10</v>
      </c>
      <c r="K34" s="47">
        <f t="shared" ca="1" si="1"/>
        <v>2</v>
      </c>
      <c r="L34" s="46">
        <f t="shared" ref="L34:L35" ca="1" si="17">SUM(J34:K34)</f>
        <v>12</v>
      </c>
      <c r="M34" s="64">
        <v>20</v>
      </c>
      <c r="N34" s="65" t="str">
        <f t="shared" ref="N34:N35" ca="1" si="18">IF(K34&gt;(M34-1),"þ","ý")</f>
        <v>ý</v>
      </c>
      <c r="O34" s="116"/>
    </row>
    <row r="35" spans="1:15" x14ac:dyDescent="0.3">
      <c r="A35" s="221" t="s">
        <v>141</v>
      </c>
      <c r="B35" s="219" t="s">
        <v>213</v>
      </c>
      <c r="C35" s="220" t="s">
        <v>301</v>
      </c>
      <c r="D35" s="124" t="s">
        <v>84</v>
      </c>
      <c r="E35" s="123">
        <v>5</v>
      </c>
      <c r="F35" s="122">
        <v>0</v>
      </c>
      <c r="G35" s="121">
        <v>3</v>
      </c>
      <c r="H35" s="44">
        <v>1</v>
      </c>
      <c r="I35" s="44">
        <v>0</v>
      </c>
      <c r="J35" s="44">
        <f t="shared" si="16"/>
        <v>9</v>
      </c>
      <c r="K35" s="45">
        <f t="shared" ca="1" si="1"/>
        <v>12</v>
      </c>
      <c r="L35" s="44">
        <f t="shared" ca="1" si="17"/>
        <v>21</v>
      </c>
      <c r="M35" s="63">
        <v>20</v>
      </c>
      <c r="N35" s="66" t="str">
        <f t="shared" ca="1" si="18"/>
        <v>ý</v>
      </c>
      <c r="O35" s="182" t="s">
        <v>133</v>
      </c>
    </row>
    <row r="36" spans="1:15" x14ac:dyDescent="0.3">
      <c r="A36" s="221" t="s">
        <v>141</v>
      </c>
      <c r="B36" s="219" t="s">
        <v>228</v>
      </c>
      <c r="C36" s="220" t="s">
        <v>300</v>
      </c>
      <c r="D36" s="124" t="s">
        <v>79</v>
      </c>
      <c r="E36" s="123">
        <v>5</v>
      </c>
      <c r="F36" s="122">
        <v>0</v>
      </c>
      <c r="G36" s="121">
        <v>3</v>
      </c>
      <c r="H36" s="44">
        <v>1</v>
      </c>
      <c r="I36" s="44">
        <v>0</v>
      </c>
      <c r="J36" s="44">
        <f t="shared" si="16"/>
        <v>6</v>
      </c>
      <c r="K36" s="45">
        <f t="shared" ca="1" si="1"/>
        <v>12</v>
      </c>
      <c r="L36" s="44">
        <f t="shared" ref="L36" ca="1" si="19">SUM(J36:K36)</f>
        <v>18</v>
      </c>
      <c r="M36" s="63">
        <v>20</v>
      </c>
      <c r="N36" s="66" t="str">
        <f t="shared" ref="N36" ca="1" si="20">IF(K36&gt;(M36-1),"þ","ý")</f>
        <v>ý</v>
      </c>
      <c r="O36" s="68"/>
    </row>
    <row r="37" spans="1:15" x14ac:dyDescent="0.3">
      <c r="A37" s="222" t="s">
        <v>141</v>
      </c>
      <c r="B37" s="46" t="s">
        <v>154</v>
      </c>
      <c r="C37" s="46" t="s">
        <v>154</v>
      </c>
      <c r="D37" s="120" t="s">
        <v>79</v>
      </c>
      <c r="E37" s="119">
        <v>5</v>
      </c>
      <c r="F37" s="118">
        <v>0</v>
      </c>
      <c r="G37" s="117">
        <v>3</v>
      </c>
      <c r="H37" s="46">
        <v>0</v>
      </c>
      <c r="I37" s="46">
        <v>0</v>
      </c>
      <c r="J37" s="46">
        <f t="shared" si="16"/>
        <v>5</v>
      </c>
      <c r="K37" s="47">
        <f t="shared" ca="1" si="1"/>
        <v>10</v>
      </c>
      <c r="L37" s="46">
        <f t="shared" ca="1" si="2"/>
        <v>15</v>
      </c>
      <c r="M37" s="64">
        <v>20</v>
      </c>
      <c r="N37" s="65" t="str">
        <f t="shared" ca="1" si="3"/>
        <v>ý</v>
      </c>
      <c r="O37" s="116"/>
    </row>
    <row r="38" spans="1:15" x14ac:dyDescent="0.3">
      <c r="A38" s="221" t="s">
        <v>143</v>
      </c>
      <c r="B38" s="219" t="s">
        <v>211</v>
      </c>
      <c r="C38" s="220" t="s">
        <v>158</v>
      </c>
      <c r="D38" s="124" t="s">
        <v>79</v>
      </c>
      <c r="E38" s="123">
        <v>5</v>
      </c>
      <c r="F38" s="122">
        <v>2</v>
      </c>
      <c r="G38" s="121">
        <v>1</v>
      </c>
      <c r="H38" s="44">
        <v>1</v>
      </c>
      <c r="I38" s="44">
        <v>0</v>
      </c>
      <c r="J38" s="44">
        <f t="shared" si="16"/>
        <v>8</v>
      </c>
      <c r="K38" s="45">
        <f t="shared" ca="1" si="1"/>
        <v>6</v>
      </c>
      <c r="L38" s="44">
        <f t="shared" ca="1" si="2"/>
        <v>14</v>
      </c>
      <c r="M38" s="63">
        <v>20</v>
      </c>
      <c r="N38" s="66" t="str">
        <f t="shared" ca="1" si="3"/>
        <v>ý</v>
      </c>
      <c r="O38" s="182" t="s">
        <v>127</v>
      </c>
    </row>
    <row r="39" spans="1:15" x14ac:dyDescent="0.3">
      <c r="A39" s="221" t="s">
        <v>143</v>
      </c>
      <c r="B39" s="219" t="s">
        <v>212</v>
      </c>
      <c r="C39" s="220" t="s">
        <v>300</v>
      </c>
      <c r="D39" s="124" t="s">
        <v>79</v>
      </c>
      <c r="E39" s="123">
        <v>5</v>
      </c>
      <c r="F39" s="122">
        <v>2</v>
      </c>
      <c r="G39" s="121">
        <v>1</v>
      </c>
      <c r="H39" s="44">
        <v>1</v>
      </c>
      <c r="I39" s="44">
        <v>0</v>
      </c>
      <c r="J39" s="44">
        <f t="shared" si="16"/>
        <v>8</v>
      </c>
      <c r="K39" s="45">
        <f t="shared" ca="1" si="1"/>
        <v>12</v>
      </c>
      <c r="L39" s="44">
        <f t="shared" ca="1" si="2"/>
        <v>20</v>
      </c>
      <c r="M39" s="63">
        <v>20</v>
      </c>
      <c r="N39" s="66" t="str">
        <f t="shared" ca="1" si="3"/>
        <v>ý</v>
      </c>
      <c r="O39" s="68"/>
    </row>
    <row r="40" spans="1:15" x14ac:dyDescent="0.3">
      <c r="A40" s="222" t="s">
        <v>143</v>
      </c>
      <c r="B40" s="46" t="s">
        <v>154</v>
      </c>
      <c r="C40" s="46" t="s">
        <v>154</v>
      </c>
      <c r="D40" s="120" t="s">
        <v>79</v>
      </c>
      <c r="E40" s="119">
        <v>5</v>
      </c>
      <c r="F40" s="118">
        <v>2</v>
      </c>
      <c r="G40" s="117">
        <v>1</v>
      </c>
      <c r="H40" s="46">
        <v>0</v>
      </c>
      <c r="I40" s="46">
        <v>0</v>
      </c>
      <c r="J40" s="46">
        <f t="shared" si="16"/>
        <v>7</v>
      </c>
      <c r="K40" s="47">
        <f t="shared" ca="1" si="1"/>
        <v>7</v>
      </c>
      <c r="L40" s="46">
        <f t="shared" ca="1" si="2"/>
        <v>14</v>
      </c>
      <c r="M40" s="64">
        <v>20</v>
      </c>
      <c r="N40" s="65" t="str">
        <f t="shared" ca="1" si="3"/>
        <v>ý</v>
      </c>
      <c r="O40" s="116"/>
    </row>
    <row r="41" spans="1:15" x14ac:dyDescent="0.3">
      <c r="A41" s="221" t="s">
        <v>322</v>
      </c>
      <c r="B41" s="219" t="s">
        <v>323</v>
      </c>
      <c r="C41" s="220" t="s">
        <v>318</v>
      </c>
      <c r="D41" s="124" t="s">
        <v>79</v>
      </c>
      <c r="E41" s="123">
        <v>0</v>
      </c>
      <c r="F41" s="122">
        <v>3</v>
      </c>
      <c r="G41" s="121">
        <v>3</v>
      </c>
      <c r="H41" s="44">
        <v>0</v>
      </c>
      <c r="I41" s="44">
        <v>0</v>
      </c>
      <c r="J41" s="44">
        <f t="shared" si="16"/>
        <v>3</v>
      </c>
      <c r="K41" s="45">
        <f t="shared" ca="1" si="1"/>
        <v>15</v>
      </c>
      <c r="L41" s="44">
        <f t="shared" ca="1" si="2"/>
        <v>18</v>
      </c>
      <c r="M41" s="63">
        <v>20</v>
      </c>
      <c r="N41" s="66" t="str">
        <f t="shared" ca="1" si="3"/>
        <v>ý</v>
      </c>
      <c r="O41" s="182"/>
    </row>
    <row r="42" spans="1:15" x14ac:dyDescent="0.3">
      <c r="A42" s="221" t="s">
        <v>322</v>
      </c>
      <c r="B42" s="219" t="s">
        <v>324</v>
      </c>
      <c r="C42" s="220" t="s">
        <v>318</v>
      </c>
      <c r="D42" s="124" t="s">
        <v>79</v>
      </c>
      <c r="E42" s="123">
        <v>0</v>
      </c>
      <c r="F42" s="122">
        <v>3</v>
      </c>
      <c r="G42" s="121">
        <v>3</v>
      </c>
      <c r="H42" s="44">
        <v>0</v>
      </c>
      <c r="I42" s="44">
        <v>0</v>
      </c>
      <c r="J42" s="44">
        <f t="shared" si="16"/>
        <v>3</v>
      </c>
      <c r="K42" s="45">
        <f t="shared" ca="1" si="1"/>
        <v>19</v>
      </c>
      <c r="L42" s="44">
        <f t="shared" ca="1" si="2"/>
        <v>22</v>
      </c>
      <c r="M42" s="63">
        <v>20</v>
      </c>
      <c r="N42" s="66" t="str">
        <f t="shared" ca="1" si="3"/>
        <v>ý</v>
      </c>
      <c r="O42" s="68"/>
    </row>
    <row r="43" spans="1:15" x14ac:dyDescent="0.3">
      <c r="A43" s="221" t="s">
        <v>322</v>
      </c>
      <c r="B43" s="219" t="s">
        <v>162</v>
      </c>
      <c r="C43" s="220" t="s">
        <v>318</v>
      </c>
      <c r="D43" s="124" t="s">
        <v>79</v>
      </c>
      <c r="E43" s="123">
        <v>0</v>
      </c>
      <c r="F43" s="122">
        <v>-2</v>
      </c>
      <c r="G43" s="121">
        <v>3</v>
      </c>
      <c r="H43" s="44">
        <v>0</v>
      </c>
      <c r="I43" s="44">
        <v>0</v>
      </c>
      <c r="J43" s="44">
        <f t="shared" ref="J43" si="21">IF(D43="þ",SUM(E43,G43:I43),SUM(E43,F43,H43,I43))</f>
        <v>-2</v>
      </c>
      <c r="K43" s="45">
        <f t="shared" ca="1" si="1"/>
        <v>16</v>
      </c>
      <c r="L43" s="44">
        <f t="shared" ref="L43" ca="1" si="22">SUM(J43:K43)</f>
        <v>14</v>
      </c>
      <c r="M43" s="63">
        <v>20</v>
      </c>
      <c r="N43" s="66" t="str">
        <f t="shared" ref="N43" ca="1" si="23">IF(K43&gt;(M43-1),"þ","ý")</f>
        <v>ý</v>
      </c>
      <c r="O43" s="68"/>
    </row>
    <row r="44" spans="1:15" x14ac:dyDescent="0.3">
      <c r="A44" s="222" t="s">
        <v>322</v>
      </c>
      <c r="B44" s="46" t="s">
        <v>154</v>
      </c>
      <c r="C44" s="46" t="s">
        <v>154</v>
      </c>
      <c r="D44" s="120" t="s">
        <v>79</v>
      </c>
      <c r="E44" s="119">
        <v>0</v>
      </c>
      <c r="F44" s="118">
        <v>-4</v>
      </c>
      <c r="G44" s="117">
        <v>3</v>
      </c>
      <c r="H44" s="46">
        <v>0</v>
      </c>
      <c r="I44" s="46">
        <v>0</v>
      </c>
      <c r="J44" s="46">
        <f t="shared" si="16"/>
        <v>-4</v>
      </c>
      <c r="K44" s="47">
        <f t="shared" ca="1" si="1"/>
        <v>6</v>
      </c>
      <c r="L44" s="46">
        <f t="shared" ca="1" si="2"/>
        <v>2</v>
      </c>
      <c r="M44" s="64">
        <v>20</v>
      </c>
      <c r="N44" s="65" t="str">
        <f t="shared" ca="1" si="3"/>
        <v>ý</v>
      </c>
      <c r="O44" s="116"/>
    </row>
    <row r="45" spans="1:15" x14ac:dyDescent="0.3">
      <c r="A45" s="221"/>
      <c r="B45" s="219"/>
      <c r="C45" s="220"/>
      <c r="D45" s="124" t="s">
        <v>79</v>
      </c>
      <c r="E45" s="123"/>
      <c r="F45" s="122"/>
      <c r="G45" s="121"/>
      <c r="H45" s="44"/>
      <c r="I45" s="44"/>
      <c r="J45" s="44">
        <f t="shared" si="16"/>
        <v>0</v>
      </c>
      <c r="K45" s="45">
        <f t="shared" ca="1" si="1"/>
        <v>8</v>
      </c>
      <c r="L45" s="44">
        <f t="shared" ref="L45:L48" ca="1" si="24">SUM(J45:K45)</f>
        <v>8</v>
      </c>
      <c r="M45" s="63">
        <v>20</v>
      </c>
      <c r="N45" s="66" t="str">
        <f t="shared" ref="N45:N48" ca="1" si="25">IF(K45&gt;(M45-1),"þ","ý")</f>
        <v>ý</v>
      </c>
      <c r="O45" s="182"/>
    </row>
    <row r="46" spans="1:15" x14ac:dyDescent="0.3">
      <c r="A46" s="221"/>
      <c r="B46" s="219"/>
      <c r="C46" s="220"/>
      <c r="D46" s="124" t="s">
        <v>79</v>
      </c>
      <c r="E46" s="123"/>
      <c r="F46" s="122"/>
      <c r="G46" s="121"/>
      <c r="H46" s="44"/>
      <c r="I46" s="44"/>
      <c r="J46" s="44">
        <f t="shared" si="16"/>
        <v>0</v>
      </c>
      <c r="K46" s="45">
        <f t="shared" ca="1" si="1"/>
        <v>20</v>
      </c>
      <c r="L46" s="44">
        <f t="shared" ca="1" si="24"/>
        <v>20</v>
      </c>
      <c r="M46" s="63">
        <v>20</v>
      </c>
      <c r="N46" s="66" t="str">
        <f t="shared" ca="1" si="25"/>
        <v>þ</v>
      </c>
      <c r="O46" s="68"/>
    </row>
    <row r="47" spans="1:15" x14ac:dyDescent="0.3">
      <c r="A47" s="221"/>
      <c r="B47" s="219"/>
      <c r="C47" s="220"/>
      <c r="D47" s="124" t="s">
        <v>79</v>
      </c>
      <c r="E47" s="123"/>
      <c r="F47" s="122"/>
      <c r="G47" s="121"/>
      <c r="H47" s="44"/>
      <c r="I47" s="44"/>
      <c r="J47" s="44">
        <f t="shared" si="16"/>
        <v>0</v>
      </c>
      <c r="K47" s="45">
        <f t="shared" ca="1" si="1"/>
        <v>6</v>
      </c>
      <c r="L47" s="44">
        <f t="shared" ref="L47" ca="1" si="26">SUM(J47:K47)</f>
        <v>6</v>
      </c>
      <c r="M47" s="63">
        <v>20</v>
      </c>
      <c r="N47" s="66" t="str">
        <f t="shared" ref="N47" ca="1" si="27">IF(K47&gt;(M47-1),"þ","ý")</f>
        <v>ý</v>
      </c>
      <c r="O47" s="68"/>
    </row>
    <row r="48" spans="1:15" x14ac:dyDescent="0.3">
      <c r="A48" s="222"/>
      <c r="B48" s="46"/>
      <c r="C48" s="46"/>
      <c r="D48" s="120" t="s">
        <v>79</v>
      </c>
      <c r="E48" s="119"/>
      <c r="F48" s="118"/>
      <c r="G48" s="117"/>
      <c r="H48" s="46"/>
      <c r="I48" s="46"/>
      <c r="J48" s="46">
        <f t="shared" si="16"/>
        <v>0</v>
      </c>
      <c r="K48" s="47">
        <f t="shared" ca="1" si="1"/>
        <v>13</v>
      </c>
      <c r="L48" s="46">
        <f t="shared" ca="1" si="24"/>
        <v>13</v>
      </c>
      <c r="M48" s="64">
        <v>20</v>
      </c>
      <c r="N48" s="65" t="str">
        <f t="shared" ca="1" si="25"/>
        <v>ý</v>
      </c>
      <c r="O48" s="116"/>
    </row>
  </sheetData>
  <conditionalFormatting sqref="K27 K42 K15:K17 K39 K29 K20:K24">
    <cfRule type="cellIs" dxfId="147" priority="198" operator="greaterThanOrEqual">
      <formula>$M15</formula>
    </cfRule>
  </conditionalFormatting>
  <conditionalFormatting sqref="D20">
    <cfRule type="cellIs" dxfId="146" priority="196" operator="equal">
      <formula>"þ"</formula>
    </cfRule>
  </conditionalFormatting>
  <conditionalFormatting sqref="N20 N9">
    <cfRule type="cellIs" dxfId="145" priority="197" operator="equal">
      <formula>"þ"</formula>
    </cfRule>
  </conditionalFormatting>
  <conditionalFormatting sqref="N20">
    <cfRule type="cellIs" dxfId="144" priority="195" operator="equal">
      <formula>"þ"</formula>
    </cfRule>
  </conditionalFormatting>
  <conditionalFormatting sqref="D20">
    <cfRule type="cellIs" dxfId="143" priority="194" operator="equal">
      <formula>"þ"</formula>
    </cfRule>
  </conditionalFormatting>
  <conditionalFormatting sqref="N16">
    <cfRule type="cellIs" dxfId="142" priority="190" operator="equal">
      <formula>"þ"</formula>
    </cfRule>
  </conditionalFormatting>
  <conditionalFormatting sqref="N15">
    <cfRule type="cellIs" dxfId="141" priority="193" operator="equal">
      <formula>"þ"</formula>
    </cfRule>
  </conditionalFormatting>
  <conditionalFormatting sqref="N17">
    <cfRule type="cellIs" dxfId="140" priority="191" operator="equal">
      <formula>"þ"</formula>
    </cfRule>
  </conditionalFormatting>
  <conditionalFormatting sqref="N14">
    <cfRule type="cellIs" dxfId="139" priority="187" operator="equal">
      <formula>"þ"</formula>
    </cfRule>
  </conditionalFormatting>
  <conditionalFormatting sqref="D14">
    <cfRule type="cellIs" dxfId="138" priority="186" operator="equal">
      <formula>"þ"</formula>
    </cfRule>
  </conditionalFormatting>
  <conditionalFormatting sqref="D23">
    <cfRule type="cellIs" dxfId="137" priority="177" operator="equal">
      <formula>"þ"</formula>
    </cfRule>
  </conditionalFormatting>
  <conditionalFormatting sqref="N23">
    <cfRule type="cellIs" dxfId="136" priority="178" operator="equal">
      <formula>"þ"</formula>
    </cfRule>
  </conditionalFormatting>
  <conditionalFormatting sqref="N23">
    <cfRule type="cellIs" dxfId="135" priority="176" operator="equal">
      <formula>"þ"</formula>
    </cfRule>
  </conditionalFormatting>
  <conditionalFormatting sqref="D23">
    <cfRule type="cellIs" dxfId="134" priority="175" operator="equal">
      <formula>"þ"</formula>
    </cfRule>
  </conditionalFormatting>
  <conditionalFormatting sqref="D27">
    <cfRule type="cellIs" dxfId="133" priority="161" operator="equal">
      <formula>"þ"</formula>
    </cfRule>
  </conditionalFormatting>
  <conditionalFormatting sqref="N22">
    <cfRule type="cellIs" dxfId="132" priority="171" operator="equal">
      <formula>"þ"</formula>
    </cfRule>
  </conditionalFormatting>
  <conditionalFormatting sqref="N21">
    <cfRule type="cellIs" dxfId="131" priority="174" operator="equal">
      <formula>"þ"</formula>
    </cfRule>
  </conditionalFormatting>
  <conditionalFormatting sqref="N24">
    <cfRule type="cellIs" dxfId="130" priority="164" operator="equal">
      <formula>"þ"</formula>
    </cfRule>
  </conditionalFormatting>
  <conditionalFormatting sqref="N27">
    <cfRule type="cellIs" dxfId="129" priority="162" operator="equal">
      <formula>"þ"</formula>
    </cfRule>
  </conditionalFormatting>
  <conditionalFormatting sqref="N27">
    <cfRule type="cellIs" dxfId="128" priority="160" operator="equal">
      <formula>"þ"</formula>
    </cfRule>
  </conditionalFormatting>
  <conditionalFormatting sqref="D27">
    <cfRule type="cellIs" dxfId="127" priority="159" operator="equal">
      <formula>"þ"</formula>
    </cfRule>
  </conditionalFormatting>
  <conditionalFormatting sqref="N10:N12">
    <cfRule type="cellIs" dxfId="126" priority="156" operator="equal">
      <formula>"þ"</formula>
    </cfRule>
  </conditionalFormatting>
  <conditionalFormatting sqref="N2 N4">
    <cfRule type="cellIs" dxfId="125" priority="155" operator="equal">
      <formula>"þ"</formula>
    </cfRule>
  </conditionalFormatting>
  <conditionalFormatting sqref="N8">
    <cfRule type="cellIs" dxfId="124" priority="153" operator="equal">
      <formula>"þ"</formula>
    </cfRule>
  </conditionalFormatting>
  <conditionalFormatting sqref="D8">
    <cfRule type="cellIs" dxfId="123" priority="152" operator="equal">
      <formula>"þ"</formula>
    </cfRule>
  </conditionalFormatting>
  <conditionalFormatting sqref="N7">
    <cfRule type="cellIs" dxfId="122" priority="151" operator="equal">
      <formula>"þ"</formula>
    </cfRule>
  </conditionalFormatting>
  <conditionalFormatting sqref="N28">
    <cfRule type="cellIs" dxfId="121" priority="133" operator="equal">
      <formula>"þ"</formula>
    </cfRule>
  </conditionalFormatting>
  <conditionalFormatting sqref="N25">
    <cfRule type="cellIs" dxfId="120" priority="135" operator="equal">
      <formula>"þ"</formula>
    </cfRule>
  </conditionalFormatting>
  <conditionalFormatting sqref="K25:K26">
    <cfRule type="cellIs" dxfId="119" priority="137" operator="greaterThanOrEqual">
      <formula>$M25</formula>
    </cfRule>
  </conditionalFormatting>
  <conditionalFormatting sqref="N26">
    <cfRule type="cellIs" dxfId="118" priority="136" operator="equal">
      <formula>"þ"</formula>
    </cfRule>
  </conditionalFormatting>
  <conditionalFormatting sqref="K28 K30">
    <cfRule type="cellIs" dxfId="117" priority="134" operator="greaterThanOrEqual">
      <formula>$M28</formula>
    </cfRule>
  </conditionalFormatting>
  <conditionalFormatting sqref="D30">
    <cfRule type="cellIs" dxfId="116" priority="131" operator="equal">
      <formula>"þ"</formula>
    </cfRule>
  </conditionalFormatting>
  <conditionalFormatting sqref="N30">
    <cfRule type="cellIs" dxfId="115" priority="132" operator="equal">
      <formula>"þ"</formula>
    </cfRule>
  </conditionalFormatting>
  <conditionalFormatting sqref="N30">
    <cfRule type="cellIs" dxfId="114" priority="130" operator="equal">
      <formula>"þ"</formula>
    </cfRule>
  </conditionalFormatting>
  <conditionalFormatting sqref="D30">
    <cfRule type="cellIs" dxfId="113" priority="129" operator="equal">
      <formula>"þ"</formula>
    </cfRule>
  </conditionalFormatting>
  <conditionalFormatting sqref="D28">
    <cfRule type="cellIs" dxfId="112" priority="128" operator="equal">
      <formula>"þ"</formula>
    </cfRule>
  </conditionalFormatting>
  <conditionalFormatting sqref="N29">
    <cfRule type="cellIs" dxfId="111" priority="123" operator="equal">
      <formula>"þ"</formula>
    </cfRule>
  </conditionalFormatting>
  <conditionalFormatting sqref="K31:K33 K37">
    <cfRule type="cellIs" dxfId="110" priority="122" operator="greaterThanOrEqual">
      <formula>$M31</formula>
    </cfRule>
  </conditionalFormatting>
  <conditionalFormatting sqref="N31:N33">
    <cfRule type="cellIs" dxfId="109" priority="121" operator="equal">
      <formula>"þ"</formula>
    </cfRule>
  </conditionalFormatting>
  <conditionalFormatting sqref="D37">
    <cfRule type="cellIs" dxfId="108" priority="119" operator="equal">
      <formula>"þ"</formula>
    </cfRule>
  </conditionalFormatting>
  <conditionalFormatting sqref="N37">
    <cfRule type="cellIs" dxfId="107" priority="120" operator="equal">
      <formula>"þ"</formula>
    </cfRule>
  </conditionalFormatting>
  <conditionalFormatting sqref="N37">
    <cfRule type="cellIs" dxfId="106" priority="118" operator="equal">
      <formula>"þ"</formula>
    </cfRule>
  </conditionalFormatting>
  <conditionalFormatting sqref="D37">
    <cfRule type="cellIs" dxfId="105" priority="117" operator="equal">
      <formula>"þ"</formula>
    </cfRule>
  </conditionalFormatting>
  <conditionalFormatting sqref="D40">
    <cfRule type="cellIs" dxfId="104" priority="107" operator="equal">
      <formula>"þ"</formula>
    </cfRule>
  </conditionalFormatting>
  <conditionalFormatting sqref="D33">
    <cfRule type="cellIs" dxfId="103" priority="116" operator="equal">
      <formula>"þ"</formula>
    </cfRule>
  </conditionalFormatting>
  <conditionalFormatting sqref="N39">
    <cfRule type="cellIs" dxfId="102" priority="99" operator="equal">
      <formula>"þ"</formula>
    </cfRule>
  </conditionalFormatting>
  <conditionalFormatting sqref="K38 K40">
    <cfRule type="cellIs" dxfId="101" priority="110" operator="greaterThanOrEqual">
      <formula>$M38</formula>
    </cfRule>
  </conditionalFormatting>
  <conditionalFormatting sqref="N38">
    <cfRule type="cellIs" dxfId="100" priority="109" operator="equal">
      <formula>"þ"</formula>
    </cfRule>
  </conditionalFormatting>
  <conditionalFormatting sqref="N40">
    <cfRule type="cellIs" dxfId="99" priority="108" operator="equal">
      <formula>"þ"</formula>
    </cfRule>
  </conditionalFormatting>
  <conditionalFormatting sqref="N40">
    <cfRule type="cellIs" dxfId="98" priority="106" operator="equal">
      <formula>"þ"</formula>
    </cfRule>
  </conditionalFormatting>
  <conditionalFormatting sqref="D40">
    <cfRule type="cellIs" dxfId="97" priority="105" operator="equal">
      <formula>"þ"</formula>
    </cfRule>
  </conditionalFormatting>
  <conditionalFormatting sqref="D2">
    <cfRule type="cellIs" dxfId="96" priority="98" operator="equal">
      <formula>"þ"</formula>
    </cfRule>
  </conditionalFormatting>
  <conditionalFormatting sqref="D10">
    <cfRule type="cellIs" dxfId="95" priority="95" operator="equal">
      <formula>"þ"</formula>
    </cfRule>
  </conditionalFormatting>
  <conditionalFormatting sqref="D9">
    <cfRule type="cellIs" dxfId="94" priority="96" operator="equal">
      <formula>"þ"</formula>
    </cfRule>
  </conditionalFormatting>
  <conditionalFormatting sqref="D16">
    <cfRule type="cellIs" dxfId="93" priority="93" operator="equal">
      <formula>"þ"</formula>
    </cfRule>
  </conditionalFormatting>
  <conditionalFormatting sqref="D15">
    <cfRule type="cellIs" dxfId="92" priority="94" operator="equal">
      <formula>"þ"</formula>
    </cfRule>
  </conditionalFormatting>
  <conditionalFormatting sqref="D21">
    <cfRule type="cellIs" dxfId="91" priority="92" operator="equal">
      <formula>"þ"</formula>
    </cfRule>
  </conditionalFormatting>
  <conditionalFormatting sqref="D25">
    <cfRule type="cellIs" dxfId="90" priority="89" operator="equal">
      <formula>"þ"</formula>
    </cfRule>
  </conditionalFormatting>
  <conditionalFormatting sqref="D24">
    <cfRule type="cellIs" dxfId="89" priority="90" operator="equal">
      <formula>"þ"</formula>
    </cfRule>
  </conditionalFormatting>
  <conditionalFormatting sqref="D39">
    <cfRule type="cellIs" dxfId="88" priority="84" operator="equal">
      <formula>"þ"</formula>
    </cfRule>
  </conditionalFormatting>
  <conditionalFormatting sqref="D38">
    <cfRule type="cellIs" dxfId="87" priority="85" operator="equal">
      <formula>"þ"</formula>
    </cfRule>
  </conditionalFormatting>
  <conditionalFormatting sqref="D32">
    <cfRule type="cellIs" dxfId="86" priority="82" operator="equal">
      <formula>"þ"</formula>
    </cfRule>
  </conditionalFormatting>
  <conditionalFormatting sqref="D31">
    <cfRule type="cellIs" dxfId="85" priority="83" operator="equal">
      <formula>"þ"</formula>
    </cfRule>
  </conditionalFormatting>
  <conditionalFormatting sqref="K41">
    <cfRule type="cellIs" dxfId="84" priority="81" operator="greaterThanOrEqual">
      <formula>$M41</formula>
    </cfRule>
  </conditionalFormatting>
  <conditionalFormatting sqref="N41">
    <cfRule type="cellIs" dxfId="83" priority="80" operator="equal">
      <formula>"þ"</formula>
    </cfRule>
  </conditionalFormatting>
  <conditionalFormatting sqref="N42">
    <cfRule type="cellIs" dxfId="82" priority="72" operator="equal">
      <formula>"þ"</formula>
    </cfRule>
  </conditionalFormatting>
  <conditionalFormatting sqref="D42">
    <cfRule type="cellIs" dxfId="81" priority="70" operator="equal">
      <formula>"þ"</formula>
    </cfRule>
  </conditionalFormatting>
  <conditionalFormatting sqref="D41">
    <cfRule type="cellIs" dxfId="80" priority="71" operator="equal">
      <formula>"þ"</formula>
    </cfRule>
  </conditionalFormatting>
  <conditionalFormatting sqref="K44">
    <cfRule type="cellIs" dxfId="79" priority="69" operator="greaterThanOrEqual">
      <formula>$M44</formula>
    </cfRule>
  </conditionalFormatting>
  <conditionalFormatting sqref="D44">
    <cfRule type="cellIs" dxfId="78" priority="67" operator="equal">
      <formula>"þ"</formula>
    </cfRule>
  </conditionalFormatting>
  <conditionalFormatting sqref="N44">
    <cfRule type="cellIs" dxfId="77" priority="68" operator="equal">
      <formula>"þ"</formula>
    </cfRule>
  </conditionalFormatting>
  <conditionalFormatting sqref="N44">
    <cfRule type="cellIs" dxfId="76" priority="66" operator="equal">
      <formula>"þ"</formula>
    </cfRule>
  </conditionalFormatting>
  <conditionalFormatting sqref="D44">
    <cfRule type="cellIs" dxfId="75" priority="65" operator="equal">
      <formula>"þ"</formula>
    </cfRule>
  </conditionalFormatting>
  <conditionalFormatting sqref="N13">
    <cfRule type="cellIs" dxfId="74" priority="64" operator="equal">
      <formula>"þ"</formula>
    </cfRule>
  </conditionalFormatting>
  <conditionalFormatting sqref="K18">
    <cfRule type="cellIs" dxfId="73" priority="62" operator="greaterThanOrEqual">
      <formula>$M18</formula>
    </cfRule>
  </conditionalFormatting>
  <conditionalFormatting sqref="N18">
    <cfRule type="cellIs" dxfId="72" priority="61" operator="equal">
      <formula>"þ"</formula>
    </cfRule>
  </conditionalFormatting>
  <conditionalFormatting sqref="K46">
    <cfRule type="cellIs" dxfId="71" priority="59" operator="greaterThanOrEqual">
      <formula>$M46</formula>
    </cfRule>
  </conditionalFormatting>
  <conditionalFormatting sqref="K45">
    <cfRule type="cellIs" dxfId="70" priority="58" operator="greaterThanOrEqual">
      <formula>$M45</formula>
    </cfRule>
  </conditionalFormatting>
  <conditionalFormatting sqref="N45">
    <cfRule type="cellIs" dxfId="69" priority="57" operator="equal">
      <formula>"þ"</formula>
    </cfRule>
  </conditionalFormatting>
  <conditionalFormatting sqref="N46">
    <cfRule type="cellIs" dxfId="68" priority="56" operator="equal">
      <formula>"þ"</formula>
    </cfRule>
  </conditionalFormatting>
  <conditionalFormatting sqref="D46">
    <cfRule type="cellIs" dxfId="67" priority="54" operator="equal">
      <formula>"þ"</formula>
    </cfRule>
  </conditionalFormatting>
  <conditionalFormatting sqref="D45">
    <cfRule type="cellIs" dxfId="66" priority="55" operator="equal">
      <formula>"þ"</formula>
    </cfRule>
  </conditionalFormatting>
  <conditionalFormatting sqref="K48">
    <cfRule type="cellIs" dxfId="65" priority="53" operator="greaterThanOrEqual">
      <formula>$M48</formula>
    </cfRule>
  </conditionalFormatting>
  <conditionalFormatting sqref="D48">
    <cfRule type="cellIs" dxfId="64" priority="51" operator="equal">
      <formula>"þ"</formula>
    </cfRule>
  </conditionalFormatting>
  <conditionalFormatting sqref="N48">
    <cfRule type="cellIs" dxfId="63" priority="52" operator="equal">
      <formula>"þ"</formula>
    </cfRule>
  </conditionalFormatting>
  <conditionalFormatting sqref="N48">
    <cfRule type="cellIs" dxfId="62" priority="50" operator="equal">
      <formula>"þ"</formula>
    </cfRule>
  </conditionalFormatting>
  <conditionalFormatting sqref="D48">
    <cfRule type="cellIs" dxfId="61" priority="49" operator="equal">
      <formula>"þ"</formula>
    </cfRule>
  </conditionalFormatting>
  <conditionalFormatting sqref="K47">
    <cfRule type="cellIs" dxfId="60" priority="48" operator="greaterThanOrEqual">
      <formula>$M47</formula>
    </cfRule>
  </conditionalFormatting>
  <conditionalFormatting sqref="N47">
    <cfRule type="cellIs" dxfId="59" priority="47" operator="equal">
      <formula>"þ"</formula>
    </cfRule>
  </conditionalFormatting>
  <conditionalFormatting sqref="D47">
    <cfRule type="cellIs" dxfId="58" priority="46" operator="equal">
      <formula>"þ"</formula>
    </cfRule>
  </conditionalFormatting>
  <conditionalFormatting sqref="N36">
    <cfRule type="cellIs" dxfId="57" priority="38" operator="equal">
      <formula>"þ"</formula>
    </cfRule>
  </conditionalFormatting>
  <conditionalFormatting sqref="D36">
    <cfRule type="cellIs" dxfId="56" priority="40" operator="equal">
      <formula>"þ"</formula>
    </cfRule>
  </conditionalFormatting>
  <conditionalFormatting sqref="K36">
    <cfRule type="cellIs" dxfId="55" priority="39" operator="greaterThanOrEqual">
      <formula>$M36</formula>
    </cfRule>
  </conditionalFormatting>
  <conditionalFormatting sqref="N6">
    <cfRule type="cellIs" dxfId="54" priority="33" operator="equal">
      <formula>"þ"</formula>
    </cfRule>
  </conditionalFormatting>
  <conditionalFormatting sqref="N5">
    <cfRule type="cellIs" dxfId="53" priority="32" operator="equal">
      <formula>"þ"</formula>
    </cfRule>
  </conditionalFormatting>
  <conditionalFormatting sqref="D5">
    <cfRule type="cellIs" dxfId="52" priority="31" operator="equal">
      <formula>"þ"</formula>
    </cfRule>
  </conditionalFormatting>
  <conditionalFormatting sqref="D6">
    <cfRule type="cellIs" dxfId="51" priority="30" operator="equal">
      <formula>"þ"</formula>
    </cfRule>
  </conditionalFormatting>
  <conditionalFormatting sqref="K34">
    <cfRule type="cellIs" dxfId="50" priority="29" operator="greaterThanOrEqual">
      <formula>$M34</formula>
    </cfRule>
  </conditionalFormatting>
  <conditionalFormatting sqref="D34">
    <cfRule type="cellIs" dxfId="49" priority="27" operator="equal">
      <formula>"þ"</formula>
    </cfRule>
  </conditionalFormatting>
  <conditionalFormatting sqref="N34">
    <cfRule type="cellIs" dxfId="48" priority="28" operator="equal">
      <formula>"þ"</formula>
    </cfRule>
  </conditionalFormatting>
  <conditionalFormatting sqref="N34">
    <cfRule type="cellIs" dxfId="47" priority="26" operator="equal">
      <formula>"þ"</formula>
    </cfRule>
  </conditionalFormatting>
  <conditionalFormatting sqref="D34">
    <cfRule type="cellIs" dxfId="46" priority="25" operator="equal">
      <formula>"þ"</formula>
    </cfRule>
  </conditionalFormatting>
  <conditionalFormatting sqref="K35">
    <cfRule type="cellIs" dxfId="45" priority="24" operator="greaterThanOrEqual">
      <formula>$M35</formula>
    </cfRule>
  </conditionalFormatting>
  <conditionalFormatting sqref="N35">
    <cfRule type="cellIs" dxfId="44" priority="23" operator="equal">
      <formula>"þ"</formula>
    </cfRule>
  </conditionalFormatting>
  <conditionalFormatting sqref="D35">
    <cfRule type="cellIs" dxfId="43" priority="22" operator="equal">
      <formula>"þ"</formula>
    </cfRule>
  </conditionalFormatting>
  <conditionalFormatting sqref="N3">
    <cfRule type="cellIs" dxfId="42" priority="21" operator="equal">
      <formula>"þ"</formula>
    </cfRule>
  </conditionalFormatting>
  <conditionalFormatting sqref="D3">
    <cfRule type="cellIs" dxfId="41" priority="20" operator="equal">
      <formula>"þ"</formula>
    </cfRule>
  </conditionalFormatting>
  <conditionalFormatting sqref="K19">
    <cfRule type="cellIs" dxfId="40" priority="17" operator="greaterThanOrEqual">
      <formula>$M19</formula>
    </cfRule>
  </conditionalFormatting>
  <conditionalFormatting sqref="N19">
    <cfRule type="cellIs" dxfId="39" priority="16" operator="equal">
      <formula>"þ"</formula>
    </cfRule>
  </conditionalFormatting>
  <conditionalFormatting sqref="D29">
    <cfRule type="cellIs" dxfId="38" priority="14" operator="equal">
      <formula>"þ"</formula>
    </cfRule>
  </conditionalFormatting>
  <conditionalFormatting sqref="D26">
    <cfRule type="cellIs" dxfId="37" priority="13" operator="equal">
      <formula>"þ"</formula>
    </cfRule>
  </conditionalFormatting>
  <conditionalFormatting sqref="D22">
    <cfRule type="cellIs" dxfId="36" priority="12" operator="equal">
      <formula>"þ"</formula>
    </cfRule>
  </conditionalFormatting>
  <conditionalFormatting sqref="D18:D19">
    <cfRule type="cellIs" dxfId="35" priority="11" operator="equal">
      <formula>"þ"</formula>
    </cfRule>
  </conditionalFormatting>
  <conditionalFormatting sqref="D17">
    <cfRule type="cellIs" dxfId="34" priority="10" operator="equal">
      <formula>"þ"</formula>
    </cfRule>
  </conditionalFormatting>
  <conditionalFormatting sqref="D12">
    <cfRule type="cellIs" dxfId="33" priority="9" operator="equal">
      <formula>"þ"</formula>
    </cfRule>
  </conditionalFormatting>
  <conditionalFormatting sqref="D13">
    <cfRule type="cellIs" dxfId="32" priority="8" operator="equal">
      <formula>"þ"</formula>
    </cfRule>
  </conditionalFormatting>
  <conditionalFormatting sqref="D11">
    <cfRule type="cellIs" dxfId="31" priority="7" operator="equal">
      <formula>"þ"</formula>
    </cfRule>
  </conditionalFormatting>
  <conditionalFormatting sqref="D7">
    <cfRule type="cellIs" dxfId="30" priority="6" operator="equal">
      <formula>"þ"</formula>
    </cfRule>
  </conditionalFormatting>
  <conditionalFormatting sqref="D4">
    <cfRule type="cellIs" dxfId="29" priority="4" operator="equal">
      <formula>"þ"</formula>
    </cfRule>
  </conditionalFormatting>
  <conditionalFormatting sqref="K43">
    <cfRule type="cellIs" dxfId="28" priority="3" operator="greaterThanOrEqual">
      <formula>$M43</formula>
    </cfRule>
  </conditionalFormatting>
  <conditionalFormatting sqref="N43">
    <cfRule type="cellIs" dxfId="27" priority="2" operator="equal">
      <formula>"þ"</formula>
    </cfRule>
  </conditionalFormatting>
  <conditionalFormatting sqref="D43">
    <cfRule type="cellIs" dxfId="26" priority="1" operator="equal">
      <formula>"þ"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4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ColWidth="4" defaultRowHeight="15.6" x14ac:dyDescent="0.3"/>
  <cols>
    <col min="1" max="1" width="19.6992187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6" width="4" style="18"/>
    <col min="7" max="7" width="17.3984375" style="18" bestFit="1" customWidth="1"/>
    <col min="8" max="8" width="8.0976562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6384" width="4" style="18"/>
  </cols>
  <sheetData>
    <row r="1" spans="1:11" s="19" customFormat="1" x14ac:dyDescent="0.3">
      <c r="A1" s="87" t="s">
        <v>0</v>
      </c>
      <c r="B1" s="87" t="s">
        <v>62</v>
      </c>
      <c r="C1" s="87" t="s">
        <v>37</v>
      </c>
      <c r="D1" s="88" t="s">
        <v>3</v>
      </c>
      <c r="E1" s="87" t="s">
        <v>106</v>
      </c>
      <c r="F1" s="18"/>
      <c r="G1" s="87" t="s">
        <v>0</v>
      </c>
      <c r="H1" s="87" t="s">
        <v>100</v>
      </c>
      <c r="I1" s="87" t="s">
        <v>37</v>
      </c>
      <c r="J1" s="88" t="s">
        <v>3</v>
      </c>
      <c r="K1" s="87" t="s">
        <v>106</v>
      </c>
    </row>
    <row r="2" spans="1:11" x14ac:dyDescent="0.3">
      <c r="A2" s="155" t="s">
        <v>144</v>
      </c>
      <c r="B2" s="5" t="s">
        <v>38</v>
      </c>
      <c r="C2" s="166">
        <v>12</v>
      </c>
      <c r="D2" s="90">
        <f t="shared" ref="D2:D13" ca="1" si="0">RANDBETWEEN(1,20)</f>
        <v>5</v>
      </c>
      <c r="E2" s="89">
        <f t="shared" ref="E2:E13" ca="1" si="1">D2+C2</f>
        <v>17</v>
      </c>
      <c r="G2" s="157" t="s">
        <v>139</v>
      </c>
      <c r="H2" s="5" t="s">
        <v>38</v>
      </c>
      <c r="I2" s="272">
        <f>7</f>
        <v>7</v>
      </c>
      <c r="J2" s="45">
        <f t="shared" ref="J2:J22" ca="1" si="2">RANDBETWEEN(1,20)</f>
        <v>17</v>
      </c>
      <c r="K2" s="44">
        <f t="shared" ref="K2:K4" ca="1" si="3">J2+I2</f>
        <v>24</v>
      </c>
    </row>
    <row r="3" spans="1:11" x14ac:dyDescent="0.3">
      <c r="A3" s="154" t="s">
        <v>144</v>
      </c>
      <c r="B3" s="5" t="s">
        <v>39</v>
      </c>
      <c r="C3" s="166">
        <v>9</v>
      </c>
      <c r="D3" s="45">
        <f t="shared" ca="1" si="0"/>
        <v>8</v>
      </c>
      <c r="E3" s="44">
        <f t="shared" ca="1" si="1"/>
        <v>17</v>
      </c>
      <c r="G3" s="157" t="s">
        <v>139</v>
      </c>
      <c r="H3" s="5" t="s">
        <v>39</v>
      </c>
      <c r="I3" s="272">
        <f>4</f>
        <v>4</v>
      </c>
      <c r="J3" s="45">
        <f t="shared" ca="1" si="2"/>
        <v>7</v>
      </c>
      <c r="K3" s="44">
        <f t="shared" ca="1" si="3"/>
        <v>11</v>
      </c>
    </row>
    <row r="4" spans="1:11" x14ac:dyDescent="0.3">
      <c r="A4" s="156" t="s">
        <v>144</v>
      </c>
      <c r="B4" s="91" t="s">
        <v>40</v>
      </c>
      <c r="C4" s="167">
        <v>11</v>
      </c>
      <c r="D4" s="47">
        <f t="shared" ca="1" si="0"/>
        <v>15</v>
      </c>
      <c r="E4" s="46">
        <f t="shared" ca="1" si="1"/>
        <v>26</v>
      </c>
      <c r="G4" s="158" t="s">
        <v>139</v>
      </c>
      <c r="H4" s="91" t="s">
        <v>40</v>
      </c>
      <c r="I4" s="273">
        <f>9</f>
        <v>9</v>
      </c>
      <c r="J4" s="47">
        <f t="shared" ca="1" si="2"/>
        <v>8</v>
      </c>
      <c r="K4" s="46">
        <f t="shared" ca="1" si="3"/>
        <v>17</v>
      </c>
    </row>
    <row r="5" spans="1:11" x14ac:dyDescent="0.3">
      <c r="A5" s="155" t="s">
        <v>145</v>
      </c>
      <c r="B5" s="5" t="s">
        <v>38</v>
      </c>
      <c r="C5" s="166">
        <v>11</v>
      </c>
      <c r="D5" s="90">
        <f t="shared" ca="1" si="0"/>
        <v>1</v>
      </c>
      <c r="E5" s="89">
        <f t="shared" ca="1" si="1"/>
        <v>12</v>
      </c>
      <c r="G5" s="157" t="s">
        <v>134</v>
      </c>
      <c r="H5" s="5" t="s">
        <v>38</v>
      </c>
      <c r="I5" s="270">
        <f>2-2</f>
        <v>0</v>
      </c>
      <c r="J5" s="45">
        <f t="shared" ca="1" si="2"/>
        <v>5</v>
      </c>
      <c r="K5" s="44">
        <f t="shared" ref="K5:K13" ca="1" si="4">J5+I5</f>
        <v>5</v>
      </c>
    </row>
    <row r="6" spans="1:11" x14ac:dyDescent="0.3">
      <c r="A6" s="154" t="s">
        <v>145</v>
      </c>
      <c r="B6" s="5" t="s">
        <v>39</v>
      </c>
      <c r="C6" s="166">
        <v>4</v>
      </c>
      <c r="D6" s="45">
        <f t="shared" ca="1" si="0"/>
        <v>2</v>
      </c>
      <c r="E6" s="44">
        <f t="shared" ca="1" si="1"/>
        <v>6</v>
      </c>
      <c r="G6" s="157" t="s">
        <v>134</v>
      </c>
      <c r="H6" s="5" t="s">
        <v>39</v>
      </c>
      <c r="I6" s="270">
        <f>5-2</f>
        <v>3</v>
      </c>
      <c r="J6" s="45">
        <f t="shared" ca="1" si="2"/>
        <v>18</v>
      </c>
      <c r="K6" s="44">
        <f t="shared" ca="1" si="4"/>
        <v>21</v>
      </c>
    </row>
    <row r="7" spans="1:11" x14ac:dyDescent="0.3">
      <c r="A7" s="156" t="s">
        <v>145</v>
      </c>
      <c r="B7" s="91" t="s">
        <v>40</v>
      </c>
      <c r="C7" s="167">
        <v>4</v>
      </c>
      <c r="D7" s="47">
        <f t="shared" ca="1" si="0"/>
        <v>8</v>
      </c>
      <c r="E7" s="46">
        <f t="shared" ca="1" si="1"/>
        <v>12</v>
      </c>
      <c r="G7" s="158" t="s">
        <v>134</v>
      </c>
      <c r="H7" s="91" t="s">
        <v>40</v>
      </c>
      <c r="I7" s="271">
        <f>6-2</f>
        <v>4</v>
      </c>
      <c r="J7" s="47">
        <f t="shared" ca="1" si="2"/>
        <v>12</v>
      </c>
      <c r="K7" s="46">
        <f t="shared" ca="1" si="4"/>
        <v>16</v>
      </c>
    </row>
    <row r="8" spans="1:11" x14ac:dyDescent="0.3">
      <c r="A8" s="155" t="s">
        <v>146</v>
      </c>
      <c r="B8" s="5" t="s">
        <v>38</v>
      </c>
      <c r="C8" s="166">
        <v>6</v>
      </c>
      <c r="D8" s="90">
        <f t="shared" ca="1" si="0"/>
        <v>12</v>
      </c>
      <c r="E8" s="89">
        <f t="shared" ca="1" si="1"/>
        <v>18</v>
      </c>
      <c r="G8" s="157" t="s">
        <v>135</v>
      </c>
      <c r="H8" s="5" t="s">
        <v>38</v>
      </c>
      <c r="I8" s="270">
        <f>3-2</f>
        <v>1</v>
      </c>
      <c r="J8" s="45">
        <f t="shared" ca="1" si="2"/>
        <v>10</v>
      </c>
      <c r="K8" s="44">
        <f t="shared" ca="1" si="4"/>
        <v>11</v>
      </c>
    </row>
    <row r="9" spans="1:11" x14ac:dyDescent="0.3">
      <c r="A9" s="154" t="s">
        <v>146</v>
      </c>
      <c r="B9" s="5" t="s">
        <v>39</v>
      </c>
      <c r="C9" s="166">
        <v>10</v>
      </c>
      <c r="D9" s="45">
        <f t="shared" ca="1" si="0"/>
        <v>18</v>
      </c>
      <c r="E9" s="44">
        <f t="shared" ca="1" si="1"/>
        <v>28</v>
      </c>
      <c r="G9" s="157" t="s">
        <v>135</v>
      </c>
      <c r="H9" s="5" t="s">
        <v>39</v>
      </c>
      <c r="I9" s="270">
        <f>10-2</f>
        <v>8</v>
      </c>
      <c r="J9" s="45">
        <f t="shared" ca="1" si="2"/>
        <v>9</v>
      </c>
      <c r="K9" s="44">
        <f t="shared" ca="1" si="4"/>
        <v>17</v>
      </c>
    </row>
    <row r="10" spans="1:11" x14ac:dyDescent="0.3">
      <c r="A10" s="156" t="s">
        <v>146</v>
      </c>
      <c r="B10" s="91" t="s">
        <v>40</v>
      </c>
      <c r="C10" s="167">
        <v>3</v>
      </c>
      <c r="D10" s="47">
        <f t="shared" ca="1" si="0"/>
        <v>14</v>
      </c>
      <c r="E10" s="46">
        <f t="shared" ca="1" si="1"/>
        <v>17</v>
      </c>
      <c r="G10" s="158" t="s">
        <v>135</v>
      </c>
      <c r="H10" s="91" t="s">
        <v>40</v>
      </c>
      <c r="I10" s="271">
        <f>4-2</f>
        <v>2</v>
      </c>
      <c r="J10" s="47">
        <f t="shared" ca="1" si="2"/>
        <v>13</v>
      </c>
      <c r="K10" s="46">
        <f t="shared" ca="1" si="4"/>
        <v>15</v>
      </c>
    </row>
    <row r="11" spans="1:11" x14ac:dyDescent="0.3">
      <c r="A11" s="155" t="s">
        <v>147</v>
      </c>
      <c r="B11" s="5" t="s">
        <v>38</v>
      </c>
      <c r="C11" s="166">
        <v>12</v>
      </c>
      <c r="D11" s="90">
        <f t="shared" ca="1" si="0"/>
        <v>14</v>
      </c>
      <c r="E11" s="89">
        <f t="shared" ca="1" si="1"/>
        <v>26</v>
      </c>
      <c r="G11" s="157" t="s">
        <v>136</v>
      </c>
      <c r="H11" s="5" t="s">
        <v>38</v>
      </c>
      <c r="I11" s="270">
        <f>7-2</f>
        <v>5</v>
      </c>
      <c r="J11" s="45">
        <f t="shared" ca="1" si="2"/>
        <v>3</v>
      </c>
      <c r="K11" s="44">
        <f t="shared" ca="1" si="4"/>
        <v>8</v>
      </c>
    </row>
    <row r="12" spans="1:11" x14ac:dyDescent="0.3">
      <c r="A12" s="154" t="s">
        <v>147</v>
      </c>
      <c r="B12" s="5" t="s">
        <v>39</v>
      </c>
      <c r="C12" s="166">
        <v>10</v>
      </c>
      <c r="D12" s="45">
        <f t="shared" ca="1" si="0"/>
        <v>18</v>
      </c>
      <c r="E12" s="44">
        <f t="shared" ca="1" si="1"/>
        <v>28</v>
      </c>
      <c r="G12" s="157" t="s">
        <v>136</v>
      </c>
      <c r="H12" s="5" t="s">
        <v>39</v>
      </c>
      <c r="I12" s="270">
        <f>7-2</f>
        <v>5</v>
      </c>
      <c r="J12" s="45">
        <f t="shared" ca="1" si="2"/>
        <v>4</v>
      </c>
      <c r="K12" s="44">
        <f t="shared" ca="1" si="4"/>
        <v>9</v>
      </c>
    </row>
    <row r="13" spans="1:11" x14ac:dyDescent="0.3">
      <c r="A13" s="156" t="s">
        <v>147</v>
      </c>
      <c r="B13" s="91" t="s">
        <v>40</v>
      </c>
      <c r="C13" s="167">
        <v>5</v>
      </c>
      <c r="D13" s="47">
        <f t="shared" ca="1" si="0"/>
        <v>7</v>
      </c>
      <c r="E13" s="46">
        <f t="shared" ca="1" si="1"/>
        <v>12</v>
      </c>
      <c r="G13" s="158" t="s">
        <v>136</v>
      </c>
      <c r="H13" s="91" t="s">
        <v>40</v>
      </c>
      <c r="I13" s="271">
        <f>4-2</f>
        <v>2</v>
      </c>
      <c r="J13" s="47">
        <f t="shared" ca="1" si="2"/>
        <v>9</v>
      </c>
      <c r="K13" s="46">
        <f t="shared" ca="1" si="4"/>
        <v>11</v>
      </c>
    </row>
    <row r="14" spans="1:11" x14ac:dyDescent="0.3">
      <c r="A14" s="155" t="s">
        <v>179</v>
      </c>
      <c r="B14" s="5" t="s">
        <v>38</v>
      </c>
      <c r="C14" s="166">
        <v>5</v>
      </c>
      <c r="D14" s="90">
        <f t="shared" ref="D14:D31" ca="1" si="5">RANDBETWEEN(1,20)</f>
        <v>15</v>
      </c>
      <c r="E14" s="89">
        <f t="shared" ref="E14:E25" ca="1" si="6">D14+C14</f>
        <v>20</v>
      </c>
      <c r="G14" s="157" t="s">
        <v>137</v>
      </c>
      <c r="H14" s="5" t="s">
        <v>38</v>
      </c>
      <c r="I14" s="272">
        <f>3</f>
        <v>3</v>
      </c>
      <c r="J14" s="45">
        <f t="shared" ca="1" si="2"/>
        <v>5</v>
      </c>
      <c r="K14" s="44">
        <f t="shared" ref="K14:K22" ca="1" si="7">J14+I14</f>
        <v>8</v>
      </c>
    </row>
    <row r="15" spans="1:11" x14ac:dyDescent="0.3">
      <c r="A15" s="154" t="s">
        <v>179</v>
      </c>
      <c r="B15" s="5" t="s">
        <v>39</v>
      </c>
      <c r="C15" s="166">
        <v>5</v>
      </c>
      <c r="D15" s="45">
        <f t="shared" ca="1" si="5"/>
        <v>1</v>
      </c>
      <c r="E15" s="44">
        <f t="shared" ref="E15" ca="1" si="8">D15+C15</f>
        <v>6</v>
      </c>
      <c r="G15" s="157" t="s">
        <v>137</v>
      </c>
      <c r="H15" s="5" t="s">
        <v>39</v>
      </c>
      <c r="I15" s="272">
        <f>7</f>
        <v>7</v>
      </c>
      <c r="J15" s="45">
        <f t="shared" ca="1" si="2"/>
        <v>10</v>
      </c>
      <c r="K15" s="44">
        <f t="shared" ca="1" si="7"/>
        <v>17</v>
      </c>
    </row>
    <row r="16" spans="1:11" x14ac:dyDescent="0.3">
      <c r="A16" s="156" t="s">
        <v>179</v>
      </c>
      <c r="B16" s="91" t="s">
        <v>40</v>
      </c>
      <c r="C16" s="167">
        <v>4</v>
      </c>
      <c r="D16" s="47">
        <f t="shared" ca="1" si="5"/>
        <v>19</v>
      </c>
      <c r="E16" s="46">
        <f t="shared" ca="1" si="6"/>
        <v>23</v>
      </c>
      <c r="G16" s="158" t="s">
        <v>137</v>
      </c>
      <c r="H16" s="91" t="s">
        <v>40</v>
      </c>
      <c r="I16" s="273">
        <f>5</f>
        <v>5</v>
      </c>
      <c r="J16" s="47">
        <f t="shared" ca="1" si="2"/>
        <v>8</v>
      </c>
      <c r="K16" s="46">
        <f t="shared" ca="1" si="7"/>
        <v>13</v>
      </c>
    </row>
    <row r="17" spans="1:11" x14ac:dyDescent="0.3">
      <c r="A17" s="155" t="s">
        <v>180</v>
      </c>
      <c r="B17" s="5" t="s">
        <v>38</v>
      </c>
      <c r="C17" s="166">
        <v>5</v>
      </c>
      <c r="D17" s="90">
        <f t="shared" ca="1" si="5"/>
        <v>3</v>
      </c>
      <c r="E17" s="89">
        <f t="shared" ca="1" si="6"/>
        <v>8</v>
      </c>
      <c r="G17" s="157" t="s">
        <v>138</v>
      </c>
      <c r="H17" s="5" t="s">
        <v>38</v>
      </c>
      <c r="I17" s="270">
        <f>8-2</f>
        <v>6</v>
      </c>
      <c r="J17" s="45">
        <f t="shared" ca="1" si="2"/>
        <v>16</v>
      </c>
      <c r="K17" s="44">
        <f t="shared" ca="1" si="7"/>
        <v>22</v>
      </c>
    </row>
    <row r="18" spans="1:11" x14ac:dyDescent="0.3">
      <c r="A18" s="154" t="s">
        <v>180</v>
      </c>
      <c r="B18" s="5" t="s">
        <v>39</v>
      </c>
      <c r="C18" s="166">
        <v>4</v>
      </c>
      <c r="D18" s="45">
        <f t="shared" ca="1" si="5"/>
        <v>12</v>
      </c>
      <c r="E18" s="44">
        <f t="shared" ca="1" si="6"/>
        <v>16</v>
      </c>
      <c r="G18" s="157" t="s">
        <v>138</v>
      </c>
      <c r="H18" s="5" t="s">
        <v>39</v>
      </c>
      <c r="I18" s="270">
        <f>2-2</f>
        <v>0</v>
      </c>
      <c r="J18" s="45">
        <f t="shared" ca="1" si="2"/>
        <v>10</v>
      </c>
      <c r="K18" s="44">
        <f t="shared" ca="1" si="7"/>
        <v>10</v>
      </c>
    </row>
    <row r="19" spans="1:11" x14ac:dyDescent="0.3">
      <c r="A19" s="156" t="s">
        <v>180</v>
      </c>
      <c r="B19" s="91" t="s">
        <v>40</v>
      </c>
      <c r="C19" s="167">
        <v>2</v>
      </c>
      <c r="D19" s="47">
        <f t="shared" ca="1" si="5"/>
        <v>17</v>
      </c>
      <c r="E19" s="46">
        <f t="shared" ca="1" si="6"/>
        <v>19</v>
      </c>
      <c r="G19" s="158" t="s">
        <v>138</v>
      </c>
      <c r="H19" s="91" t="s">
        <v>40</v>
      </c>
      <c r="I19" s="271">
        <f>1-2</f>
        <v>-1</v>
      </c>
      <c r="J19" s="47">
        <f t="shared" ca="1" si="2"/>
        <v>18</v>
      </c>
      <c r="K19" s="46">
        <f t="shared" ca="1" si="7"/>
        <v>17</v>
      </c>
    </row>
    <row r="20" spans="1:11" x14ac:dyDescent="0.3">
      <c r="A20" s="155" t="s">
        <v>181</v>
      </c>
      <c r="B20" s="5" t="s">
        <v>38</v>
      </c>
      <c r="C20" s="166">
        <v>4</v>
      </c>
      <c r="D20" s="90">
        <f t="shared" ca="1" si="5"/>
        <v>17</v>
      </c>
      <c r="E20" s="89">
        <f t="shared" ca="1" si="6"/>
        <v>21</v>
      </c>
      <c r="G20" s="157" t="s">
        <v>140</v>
      </c>
      <c r="H20" s="5" t="s">
        <v>38</v>
      </c>
      <c r="I20" s="272">
        <f>2</f>
        <v>2</v>
      </c>
      <c r="J20" s="45">
        <f t="shared" ca="1" si="2"/>
        <v>12</v>
      </c>
      <c r="K20" s="44">
        <f t="shared" ca="1" si="7"/>
        <v>14</v>
      </c>
    </row>
    <row r="21" spans="1:11" x14ac:dyDescent="0.3">
      <c r="A21" s="154" t="s">
        <v>181</v>
      </c>
      <c r="B21" s="5" t="s">
        <v>39</v>
      </c>
      <c r="C21" s="166">
        <v>3</v>
      </c>
      <c r="D21" s="45">
        <f t="shared" ca="1" si="5"/>
        <v>7</v>
      </c>
      <c r="E21" s="44">
        <f t="shared" ca="1" si="6"/>
        <v>10</v>
      </c>
      <c r="G21" s="157" t="s">
        <v>140</v>
      </c>
      <c r="H21" s="5" t="s">
        <v>39</v>
      </c>
      <c r="I21" s="272">
        <f>8</f>
        <v>8</v>
      </c>
      <c r="J21" s="45">
        <f t="shared" ca="1" si="2"/>
        <v>1</v>
      </c>
      <c r="K21" s="44">
        <f t="shared" ca="1" si="7"/>
        <v>9</v>
      </c>
    </row>
    <row r="22" spans="1:11" x14ac:dyDescent="0.3">
      <c r="A22" s="156" t="s">
        <v>181</v>
      </c>
      <c r="B22" s="91" t="s">
        <v>40</v>
      </c>
      <c r="C22" s="167">
        <v>1</v>
      </c>
      <c r="D22" s="47">
        <f t="shared" ca="1" si="5"/>
        <v>18</v>
      </c>
      <c r="E22" s="46">
        <f t="shared" ca="1" si="6"/>
        <v>19</v>
      </c>
      <c r="G22" s="158" t="s">
        <v>140</v>
      </c>
      <c r="H22" s="91" t="s">
        <v>40</v>
      </c>
      <c r="I22" s="273">
        <f>3</f>
        <v>3</v>
      </c>
      <c r="J22" s="47">
        <f t="shared" ca="1" si="2"/>
        <v>3</v>
      </c>
      <c r="K22" s="46">
        <f t="shared" ca="1" si="7"/>
        <v>6</v>
      </c>
    </row>
    <row r="23" spans="1:11" x14ac:dyDescent="0.3">
      <c r="A23" s="155" t="s">
        <v>159</v>
      </c>
      <c r="B23" s="5" t="s">
        <v>38</v>
      </c>
      <c r="C23" s="166">
        <v>3</v>
      </c>
      <c r="D23" s="90">
        <f t="shared" ca="1" si="5"/>
        <v>13</v>
      </c>
      <c r="E23" s="89">
        <f t="shared" ca="1" si="6"/>
        <v>16</v>
      </c>
      <c r="G23" s="157" t="s">
        <v>142</v>
      </c>
      <c r="H23" s="5" t="s">
        <v>38</v>
      </c>
      <c r="I23" s="272">
        <f>7</f>
        <v>7</v>
      </c>
      <c r="J23" s="45">
        <f t="shared" ref="J23:J34" ca="1" si="9">RANDBETWEEN(1,20)</f>
        <v>4</v>
      </c>
      <c r="K23" s="44">
        <f t="shared" ref="K23:K28" ca="1" si="10">J23+I23</f>
        <v>11</v>
      </c>
    </row>
    <row r="24" spans="1:11" x14ac:dyDescent="0.3">
      <c r="A24" s="154" t="s">
        <v>159</v>
      </c>
      <c r="B24" s="5" t="s">
        <v>39</v>
      </c>
      <c r="C24" s="166">
        <v>2</v>
      </c>
      <c r="D24" s="45">
        <f t="shared" ca="1" si="5"/>
        <v>6</v>
      </c>
      <c r="E24" s="44">
        <f t="shared" ca="1" si="6"/>
        <v>8</v>
      </c>
      <c r="G24" s="157" t="s">
        <v>142</v>
      </c>
      <c r="H24" s="5" t="s">
        <v>39</v>
      </c>
      <c r="I24" s="272">
        <f>3</f>
        <v>3</v>
      </c>
      <c r="J24" s="45">
        <f t="shared" ca="1" si="9"/>
        <v>16</v>
      </c>
      <c r="K24" s="44">
        <f t="shared" ca="1" si="10"/>
        <v>19</v>
      </c>
    </row>
    <row r="25" spans="1:11" x14ac:dyDescent="0.3">
      <c r="A25" s="156" t="s">
        <v>159</v>
      </c>
      <c r="B25" s="91" t="s">
        <v>40</v>
      </c>
      <c r="C25" s="167">
        <v>0</v>
      </c>
      <c r="D25" s="47">
        <f t="shared" ca="1" si="5"/>
        <v>14</v>
      </c>
      <c r="E25" s="46">
        <f t="shared" ca="1" si="6"/>
        <v>14</v>
      </c>
      <c r="G25" s="158" t="s">
        <v>142</v>
      </c>
      <c r="H25" s="91" t="s">
        <v>40</v>
      </c>
      <c r="I25" s="273">
        <f>6</f>
        <v>6</v>
      </c>
      <c r="J25" s="47">
        <f t="shared" ca="1" si="9"/>
        <v>4</v>
      </c>
      <c r="K25" s="46">
        <f t="shared" ca="1" si="10"/>
        <v>10</v>
      </c>
    </row>
    <row r="26" spans="1:11" x14ac:dyDescent="0.3">
      <c r="A26" s="155" t="s">
        <v>182</v>
      </c>
      <c r="B26" s="5" t="s">
        <v>38</v>
      </c>
      <c r="C26" s="166">
        <v>2</v>
      </c>
      <c r="D26" s="90">
        <f t="shared" ca="1" si="5"/>
        <v>1</v>
      </c>
      <c r="E26" s="89">
        <f t="shared" ref="E26:E28" ca="1" si="11">D26+C26</f>
        <v>3</v>
      </c>
      <c r="G26" s="157" t="s">
        <v>141</v>
      </c>
      <c r="H26" s="5" t="s">
        <v>38</v>
      </c>
      <c r="I26" s="272">
        <f>4</f>
        <v>4</v>
      </c>
      <c r="J26" s="45">
        <f t="shared" ca="1" si="9"/>
        <v>18</v>
      </c>
      <c r="K26" s="44">
        <f t="shared" ca="1" si="10"/>
        <v>22</v>
      </c>
    </row>
    <row r="27" spans="1:11" x14ac:dyDescent="0.3">
      <c r="A27" s="154" t="s">
        <v>182</v>
      </c>
      <c r="B27" s="5" t="s">
        <v>39</v>
      </c>
      <c r="C27" s="166">
        <v>1</v>
      </c>
      <c r="D27" s="45">
        <f t="shared" ca="1" si="5"/>
        <v>1</v>
      </c>
      <c r="E27" s="44">
        <f t="shared" ca="1" si="11"/>
        <v>2</v>
      </c>
      <c r="G27" s="157" t="s">
        <v>141</v>
      </c>
      <c r="H27" s="5" t="s">
        <v>39</v>
      </c>
      <c r="I27" s="272">
        <f>5</f>
        <v>5</v>
      </c>
      <c r="J27" s="45">
        <f t="shared" ca="1" si="9"/>
        <v>14</v>
      </c>
      <c r="K27" s="44">
        <f t="shared" ca="1" si="10"/>
        <v>19</v>
      </c>
    </row>
    <row r="28" spans="1:11" x14ac:dyDescent="0.3">
      <c r="A28" s="156" t="s">
        <v>182</v>
      </c>
      <c r="B28" s="91" t="s">
        <v>40</v>
      </c>
      <c r="C28" s="167">
        <v>-1</v>
      </c>
      <c r="D28" s="47">
        <f t="shared" ca="1" si="5"/>
        <v>20</v>
      </c>
      <c r="E28" s="46">
        <f t="shared" ca="1" si="11"/>
        <v>19</v>
      </c>
      <c r="G28" s="158" t="s">
        <v>141</v>
      </c>
      <c r="H28" s="91" t="s">
        <v>40</v>
      </c>
      <c r="I28" s="273">
        <f>2</f>
        <v>2</v>
      </c>
      <c r="J28" s="47">
        <f t="shared" ca="1" si="9"/>
        <v>10</v>
      </c>
      <c r="K28" s="46">
        <f t="shared" ca="1" si="10"/>
        <v>12</v>
      </c>
    </row>
    <row r="29" spans="1:11" x14ac:dyDescent="0.3">
      <c r="A29" s="155" t="s">
        <v>314</v>
      </c>
      <c r="B29" s="5" t="s">
        <v>38</v>
      </c>
      <c r="C29" s="166">
        <f>5+4+2</f>
        <v>11</v>
      </c>
      <c r="D29" s="90">
        <f t="shared" ca="1" si="5"/>
        <v>9</v>
      </c>
      <c r="E29" s="89">
        <f t="shared" ref="E29:E31" ca="1" si="12">D29+C29</f>
        <v>20</v>
      </c>
      <c r="G29" s="157" t="s">
        <v>143</v>
      </c>
      <c r="H29" s="5" t="s">
        <v>38</v>
      </c>
      <c r="I29" s="270">
        <f>5-2</f>
        <v>3</v>
      </c>
      <c r="J29" s="45">
        <f t="shared" ca="1" si="9"/>
        <v>20</v>
      </c>
      <c r="K29" s="44">
        <f t="shared" ref="K29:K34" ca="1" si="13">J29+I29</f>
        <v>23</v>
      </c>
    </row>
    <row r="30" spans="1:11" x14ac:dyDescent="0.3">
      <c r="A30" s="154" t="s">
        <v>314</v>
      </c>
      <c r="B30" s="5" t="s">
        <v>39</v>
      </c>
      <c r="C30" s="166">
        <f>2+4+2</f>
        <v>8</v>
      </c>
      <c r="D30" s="45">
        <f t="shared" ca="1" si="5"/>
        <v>15</v>
      </c>
      <c r="E30" s="44">
        <f t="shared" ca="1" si="12"/>
        <v>23</v>
      </c>
      <c r="G30" s="157" t="s">
        <v>143</v>
      </c>
      <c r="H30" s="5" t="s">
        <v>39</v>
      </c>
      <c r="I30" s="270">
        <f>2-2</f>
        <v>0</v>
      </c>
      <c r="J30" s="45">
        <f t="shared" ca="1" si="9"/>
        <v>10</v>
      </c>
      <c r="K30" s="44">
        <f t="shared" ca="1" si="13"/>
        <v>10</v>
      </c>
    </row>
    <row r="31" spans="1:11" x14ac:dyDescent="0.3">
      <c r="A31" s="156" t="s">
        <v>314</v>
      </c>
      <c r="B31" s="91" t="s">
        <v>40</v>
      </c>
      <c r="C31" s="167">
        <f>5+4+1</f>
        <v>10</v>
      </c>
      <c r="D31" s="47">
        <f t="shared" ca="1" si="5"/>
        <v>7</v>
      </c>
      <c r="E31" s="46">
        <f t="shared" ca="1" si="12"/>
        <v>17</v>
      </c>
      <c r="G31" s="158" t="s">
        <v>143</v>
      </c>
      <c r="H31" s="91" t="s">
        <v>40</v>
      </c>
      <c r="I31" s="271">
        <f>1-2</f>
        <v>-1</v>
      </c>
      <c r="J31" s="47">
        <f t="shared" ca="1" si="9"/>
        <v>11</v>
      </c>
      <c r="K31" s="46">
        <f t="shared" ca="1" si="13"/>
        <v>10</v>
      </c>
    </row>
    <row r="32" spans="1:11" x14ac:dyDescent="0.3">
      <c r="G32" s="157" t="s">
        <v>322</v>
      </c>
      <c r="H32" s="5" t="s">
        <v>38</v>
      </c>
      <c r="I32" s="272">
        <v>3</v>
      </c>
      <c r="J32" s="45">
        <f t="shared" ca="1" si="9"/>
        <v>11</v>
      </c>
      <c r="K32" s="44">
        <f t="shared" ca="1" si="13"/>
        <v>14</v>
      </c>
    </row>
    <row r="33" spans="7:11" x14ac:dyDescent="0.3">
      <c r="G33" s="157" t="s">
        <v>322</v>
      </c>
      <c r="H33" s="5" t="s">
        <v>39</v>
      </c>
      <c r="I33" s="272">
        <v>4</v>
      </c>
      <c r="J33" s="45">
        <f t="shared" ca="1" si="9"/>
        <v>3</v>
      </c>
      <c r="K33" s="44">
        <f t="shared" ca="1" si="13"/>
        <v>7</v>
      </c>
    </row>
    <row r="34" spans="7:11" x14ac:dyDescent="0.3">
      <c r="G34" s="158" t="s">
        <v>322</v>
      </c>
      <c r="H34" s="91" t="s">
        <v>40</v>
      </c>
      <c r="I34" s="273">
        <v>2</v>
      </c>
      <c r="J34" s="47">
        <f t="shared" ca="1" si="9"/>
        <v>19</v>
      </c>
      <c r="K34" s="46">
        <f t="shared" ca="1" si="13"/>
        <v>21</v>
      </c>
    </row>
  </sheetData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32"/>
  <sheetViews>
    <sheetView showGridLines="0" zoomScaleNormal="100" workbookViewId="0">
      <pane xSplit="1" ySplit="1" topLeftCell="C2" activePane="bottomRight" state="frozen"/>
      <selection pane="topRight"/>
      <selection pane="bottomLeft"/>
      <selection pane="bottomRight" activeCell="C2" sqref="C2"/>
    </sheetView>
  </sheetViews>
  <sheetFormatPr defaultColWidth="9.69921875" defaultRowHeight="15.6" x14ac:dyDescent="0.3"/>
  <cols>
    <col min="1" max="1" width="22.296875" style="1" bestFit="1" customWidth="1"/>
    <col min="2" max="2" width="5.59765625" style="1" hidden="1" customWidth="1"/>
    <col min="3" max="3" width="5" style="1" bestFit="1" customWidth="1"/>
    <col min="4" max="4" width="5.8984375" style="1" bestFit="1" customWidth="1"/>
    <col min="5" max="5" width="3.69921875" style="1" bestFit="1" customWidth="1"/>
    <col min="6" max="6" width="6.09765625" style="1" bestFit="1" customWidth="1"/>
    <col min="7" max="7" width="10.5" style="48" bestFit="1" customWidth="1"/>
    <col min="8" max="8" width="2.8984375" style="48" bestFit="1" customWidth="1"/>
    <col min="9" max="9" width="8.3984375" style="48" bestFit="1" customWidth="1"/>
    <col min="10" max="10" width="7.296875" style="48" bestFit="1" customWidth="1"/>
    <col min="11" max="11" width="4.296875" style="48" bestFit="1" customWidth="1"/>
    <col min="12" max="12" width="4.796875" style="48" bestFit="1" customWidth="1"/>
    <col min="13" max="13" width="4.69921875" style="48" bestFit="1" customWidth="1"/>
    <col min="14" max="14" width="7.5" style="48" bestFit="1" customWidth="1"/>
    <col min="15" max="15" width="5.3984375" style="48" bestFit="1" customWidth="1"/>
    <col min="16" max="16" width="5" style="48" bestFit="1" customWidth="1"/>
    <col min="17" max="18" width="6.09765625" style="48" bestFit="1" customWidth="1"/>
    <col min="19" max="19" width="4.59765625" style="48" bestFit="1" customWidth="1"/>
    <col min="20" max="20" width="5.796875" style="48" bestFit="1" customWidth="1"/>
    <col min="21" max="21" width="6.69921875" style="48" bestFit="1" customWidth="1"/>
    <col min="22" max="22" width="9" style="48" bestFit="1" customWidth="1"/>
    <col min="23" max="23" width="7.796875" style="48" bestFit="1" customWidth="1"/>
    <col min="24" max="24" width="8.796875" style="48" bestFit="1" customWidth="1"/>
    <col min="25" max="25" width="5.69921875" style="48" bestFit="1" customWidth="1"/>
    <col min="26" max="26" width="7.3984375" style="48" bestFit="1" customWidth="1"/>
    <col min="27" max="27" width="4.3984375" style="48" bestFit="1" customWidth="1"/>
    <col min="28" max="28" width="6.69921875" style="48" hidden="1" customWidth="1"/>
    <col min="29" max="29" width="7.59765625" style="48" bestFit="1" customWidth="1"/>
    <col min="30" max="30" width="2.296875" style="48" customWidth="1"/>
    <col min="31" max="31" width="7.796875" style="48" bestFit="1" customWidth="1"/>
    <col min="32" max="16384" width="9.69921875" style="48"/>
  </cols>
  <sheetData>
    <row r="1" spans="1:31" s="16" customFormat="1" ht="32.4" thickTop="1" thickBot="1" x14ac:dyDescent="0.35">
      <c r="A1" s="30" t="s">
        <v>0</v>
      </c>
      <c r="B1" s="152" t="s">
        <v>101</v>
      </c>
      <c r="C1" s="49" t="s">
        <v>42</v>
      </c>
      <c r="D1" s="50" t="s">
        <v>41</v>
      </c>
      <c r="E1" s="51" t="s">
        <v>43</v>
      </c>
      <c r="F1" s="42" t="s">
        <v>64</v>
      </c>
      <c r="G1" s="40" t="s">
        <v>44</v>
      </c>
      <c r="H1" s="41"/>
      <c r="I1" s="29" t="s">
        <v>45</v>
      </c>
      <c r="J1" s="15" t="s">
        <v>46</v>
      </c>
      <c r="K1" s="17" t="s">
        <v>47</v>
      </c>
      <c r="L1" s="20" t="s">
        <v>48</v>
      </c>
      <c r="M1" s="21" t="s">
        <v>49</v>
      </c>
      <c r="N1" s="22" t="s">
        <v>50</v>
      </c>
      <c r="O1" s="24" t="s">
        <v>51</v>
      </c>
      <c r="P1" s="25" t="s">
        <v>68</v>
      </c>
      <c r="Q1" s="52" t="s">
        <v>65</v>
      </c>
      <c r="R1" s="26" t="s">
        <v>52</v>
      </c>
      <c r="S1" s="27" t="s">
        <v>53</v>
      </c>
      <c r="T1" s="28" t="s">
        <v>66</v>
      </c>
      <c r="U1" s="23" t="s">
        <v>69</v>
      </c>
      <c r="V1" s="31" t="s">
        <v>54</v>
      </c>
      <c r="W1" s="32" t="s">
        <v>55</v>
      </c>
      <c r="X1" s="35" t="s">
        <v>56</v>
      </c>
      <c r="Y1" s="53" t="s">
        <v>67</v>
      </c>
      <c r="Z1" s="36" t="s">
        <v>57</v>
      </c>
      <c r="AA1" s="34" t="s">
        <v>58</v>
      </c>
      <c r="AB1" s="32" t="s">
        <v>59</v>
      </c>
      <c r="AC1" s="33" t="s">
        <v>60</v>
      </c>
      <c r="AE1" s="160" t="s">
        <v>102</v>
      </c>
    </row>
    <row r="2" spans="1:31" ht="16.2" thickTop="1" x14ac:dyDescent="0.3">
      <c r="A2" s="96" t="s">
        <v>98</v>
      </c>
      <c r="B2" s="153">
        <v>1</v>
      </c>
      <c r="C2" s="267">
        <f>14+3</f>
        <v>17</v>
      </c>
      <c r="D2" s="114">
        <f>22</f>
        <v>22</v>
      </c>
      <c r="E2" s="159">
        <f>24+3</f>
        <v>27</v>
      </c>
      <c r="F2" s="98">
        <v>0</v>
      </c>
      <c r="G2" s="143" t="s">
        <v>61</v>
      </c>
      <c r="H2" s="99">
        <v>0</v>
      </c>
      <c r="I2" s="100">
        <v>89</v>
      </c>
      <c r="J2" s="101"/>
      <c r="K2" s="102"/>
      <c r="L2" s="146"/>
      <c r="M2" s="103"/>
      <c r="N2" s="104">
        <v>11</v>
      </c>
      <c r="O2" s="105"/>
      <c r="P2" s="106"/>
      <c r="Q2" s="150" t="s">
        <v>97</v>
      </c>
      <c r="R2" s="115"/>
      <c r="S2" s="108"/>
      <c r="T2" s="109"/>
      <c r="U2" s="110"/>
      <c r="V2" s="93"/>
      <c r="W2" s="94">
        <f t="shared" ref="W2:W16" si="0">SUM(I2:U2)</f>
        <v>100</v>
      </c>
      <c r="X2" s="111"/>
      <c r="Y2" s="112">
        <v>24</v>
      </c>
      <c r="Z2" s="113">
        <v>36</v>
      </c>
      <c r="AA2" s="95">
        <v>70</v>
      </c>
      <c r="AB2" s="56">
        <f t="shared" ref="AB2:AB16" si="1">SUM(Z2:AA2)-(W2+X2)</f>
        <v>6</v>
      </c>
      <c r="AC2" s="144">
        <f t="shared" ref="AC2:AC16" si="2">SMALL(AA2:AB2,1)+Y2</f>
        <v>30</v>
      </c>
      <c r="AE2" s="161"/>
    </row>
    <row r="3" spans="1:31" x14ac:dyDescent="0.3">
      <c r="A3" s="96" t="s">
        <v>99</v>
      </c>
      <c r="B3" s="153">
        <v>1</v>
      </c>
      <c r="C3" s="267">
        <f>14+3</f>
        <v>17</v>
      </c>
      <c r="D3" s="168">
        <f>15+4</f>
        <v>19</v>
      </c>
      <c r="E3" s="159">
        <f>18+4+3</f>
        <v>25</v>
      </c>
      <c r="F3" s="98">
        <v>0</v>
      </c>
      <c r="G3" s="143" t="s">
        <v>61</v>
      </c>
      <c r="H3" s="99">
        <v>0</v>
      </c>
      <c r="I3" s="100">
        <v>16</v>
      </c>
      <c r="J3" s="101">
        <v>6</v>
      </c>
      <c r="K3" s="102"/>
      <c r="L3" s="146"/>
      <c r="M3" s="151"/>
      <c r="N3" s="145" t="s">
        <v>291</v>
      </c>
      <c r="O3" s="105"/>
      <c r="P3" s="106"/>
      <c r="Q3" s="150" t="s">
        <v>97</v>
      </c>
      <c r="R3" s="147" t="s">
        <v>97</v>
      </c>
      <c r="S3" s="108"/>
      <c r="T3" s="109"/>
      <c r="U3" s="110">
        <v>10</v>
      </c>
      <c r="V3" s="93"/>
      <c r="W3" s="94">
        <f t="shared" si="0"/>
        <v>32</v>
      </c>
      <c r="X3" s="111"/>
      <c r="Y3" s="112"/>
      <c r="Z3" s="113">
        <v>31</v>
      </c>
      <c r="AA3" s="95">
        <v>53</v>
      </c>
      <c r="AB3" s="56">
        <f t="shared" si="1"/>
        <v>52</v>
      </c>
      <c r="AC3" s="144">
        <f t="shared" si="2"/>
        <v>52</v>
      </c>
      <c r="AE3" s="161"/>
    </row>
    <row r="4" spans="1:31" x14ac:dyDescent="0.3">
      <c r="A4" s="96" t="s">
        <v>112</v>
      </c>
      <c r="B4" s="153">
        <v>1</v>
      </c>
      <c r="C4" s="267">
        <f>13+3</f>
        <v>16</v>
      </c>
      <c r="D4" s="114">
        <f>21</f>
        <v>21</v>
      </c>
      <c r="E4" s="159">
        <f>23+3</f>
        <v>26</v>
      </c>
      <c r="F4" s="98">
        <v>0</v>
      </c>
      <c r="G4" s="143" t="s">
        <v>61</v>
      </c>
      <c r="H4" s="99">
        <v>0</v>
      </c>
      <c r="I4" s="100">
        <v>54</v>
      </c>
      <c r="J4" s="101"/>
      <c r="K4" s="102"/>
      <c r="L4" s="146"/>
      <c r="M4" s="151"/>
      <c r="N4" s="104"/>
      <c r="O4" s="105"/>
      <c r="P4" s="106"/>
      <c r="Q4" s="150" t="s">
        <v>97</v>
      </c>
      <c r="R4" s="147" t="s">
        <v>97</v>
      </c>
      <c r="S4" s="108"/>
      <c r="T4" s="109"/>
      <c r="U4" s="110"/>
      <c r="V4" s="93"/>
      <c r="W4" s="94">
        <f t="shared" si="0"/>
        <v>54</v>
      </c>
      <c r="X4" s="111"/>
      <c r="Y4" s="112"/>
      <c r="Z4" s="113">
        <v>26</v>
      </c>
      <c r="AA4" s="95">
        <v>71</v>
      </c>
      <c r="AB4" s="56">
        <f t="shared" si="1"/>
        <v>43</v>
      </c>
      <c r="AC4" s="144">
        <f t="shared" si="2"/>
        <v>43</v>
      </c>
      <c r="AE4" s="161"/>
    </row>
    <row r="5" spans="1:31" x14ac:dyDescent="0.3">
      <c r="A5" s="197" t="s">
        <v>322</v>
      </c>
      <c r="B5" s="198">
        <v>1</v>
      </c>
      <c r="C5" s="92">
        <v>13</v>
      </c>
      <c r="D5" s="114">
        <v>12</v>
      </c>
      <c r="E5" s="97">
        <v>14</v>
      </c>
      <c r="F5" s="98">
        <v>0</v>
      </c>
      <c r="G5" s="143" t="s">
        <v>61</v>
      </c>
      <c r="H5" s="99">
        <v>0</v>
      </c>
      <c r="I5" s="100">
        <v>36</v>
      </c>
      <c r="J5" s="101"/>
      <c r="K5" s="102"/>
      <c r="L5" s="146"/>
      <c r="M5" s="151"/>
      <c r="N5" s="104"/>
      <c r="O5" s="105"/>
      <c r="P5" s="106"/>
      <c r="Q5" s="150" t="s">
        <v>97</v>
      </c>
      <c r="R5" s="115"/>
      <c r="S5" s="108"/>
      <c r="T5" s="109"/>
      <c r="U5" s="110"/>
      <c r="V5" s="93"/>
      <c r="W5" s="94">
        <f t="shared" ref="W5" si="3">SUM(I5:U5)</f>
        <v>36</v>
      </c>
      <c r="X5" s="111"/>
      <c r="Y5" s="112"/>
      <c r="Z5" s="113"/>
      <c r="AA5" s="95">
        <v>5</v>
      </c>
      <c r="AB5" s="56">
        <f t="shared" ref="AB5" si="4">SUM(Z5:AA5)-(W5+X5)</f>
        <v>-31</v>
      </c>
      <c r="AC5" s="144">
        <f t="shared" ref="AC5" si="5">SMALL(AA5:AB5,1)+Y5</f>
        <v>-31</v>
      </c>
      <c r="AE5" s="161"/>
    </row>
    <row r="6" spans="1:31" x14ac:dyDescent="0.3">
      <c r="A6" s="197" t="s">
        <v>115</v>
      </c>
      <c r="B6" s="198">
        <v>1</v>
      </c>
      <c r="C6" s="267">
        <f>15+3</f>
        <v>18</v>
      </c>
      <c r="D6" s="114">
        <v>15</v>
      </c>
      <c r="E6" s="159">
        <f>21+3</f>
        <v>24</v>
      </c>
      <c r="F6" s="98">
        <v>0</v>
      </c>
      <c r="G6" s="143" t="s">
        <v>61</v>
      </c>
      <c r="H6" s="99">
        <v>0</v>
      </c>
      <c r="I6" s="100">
        <v>9</v>
      </c>
      <c r="J6" s="101"/>
      <c r="K6" s="102"/>
      <c r="L6" s="146"/>
      <c r="M6" s="151"/>
      <c r="N6" s="104">
        <v>4</v>
      </c>
      <c r="O6" s="105"/>
      <c r="P6" s="106"/>
      <c r="Q6" s="107"/>
      <c r="R6" s="147" t="s">
        <v>97</v>
      </c>
      <c r="S6" s="108"/>
      <c r="T6" s="109"/>
      <c r="U6" s="110"/>
      <c r="V6" s="93"/>
      <c r="W6" s="94">
        <f t="shared" si="0"/>
        <v>13</v>
      </c>
      <c r="X6" s="111"/>
      <c r="Y6" s="112"/>
      <c r="Z6" s="113">
        <v>13</v>
      </c>
      <c r="AA6" s="95">
        <v>80</v>
      </c>
      <c r="AB6" s="56">
        <f t="shared" si="1"/>
        <v>80</v>
      </c>
      <c r="AC6" s="144">
        <f t="shared" si="2"/>
        <v>80</v>
      </c>
      <c r="AE6" s="161"/>
    </row>
    <row r="7" spans="1:31" x14ac:dyDescent="0.3">
      <c r="A7" s="197" t="s">
        <v>139</v>
      </c>
      <c r="B7" s="198">
        <v>1</v>
      </c>
      <c r="C7" s="267">
        <f>12+3</f>
        <v>15</v>
      </c>
      <c r="D7" s="114">
        <v>18</v>
      </c>
      <c r="E7" s="159">
        <f>20+3</f>
        <v>23</v>
      </c>
      <c r="F7" s="98">
        <v>0</v>
      </c>
      <c r="G7" s="143" t="s">
        <v>61</v>
      </c>
      <c r="H7" s="99">
        <v>0</v>
      </c>
      <c r="I7" s="100"/>
      <c r="J7" s="101">
        <v>3</v>
      </c>
      <c r="K7" s="102"/>
      <c r="L7" s="146"/>
      <c r="M7" s="151"/>
      <c r="N7" s="104"/>
      <c r="O7" s="105"/>
      <c r="P7" s="106"/>
      <c r="Q7" s="107"/>
      <c r="R7" s="147" t="s">
        <v>97</v>
      </c>
      <c r="S7" s="108"/>
      <c r="T7" s="109"/>
      <c r="U7" s="110"/>
      <c r="V7" s="93"/>
      <c r="W7" s="94">
        <f t="shared" ref="W7:W14" si="6">SUM(I7:U7)</f>
        <v>3</v>
      </c>
      <c r="X7" s="111"/>
      <c r="Y7" s="112">
        <v>18</v>
      </c>
      <c r="Z7" s="113"/>
      <c r="AA7" s="95">
        <f>VLOOKUP(A7,Initiative!$H$14:$I$23,2,FALSE)*9*0.75</f>
        <v>60.75</v>
      </c>
      <c r="AB7" s="56">
        <f t="shared" ref="AB7:AB14" si="7">SUM(Z7:AA7)-(W7+X7)</f>
        <v>57.75</v>
      </c>
      <c r="AC7" s="144">
        <f t="shared" ref="AC7:AC14" si="8">SMALL(AA7:AB7,1)+Y7</f>
        <v>75.75</v>
      </c>
      <c r="AE7" s="161"/>
    </row>
    <row r="8" spans="1:31" x14ac:dyDescent="0.3">
      <c r="A8" s="197" t="s">
        <v>134</v>
      </c>
      <c r="B8" s="198">
        <v>1</v>
      </c>
      <c r="C8" s="267">
        <f>13+3</f>
        <v>16</v>
      </c>
      <c r="D8" s="269">
        <f>13+4</f>
        <v>17</v>
      </c>
      <c r="E8" s="159">
        <f>16+4+3</f>
        <v>23</v>
      </c>
      <c r="F8" s="98">
        <v>0</v>
      </c>
      <c r="G8" s="143" t="s">
        <v>61</v>
      </c>
      <c r="H8" s="99">
        <v>0</v>
      </c>
      <c r="I8" s="100"/>
      <c r="J8" s="101">
        <v>2</v>
      </c>
      <c r="K8" s="102"/>
      <c r="L8" s="146"/>
      <c r="M8" s="151"/>
      <c r="N8" s="104"/>
      <c r="O8" s="105"/>
      <c r="P8" s="106"/>
      <c r="Q8" s="107"/>
      <c r="R8" s="147" t="s">
        <v>97</v>
      </c>
      <c r="S8" s="108"/>
      <c r="T8" s="109"/>
      <c r="U8" s="110"/>
      <c r="V8" s="93"/>
      <c r="W8" s="94">
        <f t="shared" si="6"/>
        <v>2</v>
      </c>
      <c r="X8" s="111"/>
      <c r="Y8" s="112">
        <v>16</v>
      </c>
      <c r="Z8" s="113"/>
      <c r="AA8" s="95">
        <f>VLOOKUP(A8,Initiative!$H$14:$I$23,2,FALSE)*5*0.75</f>
        <v>30</v>
      </c>
      <c r="AB8" s="56">
        <f t="shared" si="7"/>
        <v>28</v>
      </c>
      <c r="AC8" s="144">
        <f t="shared" si="8"/>
        <v>44</v>
      </c>
      <c r="AE8" s="161"/>
    </row>
    <row r="9" spans="1:31" x14ac:dyDescent="0.3">
      <c r="A9" s="197" t="s">
        <v>135</v>
      </c>
      <c r="B9" s="198">
        <v>1</v>
      </c>
      <c r="C9" s="267">
        <f>13+2+3</f>
        <v>18</v>
      </c>
      <c r="D9" s="114">
        <f>15</f>
        <v>15</v>
      </c>
      <c r="E9" s="159">
        <f>18+2+3</f>
        <v>23</v>
      </c>
      <c r="F9" s="98">
        <v>0</v>
      </c>
      <c r="G9" s="143" t="s">
        <v>61</v>
      </c>
      <c r="H9" s="99">
        <v>0</v>
      </c>
      <c r="I9" s="100"/>
      <c r="J9" s="101">
        <v>6</v>
      </c>
      <c r="K9" s="102"/>
      <c r="L9" s="146"/>
      <c r="M9" s="151"/>
      <c r="N9" s="104"/>
      <c r="O9" s="105"/>
      <c r="P9" s="106"/>
      <c r="Q9" s="107"/>
      <c r="R9" s="147" t="s">
        <v>97</v>
      </c>
      <c r="S9" s="108"/>
      <c r="T9" s="109"/>
      <c r="U9" s="110"/>
      <c r="V9" s="93"/>
      <c r="W9" s="94">
        <f t="shared" si="6"/>
        <v>6</v>
      </c>
      <c r="X9" s="111"/>
      <c r="Y9" s="112">
        <v>16</v>
      </c>
      <c r="Z9" s="113"/>
      <c r="AA9" s="95">
        <f>VLOOKUP(A9,Initiative!$H$14:$I$23,2,FALSE)*7*0.75</f>
        <v>42</v>
      </c>
      <c r="AB9" s="56">
        <f t="shared" si="7"/>
        <v>36</v>
      </c>
      <c r="AC9" s="144">
        <f t="shared" si="8"/>
        <v>52</v>
      </c>
      <c r="AE9" s="161"/>
    </row>
    <row r="10" spans="1:31" x14ac:dyDescent="0.3">
      <c r="A10" s="197" t="s">
        <v>136</v>
      </c>
      <c r="B10" s="198">
        <v>1</v>
      </c>
      <c r="C10" s="267">
        <f>12+2+3</f>
        <v>17</v>
      </c>
      <c r="D10" s="114">
        <v>17</v>
      </c>
      <c r="E10" s="159">
        <f>19+2+3</f>
        <v>24</v>
      </c>
      <c r="F10" s="98">
        <v>0</v>
      </c>
      <c r="G10" s="143" t="s">
        <v>61</v>
      </c>
      <c r="H10" s="99">
        <v>0</v>
      </c>
      <c r="I10" s="100"/>
      <c r="J10" s="101">
        <v>1</v>
      </c>
      <c r="K10" s="102"/>
      <c r="L10" s="146"/>
      <c r="M10" s="151"/>
      <c r="N10" s="104"/>
      <c r="O10" s="105"/>
      <c r="P10" s="106"/>
      <c r="Q10" s="107"/>
      <c r="R10" s="147" t="s">
        <v>97</v>
      </c>
      <c r="S10" s="108"/>
      <c r="T10" s="109"/>
      <c r="U10" s="110"/>
      <c r="V10" s="93"/>
      <c r="W10" s="94">
        <f t="shared" si="6"/>
        <v>1</v>
      </c>
      <c r="X10" s="111"/>
      <c r="Y10" s="112">
        <v>14</v>
      </c>
      <c r="Z10" s="113"/>
      <c r="AA10" s="95">
        <f>VLOOKUP(A10,Initiative!$H$14:$I$23,2,FALSE)*11*0.75</f>
        <v>57.75</v>
      </c>
      <c r="AB10" s="56">
        <f t="shared" si="7"/>
        <v>56.75</v>
      </c>
      <c r="AC10" s="144">
        <f t="shared" si="8"/>
        <v>70.75</v>
      </c>
      <c r="AE10" s="161"/>
    </row>
    <row r="11" spans="1:31" x14ac:dyDescent="0.3">
      <c r="A11" s="197" t="s">
        <v>137</v>
      </c>
      <c r="B11" s="198">
        <v>1</v>
      </c>
      <c r="C11" s="267">
        <f>11+2+3</f>
        <v>16</v>
      </c>
      <c r="D11" s="114">
        <v>18</v>
      </c>
      <c r="E11" s="159">
        <f>19+2+3</f>
        <v>24</v>
      </c>
      <c r="F11" s="98">
        <v>0</v>
      </c>
      <c r="G11" s="143" t="s">
        <v>61</v>
      </c>
      <c r="H11" s="99">
        <v>0</v>
      </c>
      <c r="I11" s="100"/>
      <c r="J11" s="101"/>
      <c r="K11" s="102"/>
      <c r="L11" s="146"/>
      <c r="M11" s="151"/>
      <c r="N11" s="104">
        <v>12</v>
      </c>
      <c r="O11" s="105"/>
      <c r="P11" s="106"/>
      <c r="Q11" s="107"/>
      <c r="R11" s="147" t="s">
        <v>97</v>
      </c>
      <c r="S11" s="108"/>
      <c r="T11" s="109"/>
      <c r="U11" s="110"/>
      <c r="V11" s="93"/>
      <c r="W11" s="94">
        <f t="shared" si="6"/>
        <v>12</v>
      </c>
      <c r="X11" s="111"/>
      <c r="Y11" s="112">
        <v>14</v>
      </c>
      <c r="Z11" s="113"/>
      <c r="AA11" s="95">
        <f>VLOOKUP(A11,Initiative!$H$14:$I$23,2,FALSE)*9*0.75</f>
        <v>47.25</v>
      </c>
      <c r="AB11" s="56">
        <f t="shared" si="7"/>
        <v>35.25</v>
      </c>
      <c r="AC11" s="144">
        <f t="shared" si="8"/>
        <v>49.25</v>
      </c>
      <c r="AE11" s="161"/>
    </row>
    <row r="12" spans="1:31" x14ac:dyDescent="0.3">
      <c r="A12" s="197" t="s">
        <v>138</v>
      </c>
      <c r="B12" s="198">
        <v>1</v>
      </c>
      <c r="C12" s="267">
        <f>11+3</f>
        <v>14</v>
      </c>
      <c r="D12" s="114">
        <v>17</v>
      </c>
      <c r="E12" s="159">
        <f>18+3</f>
        <v>21</v>
      </c>
      <c r="F12" s="98">
        <v>0</v>
      </c>
      <c r="G12" s="143" t="s">
        <v>61</v>
      </c>
      <c r="H12" s="99">
        <v>0</v>
      </c>
      <c r="I12" s="100"/>
      <c r="J12" s="101">
        <v>4</v>
      </c>
      <c r="K12" s="102"/>
      <c r="L12" s="146"/>
      <c r="M12" s="151"/>
      <c r="N12" s="104">
        <v>21</v>
      </c>
      <c r="O12" s="105"/>
      <c r="P12" s="106"/>
      <c r="Q12" s="107"/>
      <c r="R12" s="147" t="s">
        <v>97</v>
      </c>
      <c r="S12" s="108"/>
      <c r="T12" s="109"/>
      <c r="U12" s="110"/>
      <c r="V12" s="93"/>
      <c r="W12" s="94">
        <f t="shared" si="6"/>
        <v>25</v>
      </c>
      <c r="X12" s="111"/>
      <c r="Y12" s="112">
        <v>14</v>
      </c>
      <c r="Z12" s="113"/>
      <c r="AA12" s="95">
        <f>VLOOKUP(A12,Initiative!$H$14:$I$23,2,FALSE)*11*0.75</f>
        <v>57.75</v>
      </c>
      <c r="AB12" s="56">
        <f t="shared" si="7"/>
        <v>32.75</v>
      </c>
      <c r="AC12" s="144">
        <f t="shared" si="8"/>
        <v>46.75</v>
      </c>
      <c r="AE12" s="161"/>
    </row>
    <row r="13" spans="1:31" x14ac:dyDescent="0.3">
      <c r="A13" s="197" t="s">
        <v>140</v>
      </c>
      <c r="B13" s="198">
        <v>1</v>
      </c>
      <c r="C13" s="267">
        <f>14+2+3</f>
        <v>19</v>
      </c>
      <c r="D13" s="114">
        <v>14</v>
      </c>
      <c r="E13" s="159">
        <f>18+2+3</f>
        <v>23</v>
      </c>
      <c r="F13" s="98">
        <v>0</v>
      </c>
      <c r="G13" s="143" t="s">
        <v>61</v>
      </c>
      <c r="H13" s="99">
        <v>0</v>
      </c>
      <c r="I13" s="100"/>
      <c r="J13" s="101"/>
      <c r="K13" s="102"/>
      <c r="L13" s="146"/>
      <c r="M13" s="151"/>
      <c r="N13" s="104"/>
      <c r="O13" s="105"/>
      <c r="P13" s="106"/>
      <c r="Q13" s="107"/>
      <c r="R13" s="115"/>
      <c r="S13" s="108"/>
      <c r="T13" s="109"/>
      <c r="U13" s="110"/>
      <c r="V13" s="93"/>
      <c r="W13" s="94">
        <f t="shared" si="6"/>
        <v>0</v>
      </c>
      <c r="X13" s="111"/>
      <c r="Y13" s="112">
        <v>12</v>
      </c>
      <c r="Z13" s="113"/>
      <c r="AA13" s="95">
        <f>VLOOKUP(A13,Initiative!$H$14:$I$23,2,FALSE)*7*0.75</f>
        <v>31.5</v>
      </c>
      <c r="AB13" s="56">
        <f t="shared" si="7"/>
        <v>31.5</v>
      </c>
      <c r="AC13" s="144">
        <f t="shared" si="8"/>
        <v>43.5</v>
      </c>
      <c r="AE13" s="161"/>
    </row>
    <row r="14" spans="1:31" x14ac:dyDescent="0.3">
      <c r="A14" s="197" t="s">
        <v>142</v>
      </c>
      <c r="B14" s="198">
        <v>1</v>
      </c>
      <c r="C14" s="267">
        <f>11+3</f>
        <v>14</v>
      </c>
      <c r="D14" s="114">
        <v>20</v>
      </c>
      <c r="E14" s="159">
        <f>21+3</f>
        <v>24</v>
      </c>
      <c r="F14" s="98">
        <v>0</v>
      </c>
      <c r="G14" s="143" t="s">
        <v>61</v>
      </c>
      <c r="H14" s="99">
        <v>0</v>
      </c>
      <c r="I14" s="100"/>
      <c r="J14" s="101">
        <v>2</v>
      </c>
      <c r="K14" s="102">
        <v>5</v>
      </c>
      <c r="L14" s="146"/>
      <c r="M14" s="151"/>
      <c r="N14" s="104">
        <v>20</v>
      </c>
      <c r="O14" s="105"/>
      <c r="P14" s="106"/>
      <c r="Q14" s="150" t="s">
        <v>97</v>
      </c>
      <c r="R14" s="147" t="s">
        <v>97</v>
      </c>
      <c r="S14" s="108"/>
      <c r="T14" s="109"/>
      <c r="U14" s="110"/>
      <c r="V14" s="93"/>
      <c r="W14" s="94">
        <f t="shared" si="6"/>
        <v>27</v>
      </c>
      <c r="X14" s="111"/>
      <c r="Y14" s="112">
        <v>12</v>
      </c>
      <c r="Z14" s="113"/>
      <c r="AA14" s="95">
        <f>VLOOKUP(A14,Initiative!$H$14:$I$23,2,FALSE)*13*0.75</f>
        <v>58.5</v>
      </c>
      <c r="AB14" s="56">
        <f t="shared" si="7"/>
        <v>31.5</v>
      </c>
      <c r="AC14" s="144">
        <f t="shared" si="8"/>
        <v>43.5</v>
      </c>
      <c r="AE14" s="161"/>
    </row>
    <row r="15" spans="1:31" x14ac:dyDescent="0.3">
      <c r="A15" s="197" t="s">
        <v>141</v>
      </c>
      <c r="B15" s="198">
        <v>1</v>
      </c>
      <c r="C15" s="267">
        <f>15+2+3</f>
        <v>20</v>
      </c>
      <c r="D15" s="114">
        <v>13</v>
      </c>
      <c r="E15" s="159">
        <f>18+2+3</f>
        <v>23</v>
      </c>
      <c r="F15" s="98">
        <v>0</v>
      </c>
      <c r="G15" s="143" t="s">
        <v>61</v>
      </c>
      <c r="H15" s="99">
        <v>0</v>
      </c>
      <c r="I15" s="100"/>
      <c r="J15" s="101">
        <v>3</v>
      </c>
      <c r="K15" s="102"/>
      <c r="L15" s="146"/>
      <c r="M15" s="151"/>
      <c r="N15" s="104"/>
      <c r="O15" s="105"/>
      <c r="P15" s="106"/>
      <c r="Q15" s="107"/>
      <c r="R15" s="147" t="s">
        <v>97</v>
      </c>
      <c r="S15" s="108"/>
      <c r="T15" s="109"/>
      <c r="U15" s="110"/>
      <c r="V15" s="93"/>
      <c r="W15" s="94">
        <f t="shared" ref="W15" si="9">SUM(I15:U15)</f>
        <v>3</v>
      </c>
      <c r="X15" s="111"/>
      <c r="Y15" s="112">
        <v>10</v>
      </c>
      <c r="Z15" s="113"/>
      <c r="AA15" s="95">
        <f>VLOOKUP(A15,Initiative!$H$14:$I$23,2,FALSE)*7*0.75</f>
        <v>26.25</v>
      </c>
      <c r="AB15" s="56">
        <f t="shared" ref="AB15" si="10">SUM(Z15:AA15)-(W15+X15)</f>
        <v>23.25</v>
      </c>
      <c r="AC15" s="144">
        <f t="shared" ref="AC15" si="11">SMALL(AA15:AB15,1)+Y15</f>
        <v>33.25</v>
      </c>
      <c r="AE15" s="161"/>
    </row>
    <row r="16" spans="1:31" x14ac:dyDescent="0.3">
      <c r="A16" s="197" t="s">
        <v>143</v>
      </c>
      <c r="B16" s="198">
        <v>1</v>
      </c>
      <c r="C16" s="267">
        <f>12+3</f>
        <v>15</v>
      </c>
      <c r="D16" s="114">
        <v>19</v>
      </c>
      <c r="E16" s="159">
        <f>21+3</f>
        <v>24</v>
      </c>
      <c r="F16" s="98">
        <v>0</v>
      </c>
      <c r="G16" s="143" t="s">
        <v>61</v>
      </c>
      <c r="H16" s="99">
        <v>0</v>
      </c>
      <c r="I16" s="100"/>
      <c r="J16" s="101">
        <v>7</v>
      </c>
      <c r="K16" s="102"/>
      <c r="L16" s="146"/>
      <c r="M16" s="151"/>
      <c r="N16" s="104"/>
      <c r="O16" s="105"/>
      <c r="P16" s="106"/>
      <c r="Q16" s="107"/>
      <c r="R16" s="147" t="s">
        <v>97</v>
      </c>
      <c r="S16" s="108"/>
      <c r="T16" s="109"/>
      <c r="U16" s="110"/>
      <c r="V16" s="93"/>
      <c r="W16" s="94">
        <f t="shared" si="0"/>
        <v>7</v>
      </c>
      <c r="X16" s="111"/>
      <c r="Y16" s="112">
        <v>10</v>
      </c>
      <c r="Z16" s="113"/>
      <c r="AA16" s="95">
        <f>VLOOKUP(A16,Initiative!$H$14:$I$23,2,FALSE)*11*0.75</f>
        <v>41.25</v>
      </c>
      <c r="AB16" s="56">
        <f t="shared" si="1"/>
        <v>34.25</v>
      </c>
      <c r="AC16" s="144">
        <f t="shared" si="2"/>
        <v>44.25</v>
      </c>
      <c r="AE16" s="161"/>
    </row>
    <row r="17" spans="1:31" x14ac:dyDescent="0.3">
      <c r="A17" s="169" t="s">
        <v>144</v>
      </c>
      <c r="B17" s="170">
        <v>2</v>
      </c>
      <c r="C17" s="92">
        <v>9</v>
      </c>
      <c r="D17" s="114">
        <v>23</v>
      </c>
      <c r="E17" s="97">
        <v>23</v>
      </c>
      <c r="F17" s="98">
        <v>0</v>
      </c>
      <c r="G17" s="143" t="s">
        <v>61</v>
      </c>
      <c r="H17" s="99">
        <v>0</v>
      </c>
      <c r="I17" s="100">
        <v>9</v>
      </c>
      <c r="J17" s="101">
        <v>84</v>
      </c>
      <c r="K17" s="102">
        <v>26</v>
      </c>
      <c r="L17" s="146"/>
      <c r="M17" s="151"/>
      <c r="N17" s="145" t="s">
        <v>97</v>
      </c>
      <c r="O17" s="105"/>
      <c r="P17" s="225" t="s">
        <v>97</v>
      </c>
      <c r="Q17" s="107">
        <v>26</v>
      </c>
      <c r="R17" s="115"/>
      <c r="S17" s="226" t="s">
        <v>97</v>
      </c>
      <c r="T17" s="109"/>
      <c r="U17" s="110"/>
      <c r="V17" s="93">
        <v>10</v>
      </c>
      <c r="W17" s="94">
        <f t="shared" ref="W17:W26" si="12">SUM(I17:U17)</f>
        <v>145</v>
      </c>
      <c r="X17" s="111">
        <v>7</v>
      </c>
      <c r="Y17" s="112"/>
      <c r="Z17" s="113"/>
      <c r="AA17" s="95">
        <v>142</v>
      </c>
      <c r="AB17" s="56">
        <f t="shared" ref="AB17:AB26" si="13">SUM(Z17:AA17)-(W17+X17)</f>
        <v>-10</v>
      </c>
      <c r="AC17" s="144">
        <f t="shared" ref="AC17:AC26" si="14">SMALL(AA17:AB17,1)+Y17</f>
        <v>-10</v>
      </c>
      <c r="AE17" s="161"/>
    </row>
    <row r="18" spans="1:31" x14ac:dyDescent="0.3">
      <c r="A18" s="169" t="s">
        <v>171</v>
      </c>
      <c r="B18" s="170">
        <v>2</v>
      </c>
      <c r="C18" s="92">
        <v>11</v>
      </c>
      <c r="D18" s="114">
        <v>23</v>
      </c>
      <c r="E18" s="97">
        <v>25</v>
      </c>
      <c r="F18" s="98">
        <v>0</v>
      </c>
      <c r="G18" s="143" t="s">
        <v>61</v>
      </c>
      <c r="H18" s="99">
        <v>0</v>
      </c>
      <c r="I18" s="100">
        <v>178</v>
      </c>
      <c r="J18" s="101"/>
      <c r="K18" s="102"/>
      <c r="L18" s="146"/>
      <c r="M18" s="151"/>
      <c r="N18" s="145" t="s">
        <v>97</v>
      </c>
      <c r="O18" s="105">
        <v>5</v>
      </c>
      <c r="P18" s="225" t="s">
        <v>97</v>
      </c>
      <c r="Q18" s="107"/>
      <c r="R18" s="115"/>
      <c r="S18" s="226" t="s">
        <v>97</v>
      </c>
      <c r="T18" s="109"/>
      <c r="U18" s="110"/>
      <c r="V18" s="93"/>
      <c r="W18" s="94">
        <f t="shared" si="12"/>
        <v>183</v>
      </c>
      <c r="X18" s="111"/>
      <c r="Y18" s="112"/>
      <c r="Z18" s="113"/>
      <c r="AA18" s="95">
        <v>171</v>
      </c>
      <c r="AB18" s="56">
        <f t="shared" si="13"/>
        <v>-12</v>
      </c>
      <c r="AC18" s="144">
        <f t="shared" si="14"/>
        <v>-12</v>
      </c>
      <c r="AE18" s="161"/>
    </row>
    <row r="19" spans="1:31" x14ac:dyDescent="0.3">
      <c r="A19" s="169" t="s">
        <v>172</v>
      </c>
      <c r="B19" s="170">
        <v>2</v>
      </c>
      <c r="C19" s="92">
        <v>11</v>
      </c>
      <c r="D19" s="114">
        <v>23</v>
      </c>
      <c r="E19" s="97">
        <v>25</v>
      </c>
      <c r="F19" s="98">
        <v>0</v>
      </c>
      <c r="G19" s="143" t="s">
        <v>61</v>
      </c>
      <c r="H19" s="99">
        <v>0</v>
      </c>
      <c r="I19" s="100"/>
      <c r="J19" s="101"/>
      <c r="K19" s="102"/>
      <c r="L19" s="146"/>
      <c r="M19" s="151"/>
      <c r="N19" s="145" t="s">
        <v>97</v>
      </c>
      <c r="O19" s="105"/>
      <c r="P19" s="225" t="s">
        <v>97</v>
      </c>
      <c r="Q19" s="107"/>
      <c r="R19" s="115"/>
      <c r="S19" s="226" t="s">
        <v>97</v>
      </c>
      <c r="T19" s="109"/>
      <c r="U19" s="110"/>
      <c r="V19" s="93"/>
      <c r="W19" s="94">
        <f t="shared" si="12"/>
        <v>0</v>
      </c>
      <c r="X19" s="111"/>
      <c r="Y19" s="112"/>
      <c r="Z19" s="113"/>
      <c r="AA19" s="95">
        <v>171</v>
      </c>
      <c r="AB19" s="56">
        <f t="shared" si="13"/>
        <v>171</v>
      </c>
      <c r="AC19" s="144">
        <f t="shared" si="14"/>
        <v>171</v>
      </c>
      <c r="AE19" s="161"/>
    </row>
    <row r="20" spans="1:31" x14ac:dyDescent="0.3">
      <c r="A20" s="169" t="s">
        <v>173</v>
      </c>
      <c r="B20" s="170">
        <v>2</v>
      </c>
      <c r="C20" s="92">
        <v>8</v>
      </c>
      <c r="D20" s="114">
        <v>23</v>
      </c>
      <c r="E20" s="97">
        <v>23</v>
      </c>
      <c r="F20" s="98">
        <v>0</v>
      </c>
      <c r="G20" s="143" t="s">
        <v>174</v>
      </c>
      <c r="H20" s="99">
        <v>5</v>
      </c>
      <c r="I20" s="100">
        <v>74</v>
      </c>
      <c r="J20" s="101"/>
      <c r="K20" s="102"/>
      <c r="L20" s="146"/>
      <c r="M20" s="151"/>
      <c r="N20" s="145" t="s">
        <v>97</v>
      </c>
      <c r="O20" s="105"/>
      <c r="P20" s="225" t="s">
        <v>97</v>
      </c>
      <c r="Q20" s="107"/>
      <c r="R20" s="115"/>
      <c r="S20" s="226" t="s">
        <v>97</v>
      </c>
      <c r="T20" s="109"/>
      <c r="U20" s="110"/>
      <c r="V20" s="93"/>
      <c r="W20" s="94">
        <f t="shared" si="12"/>
        <v>74</v>
      </c>
      <c r="X20" s="111"/>
      <c r="Y20" s="112"/>
      <c r="Z20" s="113"/>
      <c r="AA20" s="95">
        <v>69</v>
      </c>
      <c r="AB20" s="56">
        <f t="shared" si="13"/>
        <v>-5</v>
      </c>
      <c r="AC20" s="144">
        <f t="shared" si="14"/>
        <v>-5</v>
      </c>
      <c r="AE20" s="161"/>
    </row>
    <row r="21" spans="1:31" x14ac:dyDescent="0.3">
      <c r="A21" s="169" t="s">
        <v>175</v>
      </c>
      <c r="B21" s="170">
        <v>2</v>
      </c>
      <c r="C21" s="92">
        <v>8</v>
      </c>
      <c r="D21" s="114">
        <v>23</v>
      </c>
      <c r="E21" s="97">
        <v>23</v>
      </c>
      <c r="F21" s="98">
        <v>0</v>
      </c>
      <c r="G21" s="143" t="s">
        <v>174</v>
      </c>
      <c r="H21" s="99">
        <v>5</v>
      </c>
      <c r="I21" s="100"/>
      <c r="J21" s="101"/>
      <c r="K21" s="102"/>
      <c r="L21" s="146"/>
      <c r="M21" s="151"/>
      <c r="N21" s="145" t="s">
        <v>97</v>
      </c>
      <c r="O21" s="105"/>
      <c r="P21" s="225" t="s">
        <v>97</v>
      </c>
      <c r="Q21" s="107"/>
      <c r="R21" s="115"/>
      <c r="S21" s="226" t="s">
        <v>97</v>
      </c>
      <c r="T21" s="109"/>
      <c r="U21" s="110"/>
      <c r="V21" s="93"/>
      <c r="W21" s="94">
        <f t="shared" si="12"/>
        <v>0</v>
      </c>
      <c r="X21" s="111"/>
      <c r="Y21" s="112"/>
      <c r="Z21" s="113"/>
      <c r="AA21" s="95">
        <v>69</v>
      </c>
      <c r="AB21" s="56">
        <f t="shared" si="13"/>
        <v>69</v>
      </c>
      <c r="AC21" s="144">
        <f t="shared" si="14"/>
        <v>69</v>
      </c>
      <c r="AE21" s="161"/>
    </row>
    <row r="22" spans="1:31" x14ac:dyDescent="0.3">
      <c r="A22" s="169" t="s">
        <v>176</v>
      </c>
      <c r="B22" s="170">
        <v>2</v>
      </c>
      <c r="C22" s="92">
        <v>10</v>
      </c>
      <c r="D22" s="114">
        <v>18</v>
      </c>
      <c r="E22" s="97">
        <v>18</v>
      </c>
      <c r="F22" s="98">
        <v>0</v>
      </c>
      <c r="G22" s="143" t="s">
        <v>61</v>
      </c>
      <c r="H22" s="99">
        <v>0</v>
      </c>
      <c r="I22" s="100">
        <v>25</v>
      </c>
      <c r="J22" s="101"/>
      <c r="K22" s="102"/>
      <c r="L22" s="146"/>
      <c r="M22" s="151"/>
      <c r="N22" s="145" t="s">
        <v>97</v>
      </c>
      <c r="O22" s="105">
        <v>11</v>
      </c>
      <c r="P22" s="225" t="s">
        <v>97</v>
      </c>
      <c r="Q22" s="107"/>
      <c r="R22" s="115"/>
      <c r="S22" s="226" t="s">
        <v>97</v>
      </c>
      <c r="T22" s="109"/>
      <c r="U22" s="110"/>
      <c r="V22" s="93"/>
      <c r="W22" s="94">
        <f t="shared" si="12"/>
        <v>36</v>
      </c>
      <c r="X22" s="111"/>
      <c r="Y22" s="112"/>
      <c r="Z22" s="113"/>
      <c r="AA22" s="95">
        <v>30</v>
      </c>
      <c r="AB22" s="56">
        <f t="shared" si="13"/>
        <v>-6</v>
      </c>
      <c r="AC22" s="144">
        <f t="shared" si="14"/>
        <v>-6</v>
      </c>
      <c r="AE22" s="161"/>
    </row>
    <row r="23" spans="1:31" x14ac:dyDescent="0.3">
      <c r="A23" s="169" t="s">
        <v>177</v>
      </c>
      <c r="B23" s="170">
        <v>2</v>
      </c>
      <c r="C23" s="92">
        <v>10</v>
      </c>
      <c r="D23" s="114">
        <v>18</v>
      </c>
      <c r="E23" s="97">
        <v>18</v>
      </c>
      <c r="F23" s="98">
        <v>0</v>
      </c>
      <c r="G23" s="143" t="s">
        <v>61</v>
      </c>
      <c r="H23" s="99">
        <v>0</v>
      </c>
      <c r="I23" s="100"/>
      <c r="J23" s="101"/>
      <c r="K23" s="102"/>
      <c r="L23" s="146"/>
      <c r="M23" s="151"/>
      <c r="N23" s="145" t="s">
        <v>97</v>
      </c>
      <c r="O23" s="105"/>
      <c r="P23" s="225" t="s">
        <v>97</v>
      </c>
      <c r="Q23" s="107"/>
      <c r="R23" s="115"/>
      <c r="S23" s="226" t="s">
        <v>97</v>
      </c>
      <c r="T23" s="109"/>
      <c r="U23" s="110"/>
      <c r="V23" s="93"/>
      <c r="W23" s="94">
        <f t="shared" si="12"/>
        <v>0</v>
      </c>
      <c r="X23" s="111"/>
      <c r="Y23" s="112"/>
      <c r="Z23" s="113"/>
      <c r="AA23" s="95">
        <v>30</v>
      </c>
      <c r="AB23" s="56">
        <f t="shared" si="13"/>
        <v>30</v>
      </c>
      <c r="AC23" s="144">
        <f t="shared" si="14"/>
        <v>30</v>
      </c>
      <c r="AE23" s="161"/>
    </row>
    <row r="24" spans="1:31" x14ac:dyDescent="0.3">
      <c r="A24" s="169" t="s">
        <v>178</v>
      </c>
      <c r="B24" s="170">
        <v>2</v>
      </c>
      <c r="C24" s="92">
        <v>10</v>
      </c>
      <c r="D24" s="114">
        <v>18</v>
      </c>
      <c r="E24" s="97">
        <v>18</v>
      </c>
      <c r="F24" s="98">
        <v>0</v>
      </c>
      <c r="G24" s="143" t="s">
        <v>61</v>
      </c>
      <c r="H24" s="99">
        <v>0</v>
      </c>
      <c r="I24" s="100"/>
      <c r="J24" s="101"/>
      <c r="K24" s="102"/>
      <c r="L24" s="146"/>
      <c r="M24" s="151"/>
      <c r="N24" s="145" t="s">
        <v>97</v>
      </c>
      <c r="O24" s="105"/>
      <c r="P24" s="225" t="s">
        <v>97</v>
      </c>
      <c r="Q24" s="107"/>
      <c r="R24" s="115"/>
      <c r="S24" s="226" t="s">
        <v>97</v>
      </c>
      <c r="T24" s="109"/>
      <c r="U24" s="110"/>
      <c r="V24" s="93"/>
      <c r="W24" s="94">
        <f t="shared" si="12"/>
        <v>0</v>
      </c>
      <c r="X24" s="111"/>
      <c r="Y24" s="112"/>
      <c r="Z24" s="113"/>
      <c r="AA24" s="95">
        <v>30</v>
      </c>
      <c r="AB24" s="56">
        <f t="shared" si="13"/>
        <v>30</v>
      </c>
      <c r="AC24" s="144">
        <f t="shared" si="14"/>
        <v>30</v>
      </c>
      <c r="AE24" s="161"/>
    </row>
    <row r="25" spans="1:31" x14ac:dyDescent="0.3">
      <c r="A25" s="169" t="s">
        <v>179</v>
      </c>
      <c r="B25" s="170">
        <v>2</v>
      </c>
      <c r="C25" s="92">
        <v>15</v>
      </c>
      <c r="D25" s="114">
        <v>17</v>
      </c>
      <c r="E25" s="97">
        <v>22</v>
      </c>
      <c r="F25" s="98">
        <v>0</v>
      </c>
      <c r="G25" s="143" t="s">
        <v>61</v>
      </c>
      <c r="H25" s="99">
        <v>0</v>
      </c>
      <c r="I25" s="100">
        <v>23</v>
      </c>
      <c r="J25" s="101"/>
      <c r="K25" s="102"/>
      <c r="L25" s="146"/>
      <c r="M25" s="151"/>
      <c r="N25" s="145">
        <v>9</v>
      </c>
      <c r="O25" s="105"/>
      <c r="P25" s="225" t="s">
        <v>97</v>
      </c>
      <c r="Q25" s="107"/>
      <c r="R25" s="115"/>
      <c r="S25" s="226" t="s">
        <v>97</v>
      </c>
      <c r="T25" s="109"/>
      <c r="U25" s="110"/>
      <c r="V25" s="93"/>
      <c r="W25" s="94">
        <f t="shared" si="12"/>
        <v>32</v>
      </c>
      <c r="X25" s="111"/>
      <c r="Y25" s="112"/>
      <c r="Z25" s="113"/>
      <c r="AA25" s="95">
        <v>46</v>
      </c>
      <c r="AB25" s="56">
        <f t="shared" si="13"/>
        <v>14</v>
      </c>
      <c r="AC25" s="144">
        <f t="shared" si="14"/>
        <v>14</v>
      </c>
      <c r="AE25" s="161"/>
    </row>
    <row r="26" spans="1:31" x14ac:dyDescent="0.3">
      <c r="A26" s="169" t="s">
        <v>201</v>
      </c>
      <c r="B26" s="170">
        <v>2</v>
      </c>
      <c r="C26" s="92">
        <v>14</v>
      </c>
      <c r="D26" s="114">
        <v>16</v>
      </c>
      <c r="E26" s="97">
        <v>20</v>
      </c>
      <c r="F26" s="98">
        <v>0</v>
      </c>
      <c r="G26" s="143" t="s">
        <v>61</v>
      </c>
      <c r="H26" s="99">
        <v>0</v>
      </c>
      <c r="I26" s="100"/>
      <c r="J26" s="101"/>
      <c r="K26" s="102"/>
      <c r="L26" s="146"/>
      <c r="M26" s="151"/>
      <c r="N26" s="145" t="s">
        <v>334</v>
      </c>
      <c r="O26" s="105"/>
      <c r="P26" s="225" t="s">
        <v>97</v>
      </c>
      <c r="Q26" s="107"/>
      <c r="R26" s="115"/>
      <c r="S26" s="226" t="s">
        <v>97</v>
      </c>
      <c r="T26" s="109"/>
      <c r="U26" s="110"/>
      <c r="V26" s="93"/>
      <c r="W26" s="94">
        <f t="shared" si="12"/>
        <v>0</v>
      </c>
      <c r="X26" s="111"/>
      <c r="Y26" s="112"/>
      <c r="Z26" s="113"/>
      <c r="AA26" s="95">
        <v>32</v>
      </c>
      <c r="AB26" s="56">
        <f t="shared" si="13"/>
        <v>32</v>
      </c>
      <c r="AC26" s="144">
        <f t="shared" si="14"/>
        <v>32</v>
      </c>
      <c r="AE26" s="161"/>
    </row>
    <row r="27" spans="1:31" x14ac:dyDescent="0.3">
      <c r="A27" s="169" t="s">
        <v>202</v>
      </c>
      <c r="B27" s="170">
        <v>2</v>
      </c>
      <c r="C27" s="92">
        <v>14</v>
      </c>
      <c r="D27" s="114">
        <v>16</v>
      </c>
      <c r="E27" s="97">
        <v>20</v>
      </c>
      <c r="F27" s="98">
        <v>0</v>
      </c>
      <c r="G27" s="143" t="s">
        <v>61</v>
      </c>
      <c r="H27" s="99">
        <v>0</v>
      </c>
      <c r="I27" s="100"/>
      <c r="J27" s="101"/>
      <c r="K27" s="102"/>
      <c r="L27" s="146"/>
      <c r="M27" s="151"/>
      <c r="N27" s="145" t="s">
        <v>334</v>
      </c>
      <c r="O27" s="105"/>
      <c r="P27" s="225" t="s">
        <v>97</v>
      </c>
      <c r="Q27" s="107"/>
      <c r="R27" s="115"/>
      <c r="S27" s="226" t="s">
        <v>97</v>
      </c>
      <c r="T27" s="109"/>
      <c r="U27" s="110"/>
      <c r="V27" s="93"/>
      <c r="W27" s="94">
        <f t="shared" ref="W27" si="15">SUM(I27:U27)</f>
        <v>0</v>
      </c>
      <c r="X27" s="111"/>
      <c r="Y27" s="112"/>
      <c r="Z27" s="113"/>
      <c r="AA27" s="95">
        <v>32</v>
      </c>
      <c r="AB27" s="56">
        <f t="shared" ref="AB27" si="16">SUM(Z27:AA27)-(W27+X27)</f>
        <v>32</v>
      </c>
      <c r="AC27" s="144">
        <f t="shared" ref="AC27" si="17">SMALL(AA27:AB27,1)+Y27</f>
        <v>32</v>
      </c>
      <c r="AE27" s="161"/>
    </row>
    <row r="28" spans="1:31" x14ac:dyDescent="0.3">
      <c r="A28" s="169" t="s">
        <v>181</v>
      </c>
      <c r="B28" s="170">
        <v>2</v>
      </c>
      <c r="C28" s="92">
        <v>13</v>
      </c>
      <c r="D28" s="114">
        <v>16</v>
      </c>
      <c r="E28" s="97">
        <v>19</v>
      </c>
      <c r="F28" s="98">
        <v>0</v>
      </c>
      <c r="G28" s="143" t="s">
        <v>61</v>
      </c>
      <c r="H28" s="99">
        <v>0</v>
      </c>
      <c r="I28" s="100"/>
      <c r="J28" s="101"/>
      <c r="K28" s="102"/>
      <c r="L28" s="146"/>
      <c r="M28" s="151"/>
      <c r="N28" s="145"/>
      <c r="O28" s="105"/>
      <c r="P28" s="225" t="s">
        <v>97</v>
      </c>
      <c r="Q28" s="107"/>
      <c r="R28" s="115"/>
      <c r="S28" s="226" t="s">
        <v>97</v>
      </c>
      <c r="T28" s="109"/>
      <c r="U28" s="110"/>
      <c r="V28" s="93"/>
      <c r="W28" s="94">
        <f t="shared" ref="W28:W29" si="18">SUM(I28:U28)</f>
        <v>0</v>
      </c>
      <c r="X28" s="111"/>
      <c r="Y28" s="112"/>
      <c r="Z28" s="113"/>
      <c r="AA28" s="95">
        <v>18</v>
      </c>
      <c r="AB28" s="56">
        <f t="shared" ref="AB28:AB29" si="19">SUM(Z28:AA28)-(W28+X28)</f>
        <v>18</v>
      </c>
      <c r="AC28" s="144">
        <f t="shared" ref="AC28:AC29" si="20">SMALL(AA28:AB28,1)+Y28</f>
        <v>18</v>
      </c>
      <c r="AE28" s="161"/>
    </row>
    <row r="29" spans="1:31" x14ac:dyDescent="0.3">
      <c r="A29" s="169" t="s">
        <v>159</v>
      </c>
      <c r="B29" s="170">
        <v>2</v>
      </c>
      <c r="C29" s="92">
        <v>13</v>
      </c>
      <c r="D29" s="114">
        <v>15</v>
      </c>
      <c r="E29" s="97">
        <v>18</v>
      </c>
      <c r="F29" s="98">
        <v>0</v>
      </c>
      <c r="G29" s="143" t="s">
        <v>61</v>
      </c>
      <c r="H29" s="99">
        <v>0</v>
      </c>
      <c r="I29" s="100"/>
      <c r="J29" s="101"/>
      <c r="K29" s="102"/>
      <c r="L29" s="146"/>
      <c r="M29" s="151"/>
      <c r="N29" s="145"/>
      <c r="O29" s="105"/>
      <c r="P29" s="225" t="s">
        <v>97</v>
      </c>
      <c r="Q29" s="107"/>
      <c r="R29" s="115"/>
      <c r="S29" s="226" t="s">
        <v>97</v>
      </c>
      <c r="T29" s="109"/>
      <c r="U29" s="110"/>
      <c r="V29" s="93"/>
      <c r="W29" s="94">
        <f t="shared" si="18"/>
        <v>0</v>
      </c>
      <c r="X29" s="111"/>
      <c r="Y29" s="112"/>
      <c r="Z29" s="113"/>
      <c r="AA29" s="95">
        <v>11</v>
      </c>
      <c r="AB29" s="56">
        <f t="shared" si="19"/>
        <v>11</v>
      </c>
      <c r="AC29" s="144">
        <f t="shared" si="20"/>
        <v>11</v>
      </c>
      <c r="AE29" s="161"/>
    </row>
    <row r="30" spans="1:31" x14ac:dyDescent="0.3">
      <c r="A30" s="169" t="s">
        <v>182</v>
      </c>
      <c r="B30" s="170">
        <v>2</v>
      </c>
      <c r="C30" s="92">
        <v>12</v>
      </c>
      <c r="D30" s="114">
        <v>14</v>
      </c>
      <c r="E30" s="97">
        <v>15</v>
      </c>
      <c r="F30" s="98">
        <v>0</v>
      </c>
      <c r="G30" s="143" t="s">
        <v>61</v>
      </c>
      <c r="H30" s="99">
        <v>0</v>
      </c>
      <c r="I30" s="100"/>
      <c r="J30" s="101"/>
      <c r="K30" s="102"/>
      <c r="L30" s="146"/>
      <c r="M30" s="151"/>
      <c r="N30" s="145"/>
      <c r="O30" s="105"/>
      <c r="P30" s="225" t="s">
        <v>97</v>
      </c>
      <c r="Q30" s="107"/>
      <c r="R30" s="115"/>
      <c r="S30" s="226" t="s">
        <v>97</v>
      </c>
      <c r="T30" s="109"/>
      <c r="U30" s="110"/>
      <c r="V30" s="93"/>
      <c r="W30" s="94">
        <f t="shared" ref="W30" si="21">SUM(I30:U30)</f>
        <v>0</v>
      </c>
      <c r="X30" s="111"/>
      <c r="Y30" s="112"/>
      <c r="Z30" s="113"/>
      <c r="AA30" s="95">
        <v>4</v>
      </c>
      <c r="AB30" s="56">
        <f t="shared" ref="AB30" si="22">SUM(Z30:AA30)-(W30+X30)</f>
        <v>4</v>
      </c>
      <c r="AC30" s="144">
        <f t="shared" ref="AC30" si="23">SMALL(AA30:AB30,1)+Y30</f>
        <v>4</v>
      </c>
      <c r="AE30" s="161"/>
    </row>
    <row r="31" spans="1:31" x14ac:dyDescent="0.3">
      <c r="A31" s="169" t="s">
        <v>148</v>
      </c>
      <c r="B31" s="170">
        <v>2</v>
      </c>
      <c r="C31" s="92">
        <v>6</v>
      </c>
      <c r="D31" s="114">
        <v>17</v>
      </c>
      <c r="E31" s="97">
        <v>17</v>
      </c>
      <c r="F31" s="98">
        <v>0</v>
      </c>
      <c r="G31" s="143" t="s">
        <v>61</v>
      </c>
      <c r="H31" s="99">
        <v>0</v>
      </c>
      <c r="I31" s="100"/>
      <c r="J31" s="101"/>
      <c r="K31" s="102"/>
      <c r="L31" s="146"/>
      <c r="M31" s="151"/>
      <c r="N31" s="145"/>
      <c r="O31" s="105"/>
      <c r="P31" s="106"/>
      <c r="Q31" s="107"/>
      <c r="R31" s="115"/>
      <c r="S31" s="108"/>
      <c r="T31" s="109"/>
      <c r="U31" s="110"/>
      <c r="V31" s="93"/>
      <c r="W31" s="94">
        <f t="shared" ref="W31" si="24">SUM(I31:U31)</f>
        <v>0</v>
      </c>
      <c r="X31" s="111"/>
      <c r="Y31" s="112"/>
      <c r="Z31" s="113"/>
      <c r="AA31" s="95">
        <v>40</v>
      </c>
      <c r="AB31" s="56">
        <f t="shared" ref="AB31" si="25">SUM(Z31:AA31)-(W31+X31)</f>
        <v>40</v>
      </c>
      <c r="AC31" s="144">
        <f t="shared" ref="AC31" si="26">SMALL(AA31:AB31,1)+Y31</f>
        <v>40</v>
      </c>
      <c r="AE31" s="161"/>
    </row>
    <row r="32" spans="1:31" x14ac:dyDescent="0.3">
      <c r="A32" s="169" t="s">
        <v>314</v>
      </c>
      <c r="B32" s="170">
        <v>2</v>
      </c>
      <c r="C32" s="287">
        <f>14-1</f>
        <v>13</v>
      </c>
      <c r="D32" s="269">
        <f>22+3</f>
        <v>25</v>
      </c>
      <c r="E32" s="288">
        <f>24+3-1</f>
        <v>26</v>
      </c>
      <c r="F32" s="98">
        <v>0</v>
      </c>
      <c r="G32" s="143" t="s">
        <v>61</v>
      </c>
      <c r="H32" s="99">
        <v>0</v>
      </c>
      <c r="I32" s="100">
        <v>84</v>
      </c>
      <c r="J32" s="101"/>
      <c r="K32" s="102"/>
      <c r="L32" s="146"/>
      <c r="M32" s="151"/>
      <c r="N32" s="145">
        <v>16</v>
      </c>
      <c r="O32" s="105">
        <v>6</v>
      </c>
      <c r="P32" s="106"/>
      <c r="Q32" s="107"/>
      <c r="R32" s="115"/>
      <c r="S32" s="108"/>
      <c r="T32" s="109"/>
      <c r="U32" s="110"/>
      <c r="V32" s="93"/>
      <c r="W32" s="94">
        <f t="shared" ref="W32" si="27">SUM(I32:U32)</f>
        <v>106</v>
      </c>
      <c r="X32" s="111"/>
      <c r="Y32" s="112"/>
      <c r="Z32" s="113"/>
      <c r="AA32" s="95">
        <f>(6*10*0.75)+(4*8*0.75)+(12*2)</f>
        <v>93</v>
      </c>
      <c r="AB32" s="56">
        <f t="shared" ref="AB32" si="28">SUM(Z32:AA32)-(W32+X32)</f>
        <v>-13</v>
      </c>
      <c r="AC32" s="144">
        <f t="shared" ref="AC32" si="29">SMALL(AA32:AB32,1)+Y32</f>
        <v>-13</v>
      </c>
    </row>
  </sheetData>
  <sortState xmlns:xlrd2="http://schemas.microsoft.com/office/spreadsheetml/2017/richdata2" ref="A2:AC17">
    <sortCondition ref="A2:A17"/>
  </sortState>
  <conditionalFormatting sqref="AC3 AC6:AC14 AC25:AC26 AC16:AC17">
    <cfRule type="cellIs" dxfId="25" priority="273" stopIfTrue="1" operator="lessThan">
      <formula>0.5</formula>
    </cfRule>
    <cfRule type="cellIs" dxfId="24" priority="274" operator="lessThan">
      <formula>0.5*AA3</formula>
    </cfRule>
  </conditionalFormatting>
  <conditionalFormatting sqref="AC2">
    <cfRule type="cellIs" dxfId="23" priority="171" stopIfTrue="1" operator="lessThan">
      <formula>0.5</formula>
    </cfRule>
    <cfRule type="cellIs" dxfId="22" priority="172" operator="lessThan">
      <formula>0.5*AA2</formula>
    </cfRule>
  </conditionalFormatting>
  <conditionalFormatting sqref="AC4">
    <cfRule type="cellIs" dxfId="21" priority="47" stopIfTrue="1" operator="lessThan">
      <formula>0.5</formula>
    </cfRule>
    <cfRule type="cellIs" dxfId="20" priority="48" operator="lessThan">
      <formula>0.5*AA4</formula>
    </cfRule>
  </conditionalFormatting>
  <conditionalFormatting sqref="AC17">
    <cfRule type="cellIs" dxfId="19" priority="29" stopIfTrue="1" operator="lessThan">
      <formula>0.5</formula>
    </cfRule>
    <cfRule type="cellIs" dxfId="18" priority="30" operator="lessThan">
      <formula>0.5*AA17</formula>
    </cfRule>
  </conditionalFormatting>
  <conditionalFormatting sqref="AC28:AC29">
    <cfRule type="cellIs" dxfId="17" priority="17" stopIfTrue="1" operator="lessThan">
      <formula>0.5</formula>
    </cfRule>
    <cfRule type="cellIs" dxfId="16" priority="18" operator="lessThan">
      <formula>0.5*AA28</formula>
    </cfRule>
  </conditionalFormatting>
  <conditionalFormatting sqref="AC5">
    <cfRule type="cellIs" dxfId="15" priority="19" stopIfTrue="1" operator="lessThan">
      <formula>0.5</formula>
    </cfRule>
    <cfRule type="cellIs" dxfId="14" priority="20" operator="lessThan">
      <formula>0.5*AA5</formula>
    </cfRule>
  </conditionalFormatting>
  <conditionalFormatting sqref="AC15">
    <cfRule type="cellIs" dxfId="13" priority="15" stopIfTrue="1" operator="lessThan">
      <formula>0.5</formula>
    </cfRule>
    <cfRule type="cellIs" dxfId="12" priority="16" operator="lessThan">
      <formula>0.5*AA15</formula>
    </cfRule>
  </conditionalFormatting>
  <conditionalFormatting sqref="AC31">
    <cfRule type="cellIs" dxfId="11" priority="11" stopIfTrue="1" operator="lessThan">
      <formula>0.5</formula>
    </cfRule>
    <cfRule type="cellIs" dxfId="10" priority="12" operator="lessThan">
      <formula>0.5*AA31</formula>
    </cfRule>
  </conditionalFormatting>
  <conditionalFormatting sqref="AC20:AC24 AC18">
    <cfRule type="cellIs" dxfId="9" priority="7" stopIfTrue="1" operator="lessThan">
      <formula>0.5</formula>
    </cfRule>
    <cfRule type="cellIs" dxfId="8" priority="8" operator="lessThan">
      <formula>0.5*AA18</formula>
    </cfRule>
  </conditionalFormatting>
  <conditionalFormatting sqref="AC30">
    <cfRule type="cellIs" dxfId="7" priority="9" stopIfTrue="1" operator="lessThan">
      <formula>0.5</formula>
    </cfRule>
    <cfRule type="cellIs" dxfId="6" priority="10" operator="lessThan">
      <formula>0.5*AA30</formula>
    </cfRule>
  </conditionalFormatting>
  <conditionalFormatting sqref="AC19">
    <cfRule type="cellIs" dxfId="5" priority="5" stopIfTrue="1" operator="lessThan">
      <formula>0.5</formula>
    </cfRule>
    <cfRule type="cellIs" dxfId="4" priority="6" operator="lessThan">
      <formula>0.5*AA19</formula>
    </cfRule>
  </conditionalFormatting>
  <conditionalFormatting sqref="AC27">
    <cfRule type="cellIs" dxfId="3" priority="3" stopIfTrue="1" operator="lessThan">
      <formula>0.5</formula>
    </cfRule>
    <cfRule type="cellIs" dxfId="2" priority="4" operator="lessThan">
      <formula>0.5*AA27</formula>
    </cfRule>
  </conditionalFormatting>
  <conditionalFormatting sqref="AC32">
    <cfRule type="cellIs" dxfId="1" priority="1" stopIfTrue="1" operator="lessThan">
      <formula>0.5</formula>
    </cfRule>
    <cfRule type="cellIs" dxfId="0" priority="2" operator="lessThan">
      <formula>0.5*AA32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7" width="3.8984375" style="5" bestFit="1" customWidth="1"/>
    <col min="8" max="11" width="3.8984375" style="5" customWidth="1"/>
    <col min="12" max="12" width="3.8984375" style="5" bestFit="1" customWidth="1"/>
    <col min="13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277" t="s">
        <v>11</v>
      </c>
      <c r="I1" s="277" t="s">
        <v>330</v>
      </c>
      <c r="J1" s="277" t="s">
        <v>331</v>
      </c>
      <c r="K1" s="277" t="s">
        <v>332</v>
      </c>
      <c r="L1" s="4" t="s">
        <v>333</v>
      </c>
    </row>
    <row r="2" spans="1:20" x14ac:dyDescent="0.3">
      <c r="B2" s="6" t="s">
        <v>12</v>
      </c>
      <c r="C2" s="7">
        <f ca="1">RANDBETWEEN(1,3)</f>
        <v>2</v>
      </c>
      <c r="D2" s="7">
        <f ca="1">RANDBETWEEN(1,3)+RANDBETWEEN(1,3)</f>
        <v>2</v>
      </c>
      <c r="E2" s="7">
        <f ca="1">RANDBETWEEN(1,3)+RANDBETWEEN(1,3)+RANDBETWEEN(1,3)</f>
        <v>6</v>
      </c>
      <c r="F2" s="7">
        <f ca="1">RANDBETWEEN(1,3)+RANDBETWEEN(1,3)+RANDBETWEEN(1,3)+RANDBETWEEN(1,3)</f>
        <v>8</v>
      </c>
      <c r="G2" s="7">
        <f ca="1">RANDBETWEEN(1,3)+RANDBETWEEN(1,3)+RANDBETWEEN(1,3)+RANDBETWEEN(1,3)+RANDBETWEEN(1,3)</f>
        <v>8</v>
      </c>
      <c r="H2" s="278">
        <f ca="1">RANDBETWEEN(1,3)+RANDBETWEEN(1,3)+RANDBETWEEN(1,3)+RANDBETWEEN(1,3)+RANDBETWEEN(1,3)+RANDBETWEEN(1,3)</f>
        <v>15</v>
      </c>
      <c r="I2" s="278">
        <f ca="1">RANDBETWEEN(1,3)+RANDBETWEEN(1,3)+RANDBETWEEN(1,3)+RANDBETWEEN(1,3)+RANDBETWEEN(1,3)+RANDBETWEEN(1,3)+RANDBETWEEN(1,3)</f>
        <v>14</v>
      </c>
      <c r="J2" s="278">
        <f ca="1">RANDBETWEEN(1,3)+RANDBETWEEN(1,3)+RANDBETWEEN(1,3)+RANDBETWEEN(1,3)+RANDBETWEEN(1,3)+RANDBETWEEN(1,3)+RANDBETWEEN(1,3)+RANDBETWEEN(1,3)</f>
        <v>13</v>
      </c>
      <c r="K2" s="278">
        <f ca="1">RANDBETWEEN(1,3)+RANDBETWEEN(1,3)+RANDBETWEEN(1,3)+RANDBETWEEN(1,3)+RANDBETWEEN(1,3)+RANDBETWEEN(1,3)+RANDBETWEEN(1,3)+RANDBETWEEN(1,3)+RANDBETWEEN(1,3)</f>
        <v>15</v>
      </c>
      <c r="L2" s="8">
        <f ca="1">RANDBETWEEN(1,3)+RANDBETWEEN(1,3)+RANDBETWEEN(1,3)+RANDBETWEEN(1,3)+RANDBETWEEN(1,3)+RANDBETWEEN(1,3)+RANDBETWEEN(1,3)+RANDBETWEEN(1,3)+RANDBETWEEN(1,3)+RANDBETWEEN(1,3)</f>
        <v>21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4</v>
      </c>
      <c r="D3" s="10">
        <f ca="1">RANDBETWEEN(1,4)+RANDBETWEEN(1,4)</f>
        <v>7</v>
      </c>
      <c r="E3" s="10">
        <f ca="1">RANDBETWEEN(1,4)+RANDBETWEEN(1,4)+RANDBETWEEN(1,4)</f>
        <v>6</v>
      </c>
      <c r="F3" s="10">
        <f ca="1">RANDBETWEEN(1,4)+RANDBETWEEN(1,4)+RANDBETWEEN(1,4)+RANDBETWEEN(1,4)</f>
        <v>9</v>
      </c>
      <c r="G3" s="10">
        <f ca="1">RANDBETWEEN(1,4)+RANDBETWEEN(1,4)+RANDBETWEEN(1,4)+RANDBETWEEN(1,4)+RANDBETWEEN(1,4)</f>
        <v>11</v>
      </c>
      <c r="H3" s="279">
        <f ca="1">RANDBETWEEN(1,4)+RANDBETWEEN(1,4)+RANDBETWEEN(1,4)+RANDBETWEEN(1,4)+RANDBETWEEN(1,4)+RANDBETWEEN(1,4)</f>
        <v>18</v>
      </c>
      <c r="I3" s="279">
        <f ca="1">RANDBETWEEN(1,4)+RANDBETWEEN(1,4)+RANDBETWEEN(1,4)+RANDBETWEEN(1,4)+RANDBETWEEN(1,4)+RANDBETWEEN(1,4)+RANDBETWEEN(1,4)</f>
        <v>14</v>
      </c>
      <c r="J3" s="279">
        <f ca="1">RANDBETWEEN(1,4)+RANDBETWEEN(1,4)+RANDBETWEEN(1,4)+RANDBETWEEN(1,4)+RANDBETWEEN(1,4)+RANDBETWEEN(1,4)+RANDBETWEEN(1,4)+RANDBETWEEN(1,4)</f>
        <v>23</v>
      </c>
      <c r="K3" s="279">
        <f ca="1">RANDBETWEEN(1,4)+RANDBETWEEN(1,4)+RANDBETWEEN(1,4)+RANDBETWEEN(1,4)+RANDBETWEEN(1,4)+RANDBETWEEN(1,4)+RANDBETWEEN(1,4)+RANDBETWEEN(1,4)+RANDBETWEEN(1,4)</f>
        <v>28</v>
      </c>
      <c r="L3" s="11">
        <f ca="1">RANDBETWEEN(1,4)+RANDBETWEEN(1,4)+RANDBETWEEN(1,4)+RANDBETWEEN(1,4)+RANDBETWEEN(1,4)+RANDBETWEEN(1,4)+RANDBETWEEN(1,4)+RANDBETWEEN(1,4)+RANDBETWEEN(1,4)+RANDBETWEEN(1,4)</f>
        <v>16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2</v>
      </c>
      <c r="D4" s="10">
        <f ca="1">RANDBETWEEN(1,6)+RANDBETWEEN(1,6)</f>
        <v>10</v>
      </c>
      <c r="E4" s="10">
        <f ca="1">RANDBETWEEN(1,6)+RANDBETWEEN(1,6)+RANDBETWEEN(1,6)</f>
        <v>9</v>
      </c>
      <c r="F4" s="10">
        <f ca="1">RANDBETWEEN(1,6)+RANDBETWEEN(1,6)+RANDBETWEEN(1,6)+RANDBETWEEN(1,6)</f>
        <v>11</v>
      </c>
      <c r="G4" s="10">
        <f ca="1">RANDBETWEEN(1,6)+RANDBETWEEN(1,6)+RANDBETWEEN(1,6)+RANDBETWEEN(1,6)+RANDBETWEEN(1,6)</f>
        <v>12</v>
      </c>
      <c r="H4" s="279">
        <f ca="1">RANDBETWEEN(1,6)+RANDBETWEEN(1,6)+RANDBETWEEN(1,6)+RANDBETWEEN(1,6)+RANDBETWEEN(1,6)+RANDBETWEEN(1,6)</f>
        <v>21</v>
      </c>
      <c r="I4" s="279">
        <f ca="1">RANDBETWEEN(1,6)+RANDBETWEEN(1,6)+RANDBETWEEN(1,6)+RANDBETWEEN(1,6)+RANDBETWEEN(1,6)+RANDBETWEEN(1,6)+RANDBETWEEN(1,6)</f>
        <v>28</v>
      </c>
      <c r="J4" s="279">
        <f ca="1">RANDBETWEEN(1,6)+RANDBETWEEN(1,6)+RANDBETWEEN(1,6)+RANDBETWEEN(1,6)+RANDBETWEEN(1,6)+RANDBETWEEN(1,6)+RANDBETWEEN(1,6)+RANDBETWEEN(1,6)</f>
        <v>30</v>
      </c>
      <c r="K4" s="279">
        <f ca="1">RANDBETWEEN(1,6)+RANDBETWEEN(1,6)+RANDBETWEEN(1,6)+RANDBETWEEN(1,6)+RANDBETWEEN(1,6)+RANDBETWEEN(1,6)+RANDBETWEEN(1,6)+RANDBETWEEN(1,6)+RANDBETWEEN(1,6)</f>
        <v>29</v>
      </c>
      <c r="L4" s="11">
        <f ca="1">RANDBETWEEN(1,6)+RANDBETWEEN(1,6)+RANDBETWEEN(1,6)+RANDBETWEEN(1,6)+RANDBETWEEN(1,6)+RANDBETWEEN(1,6)+RANDBETWEEN(1,6)+RANDBETWEEN(1,6)+RANDBETWEEN(1,6)+RANDBETWEEN(1,6)</f>
        <v>34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1</v>
      </c>
      <c r="D5" s="10">
        <f ca="1">RANDBETWEEN(1,8)+RANDBETWEEN(1,8)</f>
        <v>3</v>
      </c>
      <c r="E5" s="10">
        <f ca="1">RANDBETWEEN(1,8)+RANDBETWEEN(1,8)+RANDBETWEEN(1,8)</f>
        <v>13</v>
      </c>
      <c r="F5" s="10">
        <f ca="1">RANDBETWEEN(1,8)+RANDBETWEEN(1,8)+RANDBETWEEN(1,8)+RANDBETWEEN(1,8)</f>
        <v>23</v>
      </c>
      <c r="G5" s="10">
        <f ca="1">RANDBETWEEN(1,8)+RANDBETWEEN(1,8)+RANDBETWEEN(1,8)+RANDBETWEEN(1,8)+RANDBETWEEN(1,8)</f>
        <v>28</v>
      </c>
      <c r="H5" s="279">
        <f ca="1">RANDBETWEEN(1,8)+RANDBETWEEN(1,8)+RANDBETWEEN(1,8)+RANDBETWEEN(1,8)+RANDBETWEEN(1,8)+RANDBETWEEN(1,8)</f>
        <v>36</v>
      </c>
      <c r="I5" s="279">
        <f ca="1">RANDBETWEEN(1,8)+RANDBETWEEN(1,8)+RANDBETWEEN(1,8)+RANDBETWEEN(1,8)+RANDBETWEEN(1,8)+RANDBETWEEN(1,8)+RANDBETWEEN(1,8)</f>
        <v>29</v>
      </c>
      <c r="J5" s="279">
        <f ca="1">RANDBETWEEN(1,8)+RANDBETWEEN(1,8)+RANDBETWEEN(1,8)+RANDBETWEEN(1,8)+RANDBETWEEN(1,8)+RANDBETWEEN(1,8)+RANDBETWEEN(1,8)+RANDBETWEEN(1,8)</f>
        <v>33</v>
      </c>
      <c r="K5" s="279">
        <f ca="1">RANDBETWEEN(1,8)+RANDBETWEEN(1,8)+RANDBETWEEN(1,8)+RANDBETWEEN(1,8)+RANDBETWEEN(1,8)+RANDBETWEEN(1,8)+RANDBETWEEN(1,8)+RANDBETWEEN(1,8)+RANDBETWEEN(1,8)</f>
        <v>47</v>
      </c>
      <c r="L5" s="11">
        <f ca="1">RANDBETWEEN(1,8)+RANDBETWEEN(1,8)+RANDBETWEEN(1,8)+RANDBETWEEN(1,8)+RANDBETWEEN(1,8)+RANDBETWEEN(1,8)+RANDBETWEEN(1,8)+RANDBETWEEN(1,8)+RANDBETWEEN(1,8)+RANDBETWEEN(1,8)</f>
        <v>44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3</v>
      </c>
      <c r="D6" s="10">
        <f ca="1">RANDBETWEEN(1,10)+RANDBETWEEN(1,10)</f>
        <v>15</v>
      </c>
      <c r="E6" s="10">
        <f ca="1">RANDBETWEEN(1,10)+RANDBETWEEN(1,10)+RANDBETWEEN(1,10)</f>
        <v>22</v>
      </c>
      <c r="F6" s="10">
        <f ca="1">RANDBETWEEN(1,10)+RANDBETWEEN(1,10)+RANDBETWEEN(1,10)+RANDBETWEEN(1,10)</f>
        <v>26</v>
      </c>
      <c r="G6" s="10">
        <f ca="1">RANDBETWEEN(1,10)+RANDBETWEEN(1,10)+RANDBETWEEN(1,10)+RANDBETWEEN(1,10)+RANDBETWEEN(1,10)</f>
        <v>20</v>
      </c>
      <c r="H6" s="279">
        <f ca="1">RANDBETWEEN(1,10)+RANDBETWEEN(1,10)+RANDBETWEEN(1,10)+RANDBETWEEN(1,10)+RANDBETWEEN(1,10)+RANDBETWEEN(1,10)</f>
        <v>16</v>
      </c>
      <c r="I6" s="279">
        <f ca="1">RANDBETWEEN(1,10)+RANDBETWEEN(1,10)+RANDBETWEEN(1,10)+RANDBETWEEN(1,10)+RANDBETWEEN(1,10)+RANDBETWEEN(1,10)+RANDBETWEEN(1,10)</f>
        <v>43</v>
      </c>
      <c r="J6" s="279">
        <f ca="1">RANDBETWEEN(1,10)+RANDBETWEEN(1,10)+RANDBETWEEN(1,10)+RANDBETWEEN(1,10)+RANDBETWEEN(1,10)+RANDBETWEEN(1,10)+RANDBETWEEN(1,10)+RANDBETWEEN(1,10)</f>
        <v>35</v>
      </c>
      <c r="K6" s="279">
        <f ca="1">RANDBETWEEN(1,10)+RANDBETWEEN(1,10)+RANDBETWEEN(1,10)+RANDBETWEEN(1,10)+RANDBETWEEN(1,10)+RANDBETWEEN(1,10)+RANDBETWEEN(1,10)+RANDBETWEEN(1,10)+RANDBETWEEN(1,10)</f>
        <v>58</v>
      </c>
      <c r="L6" s="11">
        <f ca="1">RANDBETWEEN(1,10)+RANDBETWEEN(1,10)+RANDBETWEEN(1,10)+RANDBETWEEN(1,10)+RANDBETWEEN(1,10)+RANDBETWEEN(1,10)+RANDBETWEEN(1,10)+RANDBETWEEN(1,10)+RANDBETWEEN(1,10)+RANDBETWEEN(1,10)</f>
        <v>50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11</v>
      </c>
      <c r="D7" s="10">
        <f ca="1">RANDBETWEEN(1,12)+RANDBETWEEN(1,12)</f>
        <v>13</v>
      </c>
      <c r="E7" s="10">
        <f ca="1">RANDBETWEEN(1,12)+RANDBETWEEN(1,12)+RANDBETWEEN(1,12)</f>
        <v>27</v>
      </c>
      <c r="F7" s="10">
        <f ca="1">RANDBETWEEN(1,12)+RANDBETWEEN(1,12)+RANDBETWEEN(1,12)+RANDBETWEEN(1,12)</f>
        <v>38</v>
      </c>
      <c r="G7" s="10">
        <f ca="1">RANDBETWEEN(1,12)+RANDBETWEEN(1,12)+RANDBETWEEN(1,12)+RANDBETWEEN(1,12)+RANDBETWEEN(1,12)</f>
        <v>23</v>
      </c>
      <c r="H7" s="279">
        <f ca="1">RANDBETWEEN(1,12)+RANDBETWEEN(1,12)+RANDBETWEEN(1,12)+RANDBETWEEN(1,12)+RANDBETWEEN(1,12)+RANDBETWEEN(1,12)</f>
        <v>54</v>
      </c>
      <c r="I7" s="279">
        <f ca="1">RANDBETWEEN(1,12)+RANDBETWEEN(1,12)+RANDBETWEEN(1,12)+RANDBETWEEN(1,12)+RANDBETWEEN(1,12)+RANDBETWEEN(1,12)+RANDBETWEEN(1,12)</f>
        <v>60</v>
      </c>
      <c r="J7" s="279">
        <f ca="1">RANDBETWEEN(1,12)+RANDBETWEEN(1,12)+RANDBETWEEN(1,12)+RANDBETWEEN(1,12)+RANDBETWEEN(1,12)+RANDBETWEEN(1,12)+RANDBETWEEN(1,12)+RANDBETWEEN(1,12)</f>
        <v>49</v>
      </c>
      <c r="K7" s="279">
        <f ca="1">RANDBETWEEN(1,12)+RANDBETWEEN(1,12)+RANDBETWEEN(1,12)+RANDBETWEEN(1,12)+RANDBETWEEN(1,12)+RANDBETWEEN(1,12)+RANDBETWEEN(1,12)+RANDBETWEEN(1,12)+RANDBETWEEN(1,12)</f>
        <v>68</v>
      </c>
      <c r="L7" s="11">
        <f ca="1">RANDBETWEEN(1,12)+RANDBETWEEN(1,12)+RANDBETWEEN(1,12)+RANDBETWEEN(1,12)+RANDBETWEEN(1,12)+RANDBETWEEN(1,12)+RANDBETWEEN(1,12)+RANDBETWEEN(1,12)+RANDBETWEEN(1,12)+RANDBETWEEN(1,12)</f>
        <v>84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5</v>
      </c>
      <c r="D8" s="10">
        <f ca="1">RANDBETWEEN(1,20)+RANDBETWEEN(1,20)</f>
        <v>21</v>
      </c>
      <c r="E8" s="10">
        <f ca="1">RANDBETWEEN(1,20)+RANDBETWEEN(1,20)+RANDBETWEEN(1,20)</f>
        <v>32</v>
      </c>
      <c r="F8" s="10">
        <f ca="1">RANDBETWEEN(1,20)+RANDBETWEEN(1,20)+RANDBETWEEN(1,20)+RANDBETWEEN(1,20)</f>
        <v>29</v>
      </c>
      <c r="G8" s="10">
        <f ca="1">RANDBETWEEN(1,20)+RANDBETWEEN(1,20)+RANDBETWEEN(1,20)+RANDBETWEEN(1,20)+RANDBETWEEN(1,20)</f>
        <v>50</v>
      </c>
      <c r="H8" s="279">
        <f ca="1">RANDBETWEEN(1,20)+RANDBETWEEN(1,20)+RANDBETWEEN(1,20)+RANDBETWEEN(1,20)+RANDBETWEEN(1,20)+RANDBETWEEN(1,20)</f>
        <v>62</v>
      </c>
      <c r="I8" s="279">
        <f ca="1">RANDBETWEEN(1,20)+RANDBETWEEN(1,20)+RANDBETWEEN(1,20)+RANDBETWEEN(1,20)+RANDBETWEEN(1,20)+RANDBETWEEN(1,20)+RANDBETWEEN(1,20)</f>
        <v>89</v>
      </c>
      <c r="J8" s="279">
        <f ca="1">RANDBETWEEN(1,20)+RANDBETWEEN(1,20)+RANDBETWEEN(1,20)+RANDBETWEEN(1,20)+RANDBETWEEN(1,20)+RANDBETWEEN(1,20)+RANDBETWEEN(1,20)+RANDBETWEEN(1,20)</f>
        <v>62</v>
      </c>
      <c r="K8" s="279">
        <f ca="1">RANDBETWEEN(1,20)+RANDBETWEEN(1,20)+RANDBETWEEN(1,20)+RANDBETWEEN(1,20)+RANDBETWEEN(1,20)+RANDBETWEEN(1,20)+RANDBETWEEN(1,20)+RANDBETWEEN(1,20)+RANDBETWEEN(1,20)</f>
        <v>92</v>
      </c>
      <c r="L8" s="11">
        <f ca="1">RANDBETWEEN(1,20)+RANDBETWEEN(1,20)+RANDBETWEEN(1,20)+RANDBETWEEN(1,20)+RANDBETWEEN(1,20)+RANDBETWEEN(1,20)+RANDBETWEEN(1,20)+RANDBETWEEN(1,20)+RANDBETWEEN(1,20)+RANDBETWEEN(1,20)</f>
        <v>114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4</v>
      </c>
      <c r="D9" s="13">
        <f ca="1">RANDBETWEEN(1,100)+RANDBETWEEN(1,100)</f>
        <v>98</v>
      </c>
      <c r="E9" s="13">
        <f ca="1">RANDBETWEEN(1,100)+RANDBETWEEN(1,100)+RANDBETWEEN(1,100)</f>
        <v>116</v>
      </c>
      <c r="F9" s="13">
        <f ca="1">RANDBETWEEN(1,100)+RANDBETWEEN(1,100)+RANDBETWEEN(1,100)+RANDBETWEEN(1,100)</f>
        <v>232</v>
      </c>
      <c r="G9" s="13">
        <f ca="1">RANDBETWEEN(1,100)+RANDBETWEEN(1,100)+RANDBETWEEN(1,100)+RANDBETWEEN(1,100)+RANDBETWEEN(1,100)</f>
        <v>312</v>
      </c>
      <c r="H9" s="280">
        <f ca="1">RANDBETWEEN(1,100)+RANDBETWEEN(1,100)+RANDBETWEEN(1,100)+RANDBETWEEN(1,100)+RANDBETWEEN(1,100)+RANDBETWEEN(1,100)</f>
        <v>234</v>
      </c>
      <c r="I9" s="280">
        <f ca="1">RANDBETWEEN(1,100)+RANDBETWEEN(1,100)+RANDBETWEEN(1,100)+RANDBETWEEN(1,100)+RANDBETWEEN(1,100)+RANDBETWEEN(1,100)+RANDBETWEEN(1,100)</f>
        <v>251</v>
      </c>
      <c r="J9" s="280">
        <f ca="1">RANDBETWEEN(1,100)+RANDBETWEEN(1,100)+RANDBETWEEN(1,100)+RANDBETWEEN(1,100)+RANDBETWEEN(1,100)+RANDBETWEEN(1,100)+RANDBETWEEN(1,100)+RANDBETWEEN(1,100)</f>
        <v>366</v>
      </c>
      <c r="K9" s="280">
        <f ca="1">RANDBETWEEN(1,100)+RANDBETWEEN(1,100)+RANDBETWEEN(1,100)+RANDBETWEEN(1,100)+RANDBETWEEN(1,100)+RANDBETWEEN(1,100)+RANDBETWEEN(1,100)+RANDBETWEEN(1,100)+RANDBETWEEN(1,100)</f>
        <v>351</v>
      </c>
      <c r="L9" s="14">
        <f ca="1">RANDBETWEEN(1,100)+RANDBETWEEN(1,100)+RANDBETWEEN(1,100)+RANDBETWEEN(1,100)+RANDBETWEEN(1,100)+RANDBETWEEN(1,100)+RANDBETWEEN(1,100)+RANDBETWEEN(1,100)+RANDBETWEEN(1,100)+RANDBETWEEN(1,100)</f>
        <v>549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</row>
    <row r="27" spans="1:26" x14ac:dyDescent="0.3">
      <c r="A27" s="1"/>
      <c r="C27" s="1"/>
      <c r="D27" s="1"/>
      <c r="E27" s="1"/>
      <c r="F27" s="1"/>
      <c r="X27" s="54"/>
      <c r="Y27" s="54"/>
      <c r="Z27" s="54"/>
    </row>
    <row r="28" spans="1:26" x14ac:dyDescent="0.3">
      <c r="A28" s="1"/>
      <c r="C28" s="1"/>
      <c r="D28" s="1"/>
      <c r="E28" s="1"/>
      <c r="F28" s="1"/>
      <c r="X28" s="54"/>
      <c r="Y28" s="54"/>
      <c r="Z28" s="54"/>
    </row>
    <row r="29" spans="1:26" x14ac:dyDescent="0.3">
      <c r="A29" s="1"/>
      <c r="C29" s="1"/>
      <c r="D29" s="1"/>
      <c r="E29" s="1"/>
      <c r="F29" s="1"/>
      <c r="U29" s="54"/>
      <c r="V29" s="54"/>
      <c r="W29" s="54"/>
      <c r="X29" s="54"/>
      <c r="Y29" s="54"/>
      <c r="Z29" s="54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Initiative</vt:lpstr>
      <vt:lpstr>Spells</vt:lpstr>
      <vt:lpstr>Sligson</vt:lpstr>
      <vt:lpstr>Attacks, foes</vt:lpstr>
      <vt:lpstr>Attacks, allies</vt:lpstr>
      <vt:lpstr>Saves</vt:lpstr>
      <vt:lpstr>hps</vt:lpstr>
      <vt:lpstr>Rolls</vt:lpstr>
      <vt:lpstr>Sligson!Print_Area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Battle Tally</dc:title>
  <dc:creator>Alexis Álvarez</dc:creator>
  <cp:lastModifiedBy>Alexis Álvarez</cp:lastModifiedBy>
  <cp:lastPrinted>2020-03-11T08:04:14Z</cp:lastPrinted>
  <dcterms:created xsi:type="dcterms:W3CDTF">2014-01-30T16:13:23Z</dcterms:created>
  <dcterms:modified xsi:type="dcterms:W3CDTF">2021-12-12T10:35:33Z</dcterms:modified>
</cp:coreProperties>
</file>