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FoL\PCs\"/>
    </mc:Choice>
  </mc:AlternateContent>
  <xr:revisionPtr revIDLastSave="0" documentId="13_ncr:1_{329B3711-182F-4B5C-ACDA-938BBF1207ED}" xr6:coauthVersionLast="45" xr6:coauthVersionMax="45" xr10:uidLastSave="{00000000-0000-0000-0000-000000000000}"/>
  <bookViews>
    <workbookView xWindow="732" yWindow="660" windowWidth="20496" windowHeight="1161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 l="1"/>
  <c r="B9" i="4" l="1"/>
  <c r="I10" i="6" l="1"/>
  <c r="I9" i="6"/>
  <c r="G25" i="6" l="1"/>
  <c r="I3" i="6" l="1"/>
  <c r="I4" i="6"/>
  <c r="I5" i="6"/>
  <c r="I6" i="6"/>
  <c r="G21" i="19" l="1"/>
  <c r="C21" i="19"/>
  <c r="G13" i="19" l="1"/>
  <c r="G12" i="19"/>
  <c r="C12" i="19"/>
  <c r="I15" i="6" l="1"/>
  <c r="M24" i="6" l="1"/>
  <c r="G24" i="6"/>
  <c r="E8" i="23" l="1"/>
  <c r="H35" i="15" l="1"/>
  <c r="H34" i="15"/>
  <c r="H33" i="15"/>
  <c r="H32" i="15"/>
  <c r="H31" i="15"/>
  <c r="H30" i="15"/>
  <c r="H29" i="15"/>
  <c r="H28" i="15"/>
  <c r="H27" i="15"/>
  <c r="H26" i="15"/>
  <c r="H25" i="15"/>
  <c r="H24" i="15"/>
  <c r="H23" i="15"/>
  <c r="H22" i="15"/>
  <c r="H21" i="15"/>
  <c r="H20" i="15"/>
  <c r="H19" i="15"/>
  <c r="H18" i="15"/>
  <c r="H17" i="15"/>
  <c r="H16" i="15"/>
  <c r="H15" i="15"/>
  <c r="H14" i="15"/>
  <c r="H13" i="15"/>
  <c r="H12" i="15"/>
  <c r="H11" i="15"/>
  <c r="H10" i="15"/>
  <c r="M14" i="6" l="1"/>
  <c r="G36" i="19" l="1"/>
  <c r="G22" i="19" l="1"/>
  <c r="C22" i="19"/>
  <c r="C34" i="19" l="1"/>
  <c r="G34" i="19"/>
  <c r="G33" i="19"/>
  <c r="G25" i="19"/>
  <c r="C25" i="19"/>
  <c r="A6" i="23" l="1"/>
  <c r="C37" i="19"/>
  <c r="B37" i="19" s="1"/>
  <c r="B1" i="24" l="1"/>
  <c r="C7" i="24"/>
  <c r="B11" i="24" s="1"/>
  <c r="B13" i="24" s="1"/>
  <c r="B15" i="24" s="1"/>
  <c r="C13" i="19" l="1"/>
  <c r="G38" i="19"/>
  <c r="G10" i="19"/>
  <c r="I8" i="6"/>
  <c r="F20" i="15"/>
  <c r="H43" i="15"/>
  <c r="H42" i="15"/>
  <c r="H41" i="15"/>
  <c r="H40" i="15"/>
  <c r="H39" i="15"/>
  <c r="H38" i="15"/>
  <c r="H37" i="15"/>
  <c r="H36" i="15"/>
  <c r="H9" i="15"/>
  <c r="H8" i="15" l="1"/>
  <c r="C10" i="19" l="1"/>
  <c r="B45" i="15" l="1"/>
  <c r="F42" i="15" l="1"/>
  <c r="F36" i="15"/>
  <c r="F27" i="15"/>
  <c r="F23" i="15"/>
  <c r="F21" i="15"/>
  <c r="F16" i="15"/>
  <c r="F7" i="15"/>
  <c r="I14" i="6" l="1"/>
  <c r="F9" i="15" l="1"/>
  <c r="I7" i="6" l="1"/>
  <c r="I11" i="6" l="1"/>
  <c r="E12" i="4" l="1"/>
  <c r="I16" i="6" l="1"/>
  <c r="H44" i="15" l="1"/>
  <c r="H5" i="15"/>
  <c r="H4" i="15"/>
  <c r="H3" i="15"/>
  <c r="H7" i="15"/>
  <c r="H6" i="15"/>
  <c r="C16" i="4" l="1"/>
  <c r="C15" i="4"/>
  <c r="C14" i="4"/>
  <c r="C13" i="4"/>
  <c r="E13" i="4" s="1"/>
  <c r="C12" i="4"/>
  <c r="C11" i="4"/>
  <c r="C8" i="6" l="1"/>
  <c r="C6" i="6"/>
  <c r="C3" i="6"/>
  <c r="C9" i="6"/>
  <c r="C7" i="6"/>
  <c r="B10" i="4"/>
  <c r="H15" i="6"/>
  <c r="J15" i="6" s="1"/>
  <c r="H16" i="6"/>
  <c r="J16" i="6" s="1"/>
  <c r="C10" i="6"/>
  <c r="H10" i="6"/>
  <c r="J10" i="6" s="1"/>
  <c r="H9" i="6"/>
  <c r="J9" i="6" s="1"/>
  <c r="C5" i="6"/>
  <c r="H5" i="6"/>
  <c r="J5" i="6" s="1"/>
  <c r="H3" i="6"/>
  <c r="J3" i="6" s="1"/>
  <c r="H6" i="6"/>
  <c r="J6" i="6" s="1"/>
  <c r="C4" i="6"/>
  <c r="H4" i="6"/>
  <c r="J4" i="6" s="1"/>
  <c r="C14" i="6"/>
  <c r="D25" i="15"/>
  <c r="E50" i="15"/>
  <c r="D31" i="15"/>
  <c r="D32" i="15"/>
  <c r="E6" i="23"/>
  <c r="E3" i="23"/>
  <c r="E4" i="23"/>
  <c r="E5" i="23"/>
  <c r="E48" i="15"/>
  <c r="E47" i="15"/>
  <c r="E46" i="15"/>
  <c r="D37" i="15"/>
  <c r="H8" i="6"/>
  <c r="J8" i="6" s="1"/>
  <c r="E14" i="4"/>
  <c r="E16" i="4" s="1"/>
  <c r="E15" i="4" s="1"/>
  <c r="H14" i="6"/>
  <c r="H11" i="6"/>
  <c r="J11" i="6" s="1"/>
  <c r="H7" i="6"/>
  <c r="D24" i="15"/>
  <c r="D6" i="15"/>
  <c r="G6" i="15" s="1"/>
  <c r="D4" i="15"/>
  <c r="D5" i="15"/>
  <c r="D3" i="15"/>
  <c r="D38" i="15"/>
  <c r="D40" i="15"/>
  <c r="D30" i="15"/>
  <c r="D42" i="15"/>
  <c r="D39" i="15"/>
  <c r="D41" i="15"/>
  <c r="D34" i="15"/>
  <c r="D19" i="15"/>
  <c r="D43" i="15"/>
  <c r="D28" i="15"/>
  <c r="D36" i="15"/>
  <c r="D14" i="15"/>
  <c r="D12" i="15"/>
  <c r="D44" i="15"/>
  <c r="D35" i="15"/>
  <c r="D33" i="15"/>
  <c r="D29" i="15"/>
  <c r="D27" i="15"/>
  <c r="D26" i="15"/>
  <c r="D23" i="15"/>
  <c r="D22" i="15"/>
  <c r="D21" i="15"/>
  <c r="D20" i="15"/>
  <c r="D18" i="15"/>
  <c r="D17" i="15"/>
  <c r="D16" i="15"/>
  <c r="D15" i="15"/>
  <c r="D13" i="15"/>
  <c r="D11" i="15"/>
  <c r="D10" i="15"/>
  <c r="D9" i="15"/>
  <c r="D8" i="15"/>
  <c r="D7" i="15"/>
  <c r="E32" i="15" l="1"/>
  <c r="G32" i="15"/>
  <c r="I32" i="15" s="1"/>
  <c r="G31" i="15"/>
  <c r="I31" i="15" s="1"/>
  <c r="E31" i="15"/>
  <c r="E25" i="15"/>
  <c r="G25" i="15"/>
  <c r="I25" i="15" s="1"/>
  <c r="E45" i="15"/>
  <c r="E37" i="15"/>
  <c r="G37" i="15"/>
  <c r="I37" i="15" s="1"/>
  <c r="J14" i="6"/>
  <c r="J7" i="6"/>
  <c r="G24" i="15"/>
  <c r="I24" i="15" s="1"/>
  <c r="E24" i="15"/>
  <c r="E6" i="15"/>
  <c r="I6" i="15"/>
  <c r="E22" i="15"/>
  <c r="G22" i="15"/>
  <c r="E8" i="15"/>
  <c r="G8" i="15"/>
  <c r="E18" i="15"/>
  <c r="G18" i="15"/>
  <c r="E23" i="15"/>
  <c r="G23" i="15"/>
  <c r="E33" i="15"/>
  <c r="G33" i="15"/>
  <c r="E14" i="15"/>
  <c r="G14" i="15"/>
  <c r="E19" i="15"/>
  <c r="G19" i="15"/>
  <c r="E42" i="15"/>
  <c r="G42" i="15"/>
  <c r="E40" i="15"/>
  <c r="G40" i="15"/>
  <c r="E11" i="15"/>
  <c r="G11" i="15"/>
  <c r="E12" i="15"/>
  <c r="G12" i="15"/>
  <c r="E9" i="15"/>
  <c r="G9" i="15"/>
  <c r="E20" i="15"/>
  <c r="G20" i="15"/>
  <c r="E35" i="15"/>
  <c r="G35" i="15"/>
  <c r="E34" i="15"/>
  <c r="G34" i="15"/>
  <c r="E30" i="15"/>
  <c r="G30" i="15"/>
  <c r="E4" i="15"/>
  <c r="G4" i="15"/>
  <c r="E7" i="15"/>
  <c r="G7" i="15"/>
  <c r="E29" i="15"/>
  <c r="G29" i="15"/>
  <c r="E13" i="15"/>
  <c r="G13" i="15"/>
  <c r="E15" i="15"/>
  <c r="G15" i="15"/>
  <c r="E26" i="15"/>
  <c r="G26" i="15"/>
  <c r="E36" i="15"/>
  <c r="G36" i="15"/>
  <c r="E10" i="15"/>
  <c r="G10" i="15"/>
  <c r="E16" i="15"/>
  <c r="G16" i="15"/>
  <c r="E21" i="15"/>
  <c r="G21" i="15"/>
  <c r="E27" i="15"/>
  <c r="G27" i="15"/>
  <c r="E44" i="15"/>
  <c r="G44" i="15"/>
  <c r="E28" i="15"/>
  <c r="G28" i="15"/>
  <c r="E41" i="15"/>
  <c r="G41" i="15"/>
  <c r="E38" i="15"/>
  <c r="G38" i="15"/>
  <c r="E17" i="15"/>
  <c r="G17" i="15"/>
  <c r="E43" i="15"/>
  <c r="G43" i="15"/>
  <c r="E39" i="15"/>
  <c r="G39" i="15"/>
  <c r="E3" i="15"/>
  <c r="G3" i="15"/>
  <c r="E5" i="15"/>
  <c r="G5" i="15"/>
  <c r="I3" i="15" l="1"/>
  <c r="I27" i="15"/>
  <c r="I16" i="15"/>
  <c r="I15" i="15"/>
  <c r="I29" i="15"/>
  <c r="I39" i="15"/>
  <c r="I17" i="15"/>
  <c r="I41" i="15"/>
  <c r="I44" i="15"/>
  <c r="I21" i="15"/>
  <c r="I10" i="15"/>
  <c r="I26" i="15"/>
  <c r="I13" i="15"/>
  <c r="I7" i="15"/>
  <c r="I30" i="15"/>
  <c r="I35" i="15"/>
  <c r="I9" i="15"/>
  <c r="I11" i="15"/>
  <c r="I40" i="15"/>
  <c r="I19" i="15"/>
  <c r="I33" i="15"/>
  <c r="I38" i="15"/>
  <c r="I28" i="15"/>
  <c r="I36" i="15"/>
  <c r="I4" i="15"/>
  <c r="I34" i="15"/>
  <c r="I20" i="15"/>
  <c r="I12" i="15"/>
  <c r="I42" i="15"/>
  <c r="I14" i="15"/>
  <c r="I23" i="15"/>
  <c r="I5" i="15"/>
  <c r="I43" i="15"/>
  <c r="I8" i="15"/>
  <c r="I18" i="15"/>
  <c r="I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E12EC6FD-A57C-4839-A720-D9724B500048}">
      <text>
        <r>
          <rPr>
            <sz val="12"/>
            <color indexed="81"/>
            <rFont val="Times New Roman"/>
            <family val="1"/>
          </rPr>
          <t>Next level at 28,000 XPs</t>
        </r>
      </text>
    </comment>
    <comment ref="B11" authorId="0" shapeId="0" xr:uid="{9825BF8E-DA1D-4B71-A5FC-B4CE914C7A4E}">
      <text>
        <r>
          <rPr>
            <i/>
            <sz val="12"/>
            <color indexed="81"/>
            <rFont val="Times New Roman"/>
            <family val="1"/>
          </rPr>
          <t>bull’s strength +4</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[(4 * 8 Hound Archon) * 75%] +
(4 * 3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3"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D75807C4-CEBA-424A-9A2C-AAA009BABAF7}">
      <text>
        <r>
          <rPr>
            <sz val="12"/>
            <color indexed="81"/>
            <rFont val="Times New Roman"/>
            <family val="1"/>
          </rPr>
          <t>Inspire Courage +2</t>
        </r>
      </text>
    </comment>
    <comment ref="D4" authorId="0" shapeId="0" xr:uid="{90DFADD0-5BF8-40B3-88E3-A910AF584D32}">
      <text>
        <r>
          <rPr>
            <sz val="12"/>
            <color indexed="81"/>
            <rFont val="Times New Roman"/>
            <family val="1"/>
          </rPr>
          <t>Inspire Courage +2</t>
        </r>
      </text>
    </comment>
    <comment ref="D5" authorId="0" shapeId="0" xr:uid="{D6413B91-9A00-40F3-B12B-07690A89BB72}">
      <text>
        <r>
          <rPr>
            <sz val="12"/>
            <color indexed="81"/>
            <rFont val="Times New Roman"/>
            <family val="1"/>
          </rPr>
          <t>Inspire Courage +2</t>
        </r>
      </text>
    </comment>
    <comment ref="D6" authorId="0" shapeId="0" xr:uid="{BCB7FB16-AA1C-42A7-9783-A1813612EFB0}">
      <text>
        <r>
          <rPr>
            <sz val="12"/>
            <color indexed="81"/>
            <rFont val="Times New Roman"/>
            <family val="1"/>
          </rPr>
          <t>Inspire Courage +2</t>
        </r>
      </text>
    </comment>
    <comment ref="D7" authorId="0" shapeId="0" xr:uid="{CE6D66E9-F7B7-4F81-931C-4166517C91C9}">
      <text>
        <r>
          <rPr>
            <sz val="12"/>
            <color indexed="81"/>
            <rFont val="Times New Roman"/>
            <family val="1"/>
          </rPr>
          <t>Inspire Courage +2</t>
        </r>
      </text>
    </comment>
    <comment ref="D8" authorId="0" shapeId="0" xr:uid="{2F3EF980-71E1-4A46-A848-683BBD710C85}">
      <text>
        <r>
          <rPr>
            <sz val="12"/>
            <color indexed="81"/>
            <rFont val="Times New Roman"/>
            <family val="1"/>
          </rPr>
          <t>Inspire Courage +2</t>
        </r>
      </text>
    </comment>
    <comment ref="D9" authorId="0" shapeId="0" xr:uid="{7ECE6499-16B3-41FC-8DCB-B1D9E69544E0}">
      <text>
        <r>
          <rPr>
            <sz val="12"/>
            <color indexed="81"/>
            <rFont val="Times New Roman"/>
            <family val="1"/>
          </rPr>
          <t>Inspire Courage +2</t>
        </r>
      </text>
    </comment>
    <comment ref="D10" authorId="0" shapeId="0" xr:uid="{C6C14DC5-DD0A-4AE6-B962-7D4645D3550F}">
      <text>
        <r>
          <rPr>
            <sz val="12"/>
            <color indexed="81"/>
            <rFont val="Times New Roman"/>
            <family val="1"/>
          </rPr>
          <t>Inspire Courage +2</t>
        </r>
      </text>
    </comment>
    <comment ref="D11" authorId="0" shapeId="0" xr:uid="{325AE1F5-E401-4A7D-8170-0A2172B696B0}">
      <text>
        <r>
          <rPr>
            <sz val="12"/>
            <color indexed="81"/>
            <rFont val="Times New Roman"/>
            <family val="1"/>
          </rPr>
          <t>Inspire Courage +2</t>
        </r>
      </text>
    </comment>
    <comment ref="D18" authorId="0" shapeId="0" xr:uid="{00000000-0006-0000-0500-00000A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7" authorId="0" shapeId="0" xr:uid="{BA9D9EB4-DC17-4966-A691-AECAFDA71F71}">
      <text>
        <r>
          <rPr>
            <b/>
            <sz val="12"/>
            <color indexed="81"/>
            <rFont val="Times New Roman"/>
            <family val="1"/>
          </rPr>
          <t xml:space="preserve">Price (Item Level):  </t>
        </r>
        <r>
          <rPr>
            <sz val="12"/>
            <color indexed="81"/>
            <rFont val="Times New Roman"/>
            <family val="1"/>
          </rPr>
          <t xml:space="preserve">4,000 gp (8th)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 xml:space="preserve">1 lb.
Each of these bronze bracers is engraved with an image of an open eye.
Wearing bracers of accuracy allows you to make ranged attacks with extreme precision. The bracers have 3 charges, which are renewed each day at dawn.  Spending 1 or more charges grants a benefit to all ranged attacks you make before the end of your turn.
</t>
        </r>
        <r>
          <rPr>
            <b/>
            <sz val="12"/>
            <color indexed="81"/>
            <rFont val="Times New Roman"/>
            <family val="1"/>
          </rPr>
          <t xml:space="preserve">1 charge:  </t>
        </r>
        <r>
          <rPr>
            <sz val="12"/>
            <color indexed="81"/>
            <rFont val="Times New Roman"/>
            <family val="1"/>
          </rPr>
          <t xml:space="preserve">Ignore AC bonus from cover (except total cover) for all targets.
</t>
        </r>
        <r>
          <rPr>
            <b/>
            <sz val="12"/>
            <color indexed="81"/>
            <rFont val="Times New Roman"/>
            <family val="1"/>
          </rPr>
          <t xml:space="preserve">2 charges:  </t>
        </r>
        <r>
          <rPr>
            <sz val="12"/>
            <color indexed="81"/>
            <rFont val="Times New Roman"/>
            <family val="1"/>
          </rPr>
          <t xml:space="preserve">Ignore miss chance from concealment (except total concealment), including miss chances from effects such as blur or displacement (but not incorporeality), for all targets.
</t>
        </r>
        <r>
          <rPr>
            <b/>
            <sz val="12"/>
            <color indexed="81"/>
            <rFont val="Times New Roman"/>
            <family val="1"/>
          </rPr>
          <t xml:space="preserve">3 charges:  </t>
        </r>
        <r>
          <rPr>
            <sz val="12"/>
            <color indexed="81"/>
            <rFont val="Times New Roman"/>
            <family val="1"/>
          </rPr>
          <t>Ignore both cover and concealment (as previous entries) for all targets.
MIC 79</t>
        </r>
      </text>
    </comment>
    <comment ref="A14" authorId="0" shapeId="0" xr:uid="{BFEBF03B-5812-42CB-A476-5F7E41F8231D}">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<sst xmlns="http://schemas.openxmlformats.org/spreadsheetml/2006/main" count="949" uniqueCount="378">
  <si>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</si>
  <si>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</si>
  <si>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</si>
  <si>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</si>
  <si>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</si>
  <si>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</si>
  <si>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</si>
  <si>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</si>
  <si>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</si>
  <si>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</si>
  <si>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</si>
  <si>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</si>
  <si>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</si>
  <si>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</si>
  <si>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</si>
  <si>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</si>
  <si>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</si>
  <si>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</si>
  <si>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</si>
  <si>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</si>
  <si>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</si>
  <si>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</si>
  <si>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</si>
  <si>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</si>
  <si>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</si>
  <si>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</si>
  <si>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</si>
  <si>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</si>
  <si>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</si>
  <si>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</si>
  <si>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</si>
  <si>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</si>
  <si>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</si>
  <si>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</si>
  <si>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</si>
  <si>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</si>
  <si>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</si>
  <si>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</si>
  <si>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</si>
  <si>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</si>
  <si>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</si>
  <si>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</si>
  <si>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</si>
  <si>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</si>
  <si>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</si>
  <si>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</si>
  <si>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</si>
  <si>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</si>
  <si>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</si>
  <si>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</si>
  <si>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</si>
  <si>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</si>
  <si>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</si>
  <si>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</si>
  <si>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</si>
  <si>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</si>
  <si>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</si>
  <si>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</si>
  <si>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</si>
  <si>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</si>
  <si>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</si>
  <si>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</si>
  <si>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</si>
  <si>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</si>
  <si>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</si>
  <si>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</si>
  <si>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</si>
  <si>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</si>
  <si>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</si>
  <si>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</si>
  <si>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</si>
  <si>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</si>
  <si>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</si>
  <si>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</si>
  <si>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</si>
  <si>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</si>
  <si>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</si>
  <si>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</si>
  <si>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</si>
  <si>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</si>
  <si>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</si>
  <si>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</si>
  <si>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</si>
  <si>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</si>
  <si>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</si>
  <si>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</si>
  <si>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</si>
  <si>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</si>
  <si>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</si>
  <si>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</si>
  <si>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</si>
  <si>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</si>
  <si>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</si>
  <si>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</si>
  <si>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</si>
  <si>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</si>
  <si>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</si>
  <si>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</si>
  <si>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</si>
  <si>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</si>
  <si>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</si>
  <si>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</si>
  <si>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</si>
  <si>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</si>
  <si>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</si>
  <si>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</si>
  <si>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</si>
  <si>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</si>
  <si>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</si>
  <si>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</si>
  <si>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</si>
  <si>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</si>
  <si>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</si>
  <si>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</si>
  <si>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</si>
  <si>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</si>
  <si>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</si>
  <si>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</si>
  <si>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</si>
  <si>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</si>
  <si>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</si>
  <si>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</si>
  <si>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</si>
  <si>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</si>
  <si>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</si>
  <si>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</si>
  <si>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</si>
  <si>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</si>
  <si>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</si>
  <si>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</si>
  <si>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</si>
  <si>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</si>
  <si>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</si>
  <si>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</si>
  <si>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</si>
  <si>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</si>
  <si>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</si>
  <si>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</si>
  <si>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</si>
  <si>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</si>
  <si>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</si>
  <si>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</si>
  <si>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</si>
  <si>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</si>
  <si>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</si>
  <si>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</si>
  <si>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</si>
  <si>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</si>
  <si>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</si>
  <si>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</si>
  <si>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</si>
  <si>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</si>
  <si>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</si>
  <si>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</si>
  <si>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</si>
  <si>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</si>
  <si>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</si>
  <si>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</si>
  <si>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</si>
  <si>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</si>
  <si>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</si>
  <si>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</si>
  <si>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</si>
  <si>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</si>
  <si>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</si>
  <si>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</si>
  <si>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</si>
  <si>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</si>
  <si>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</si>
  <si>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</si>
  <si>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</si>
  <si>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</si>
  <si>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</si>
  <si>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</si>
  <si>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</si>
  <si>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</si>
  <si>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</si>
  <si>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</si>
  <si>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</si>
  <si>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</si>
  <si>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</si>
  <si>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</si>
  <si>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</si>
  <si>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</si>
  <si>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</si>
  <si>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</si>
  <si>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</si>
  <si>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</si>
  <si>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</si>
  <si>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</si>
  <si>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</si>
  <si>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</si>
  <si>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</si>
  <si>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</si>
  <si>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</si>
  <si>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</si>
  <si>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</si>
  <si>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</si>
  <si>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</si>
  <si>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</si>
  <si>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</si>
  <si>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</si>
  <si>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</si>
  <si>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</si>
  <si>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</si>
  <si>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</si>
  <si>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</si>
  <si>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</si>
  <si>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</si>
  <si>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</si>
  <si>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</si>
  <si>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</si>
  <si>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</si>
  <si>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</si>
  <si>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</si>
  <si>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</si>
  <si>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</si>
  <si>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</si>
  <si>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</si>
  <si>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</si>
  <si>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</si>
  <si>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</si>
  <si>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</si>
  <si>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</si>
  <si>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</si>
  <si>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</si>
  <si>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</si>
  <si>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</si>
  <si>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</si>
  <si>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</si>
  <si>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</si>
  <si>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Backpack</t>
  </si>
  <si>
    <t>Blanket, Winter</t>
  </si>
  <si>
    <t>Flint &amp; Steel</t>
  </si>
  <si>
    <t>Healer’s Kit</t>
  </si>
  <si>
    <t>Climber’s Kit</t>
  </si>
  <si>
    <t>Rations</t>
  </si>
  <si>
    <t>Waterskin</t>
  </si>
  <si>
    <t>Dmg</t>
  </si>
  <si>
    <t>Spells Granted by Tyr</t>
  </si>
  <si>
    <t>Hound Archon 1</t>
  </si>
  <si>
    <t>Good, Lawful</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</si>
  <si>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</si>
  <si>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</si>
  <si>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</si>
  <si>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</si>
  <si>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</si>
  <si>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215 lbs.</t>
  </si>
  <si>
    <t>Craft:  Leatherworking</t>
  </si>
  <si>
    <t>Knowledge:  Arcana</t>
  </si>
  <si>
    <t>Profession:  Brewer</t>
  </si>
  <si>
    <t>1st:  Improved Initiative</t>
  </si>
  <si>
    <t>Peasant’s Outfit</t>
  </si>
  <si>
    <t>Dagger 1</t>
  </si>
  <si>
    <t>Dagger 2</t>
  </si>
  <si>
    <t>19-20/x2</t>
  </si>
  <si>
    <t>Slashing</t>
  </si>
  <si>
    <t>Slsh/Prc</t>
  </si>
  <si>
    <t>1d4</t>
  </si>
  <si>
    <t>two</t>
  </si>
  <si>
    <t>1 sp</t>
  </si>
  <si>
    <t>Tindertwig</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</si>
  <si>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</si>
  <si>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</si>
  <si>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</si>
  <si>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</si>
  <si>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</si>
  <si>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</si>
  <si>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</si>
  <si>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</si>
  <si>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</si>
  <si>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</si>
  <si>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</si>
  <si>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</si>
  <si>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</si>
  <si>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</si>
  <si>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</si>
  <si>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</si>
  <si>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</si>
  <si>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</si>
  <si>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</si>
  <si>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</si>
  <si>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</si>
  <si>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</si>
  <si>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</si>
  <si>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</si>
  <si>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</si>
  <si>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</si>
  <si>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</si>
  <si>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</si>
  <si>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</si>
  <si>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</si>
  <si>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</si>
  <si>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</si>
  <si>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</si>
  <si>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</si>
  <si>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</si>
  <si>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</si>
  <si>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</si>
  <si>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</si>
  <si>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Thoroughness and clarity</t>
  </si>
  <si>
    <t>Consistency with other characters’ actions and setting description</t>
  </si>
  <si>
    <t>Convincing role-playing and character development</t>
  </si>
  <si>
    <t>Level-appropriate use of skills, feats, limitations, and other features</t>
  </si>
  <si>
    <t>Hound Archon 2</t>
  </si>
  <si>
    <t>Hound Archon 3</t>
  </si>
  <si>
    <t>Feat 3:  Quick Draw</t>
  </si>
  <si>
    <t>Slam 1</t>
  </si>
  <si>
    <t>Slam 2</t>
  </si>
  <si>
    <t>Bludgeon</t>
  </si>
  <si>
    <t>Natural Armor</t>
  </si>
  <si>
    <t>DC</t>
  </si>
  <si>
    <t>Message</t>
  </si>
  <si>
    <t>Aid</t>
  </si>
  <si>
    <t>Continual Flame</t>
  </si>
  <si>
    <t>Detect Evil</t>
  </si>
  <si>
    <t>Mithral Chain Shirt</t>
  </si>
  <si>
    <t>Electricity Resistance 10</t>
  </si>
  <si>
    <t>Heward’s Handy Haversack</t>
  </si>
  <si>
    <t>% Full:</t>
  </si>
  <si>
    <t>Celestial, Infernal, Draconic</t>
  </si>
  <si>
    <t>Iron Rations</t>
  </si>
  <si>
    <t>Silk Rope, 50’</t>
  </si>
  <si>
    <t>Spare Clothing</t>
  </si>
  <si>
    <t>Bottles Dragon’s Tears Wine</t>
  </si>
  <si>
    <t>Soft Equity Ceiling:</t>
  </si>
  <si>
    <t>Hound Archon 4</t>
  </si>
  <si>
    <t>Hound Archon 5</t>
  </si>
  <si>
    <t>DR 5/+1</t>
  </si>
  <si>
    <t>Hound Archon 6</t>
  </si>
  <si>
    <t>Knowledge:  Religion</t>
  </si>
  <si>
    <t>Profession:  Winemaker</t>
  </si>
  <si>
    <t>Profession:  Distiller</t>
  </si>
  <si>
    <t>Leatherworking Kit</t>
  </si>
  <si>
    <t>Platinum Tankard</t>
  </si>
  <si>
    <t>50 pages</t>
  </si>
  <si>
    <t>Brewer’s Book</t>
  </si>
  <si>
    <t>Distiller’s Book</t>
  </si>
  <si>
    <t>Winepresser’s Book</t>
  </si>
  <si>
    <t>Ring of Protection +1</t>
  </si>
  <si>
    <t>Tent</t>
  </si>
  <si>
    <t>Dried Fruit and Nuts</t>
  </si>
  <si>
    <t>Sack</t>
  </si>
  <si>
    <t>CL:</t>
  </si>
  <si>
    <t>1d8</t>
  </si>
  <si>
    <t>Scent 30’</t>
  </si>
  <si>
    <t>3rd:  Quick Change</t>
  </si>
  <si>
    <t>Holy Symbol of Tyr</t>
  </si>
  <si>
    <t>6-pack Holder</t>
  </si>
  <si>
    <t>Custom-made</t>
  </si>
  <si>
    <t>Platinum Corked Bottles</t>
  </si>
  <si>
    <t>1</t>
  </si>
  <si>
    <t>x3</t>
  </si>
  <si>
    <t>110’</t>
  </si>
  <si>
    <t>Bracers of Accuracy</t>
  </si>
  <si>
    <t>Longsword</t>
  </si>
  <si>
    <t>MW Composite +2 Longbow +1</t>
  </si>
  <si>
    <t>Speak Language:  [language]</t>
  </si>
  <si>
    <t>Arrows</t>
  </si>
  <si>
    <t>+0</t>
  </si>
  <si>
    <t>Thrown Item</t>
  </si>
  <si>
    <t>varies</t>
  </si>
  <si>
    <t>10’</t>
  </si>
  <si>
    <t>2nd Thrown Item</t>
  </si>
  <si>
    <t xml:space="preserve">Tongues, Common, </t>
  </si>
  <si>
    <t>Gold Coins</t>
  </si>
  <si>
    <t>Platinum Coins</t>
  </si>
  <si>
    <t>Sturdy Bowl</t>
  </si>
  <si>
    <t>MW Candles</t>
  </si>
  <si>
    <t>Belt with Pouches</t>
  </si>
  <si>
    <t>Feats</t>
  </si>
  <si>
    <t>Attention to spelling &amp; punctuation; consistent use of past tense, third person</t>
  </si>
  <si>
    <t>At-Will Abilities</t>
  </si>
  <si>
    <t>Touch/Grapple</t>
  </si>
  <si>
    <t>Arrows, Silver</t>
  </si>
  <si>
    <t>Hand Axe</t>
  </si>
  <si>
    <t>Hand Axe, Silver</t>
  </si>
  <si>
    <t>1d6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</si>
</sst>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1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
      <left style="medium">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85">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49" fontId="20" fillId="12" borderId="12" xfId="0" applyNumberFormat="1" applyFont="1" applyFill="1" applyBorder="1" applyAlignment="1">
      <alignment horizontal="center" vertical="center"/>
    </xf>
    <xf numFmtId="0" fontId="20" fillId="12" borderId="16" xfId="0" applyFont="1" applyFill="1" applyBorder="1" applyAlignment="1">
      <alignment horizontal="center" vertical="center"/>
    </xf>
    <xf numFmtId="0" fontId="45" fillId="10" borderId="16" xfId="0" applyFont="1" applyFill="1" applyBorder="1" applyAlignment="1">
      <alignment horizontal="center" vertical="center"/>
    </xf>
    <xf numFmtId="0" fontId="20" fillId="12"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2" borderId="16" xfId="0" applyFont="1" applyFill="1" applyBorder="1" applyAlignment="1">
      <alignment horizontal="centerContinuous" vertical="center"/>
    </xf>
    <xf numFmtId="0" fontId="20" fillId="12" borderId="53" xfId="0" applyFont="1" applyFill="1" applyBorder="1" applyAlignment="1">
      <alignment horizontal="centerContinuous" vertical="center"/>
    </xf>
    <xf numFmtId="0" fontId="20" fillId="12"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2" borderId="14" xfId="0" applyFont="1" applyFill="1" applyBorder="1" applyAlignment="1">
      <alignment horizontal="centerContinuous" vertical="center"/>
    </xf>
    <xf numFmtId="0" fontId="20" fillId="12" borderId="15" xfId="0" applyFont="1" applyFill="1" applyBorder="1" applyAlignment="1">
      <alignment horizontal="centerContinuous"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0"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0"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3" borderId="22" xfId="0" applyNumberFormat="1" applyFont="1" applyFill="1" applyBorder="1" applyAlignment="1">
      <alignment horizontal="center" vertical="center"/>
    </xf>
    <xf numFmtId="49" fontId="7" fillId="13" borderId="23" xfId="0" applyNumberFormat="1" applyFont="1" applyFill="1" applyBorder="1" applyAlignment="1">
      <alignment horizontal="center" vertical="center"/>
    </xf>
    <xf numFmtId="0" fontId="7" fillId="13"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3"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2" xfId="0" applyNumberFormat="1" applyFont="1" applyFill="1" applyBorder="1" applyAlignment="1">
      <alignment horizontal="center" vertical="center"/>
    </xf>
    <xf numFmtId="0" fontId="15" fillId="13"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0"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9" borderId="17" xfId="0" applyFont="1" applyFill="1" applyBorder="1" applyAlignment="1">
      <alignment horizontal="centerContinuous" vertical="center" wrapText="1"/>
    </xf>
    <xf numFmtId="0" fontId="11" fillId="9" borderId="18"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11" fillId="9"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8"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3" borderId="1" xfId="0" applyFont="1" applyFill="1" applyBorder="1" applyAlignment="1">
      <alignment vertical="center"/>
    </xf>
    <xf numFmtId="49" fontId="16" fillId="13" borderId="22" xfId="0" applyNumberFormat="1" applyFont="1" applyFill="1" applyBorder="1" applyAlignment="1">
      <alignment horizontal="center" vertical="center"/>
    </xf>
    <xf numFmtId="0" fontId="16" fillId="13"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2" borderId="78" xfId="0" applyFont="1" applyFill="1" applyBorder="1" applyAlignment="1">
      <alignment horizontal="center" vertical="center"/>
    </xf>
    <xf numFmtId="0" fontId="2" fillId="0" borderId="0" xfId="0" applyFont="1" applyBorder="1" applyAlignment="1">
      <alignment vertical="center"/>
    </xf>
    <xf numFmtId="1" fontId="20" fillId="12"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0"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1"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3"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2"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3" borderId="1" xfId="0" applyFont="1" applyFill="1" applyBorder="1" applyAlignment="1">
      <alignment vertical="center"/>
    </xf>
    <xf numFmtId="49" fontId="27" fillId="13" borderId="22" xfId="0" applyNumberFormat="1" applyFont="1" applyFill="1" applyBorder="1" applyAlignment="1">
      <alignment horizontal="center" vertical="center"/>
    </xf>
    <xf numFmtId="0" fontId="27" fillId="13"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0" fillId="0" borderId="28" xfId="0" applyFont="1" applyBorder="1" applyAlignment="1">
      <alignment horizontal="centerContinuous" vertical="center"/>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wrapText="1"/>
    </xf>
    <xf numFmtId="0" fontId="13" fillId="14" borderId="1" xfId="0" applyFont="1" applyFill="1" applyBorder="1" applyAlignment="1">
      <alignment vertical="center"/>
    </xf>
    <xf numFmtId="0" fontId="7" fillId="14" borderId="22" xfId="0" applyNumberFormat="1" applyFont="1" applyFill="1" applyBorder="1" applyAlignment="1">
      <alignment horizontal="center" vertical="center"/>
    </xf>
    <xf numFmtId="49" fontId="22" fillId="14" borderId="22" xfId="0" applyNumberFormat="1" applyFont="1" applyFill="1" applyBorder="1" applyAlignment="1">
      <alignment horizontal="center" vertical="center"/>
    </xf>
    <xf numFmtId="0" fontId="22" fillId="14" borderId="23" xfId="0" applyNumberFormat="1" applyFont="1" applyFill="1" applyBorder="1" applyAlignment="1">
      <alignment horizontal="center" vertical="center"/>
    </xf>
    <xf numFmtId="0" fontId="13" fillId="14" borderId="23"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9" fillId="13" borderId="1" xfId="0" applyFont="1" applyFill="1" applyBorder="1" applyAlignment="1">
      <alignment vertical="center"/>
    </xf>
    <xf numFmtId="49" fontId="26" fillId="13" borderId="22" xfId="0" applyNumberFormat="1" applyFont="1" applyFill="1" applyBorder="1" applyAlignment="1">
      <alignment horizontal="center" vertical="center"/>
    </xf>
    <xf numFmtId="0" fontId="26" fillId="13"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3" fillId="2" borderId="66" xfId="0" applyFont="1" applyFill="1" applyBorder="1" applyAlignment="1">
      <alignment horizontal="right" vertical="center"/>
    </xf>
    <xf numFmtId="0" fontId="53"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0"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0" fontId="2" fillId="0" borderId="72" xfId="0"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1" borderId="1" xfId="0" applyFont="1" applyFill="1" applyBorder="1" applyAlignment="1">
      <alignment horizontal="center" vertical="center" shrinkToFit="1"/>
    </xf>
    <xf numFmtId="0" fontId="7" fillId="11" borderId="22" xfId="0" applyFont="1" applyFill="1" applyBorder="1" applyAlignment="1">
      <alignment horizontal="center" vertical="center" wrapText="1"/>
    </xf>
    <xf numFmtId="9" fontId="7" fillId="11" borderId="22" xfId="2" applyFont="1" applyFill="1" applyBorder="1" applyAlignment="1">
      <alignment horizontal="center" vertical="center" shrinkToFit="1"/>
    </xf>
    <xf numFmtId="9" fontId="7" fillId="11" borderId="23" xfId="2" applyFont="1" applyFill="1" applyBorder="1" applyAlignment="1">
      <alignment horizontal="center" vertical="center" shrinkToFit="1"/>
    </xf>
    <xf numFmtId="0" fontId="7" fillId="11" borderId="23" xfId="0" applyFont="1" applyFill="1" applyBorder="1" applyAlignment="1">
      <alignment horizontal="center" vertical="center" wrapText="1"/>
    </xf>
    <xf numFmtId="0" fontId="7" fillId="11" borderId="23" xfId="2" applyNumberFormat="1" applyFont="1" applyFill="1" applyBorder="1" applyAlignment="1">
      <alignment horizontal="center" vertical="center" shrinkToFit="1"/>
    </xf>
    <xf numFmtId="0" fontId="7" fillId="11" borderId="24" xfId="0" applyNumberFormat="1" applyFont="1" applyFill="1" applyBorder="1" applyAlignment="1">
      <alignment horizontal="center" vertical="center" wrapText="1"/>
    </xf>
    <xf numFmtId="9" fontId="7" fillId="11" borderId="23" xfId="7" applyFont="1" applyFill="1" applyBorder="1" applyAlignment="1">
      <alignment horizontal="center" vertical="center" shrinkToFit="1"/>
    </xf>
    <xf numFmtId="0" fontId="7" fillId="11" borderId="23" xfId="6" applyNumberFormat="1" applyFont="1" applyFill="1" applyBorder="1" applyAlignment="1">
      <alignment horizontal="center" vertical="center"/>
    </xf>
    <xf numFmtId="0" fontId="7" fillId="11" borderId="23" xfId="7" applyNumberFormat="1" applyFont="1" applyFill="1" applyBorder="1" applyAlignment="1">
      <alignment horizontal="center" vertical="center" shrinkToFit="1"/>
    </xf>
    <xf numFmtId="0" fontId="7" fillId="11" borderId="24" xfId="0" applyNumberFormat="1" applyFont="1" applyFill="1" applyBorder="1" applyAlignment="1">
      <alignment horizontal="center" vertical="center"/>
    </xf>
    <xf numFmtId="0" fontId="7" fillId="11" borderId="23" xfId="0" applyNumberFormat="1" applyFont="1" applyFill="1" applyBorder="1" applyAlignment="1">
      <alignment horizontal="center" vertical="center" shrinkToFit="1"/>
    </xf>
    <xf numFmtId="0" fontId="7" fillId="11" borderId="22" xfId="6" applyFont="1" applyFill="1" applyBorder="1" applyAlignment="1">
      <alignment horizontal="center" vertical="center" shrinkToFit="1"/>
    </xf>
    <xf numFmtId="0" fontId="7" fillId="11" borderId="24" xfId="6" applyNumberFormat="1" applyFont="1" applyFill="1" applyBorder="1" applyAlignment="1">
      <alignment horizontal="center" vertical="center" wrapText="1"/>
    </xf>
    <xf numFmtId="0" fontId="7" fillId="11" borderId="29" xfId="0" applyFont="1" applyFill="1" applyBorder="1" applyAlignment="1">
      <alignment horizontal="center" vertical="center" shrinkToFit="1"/>
    </xf>
    <xf numFmtId="0" fontId="7" fillId="11" borderId="47" xfId="0" applyFont="1" applyFill="1" applyBorder="1" applyAlignment="1">
      <alignment horizontal="center" vertical="center" wrapText="1"/>
    </xf>
    <xf numFmtId="9" fontId="7" fillId="11" borderId="47" xfId="2" applyFont="1" applyFill="1" applyBorder="1" applyAlignment="1">
      <alignment horizontal="center" vertical="center" shrinkToFit="1"/>
    </xf>
    <xf numFmtId="9" fontId="7" fillId="11" borderId="9" xfId="2" applyFont="1" applyFill="1" applyBorder="1" applyAlignment="1">
      <alignment horizontal="center" vertical="center" shrinkToFit="1"/>
    </xf>
    <xf numFmtId="0" fontId="7" fillId="11" borderId="9" xfId="2" applyNumberFormat="1" applyFont="1" applyFill="1" applyBorder="1" applyAlignment="1">
      <alignment horizontal="center" vertical="center" shrinkToFit="1"/>
    </xf>
    <xf numFmtId="0" fontId="7" fillId="11" borderId="31" xfId="0" applyNumberFormat="1" applyFont="1" applyFill="1" applyBorder="1" applyAlignment="1">
      <alignment horizontal="center" vertical="center" wrapText="1"/>
    </xf>
    <xf numFmtId="9" fontId="7" fillId="11" borderId="22" xfId="7" applyFont="1" applyFill="1" applyBorder="1" applyAlignment="1">
      <alignment horizontal="center" vertical="center" shrinkToFit="1"/>
    </xf>
    <xf numFmtId="0" fontId="7" fillId="11" borderId="24" xfId="0" quotePrefix="1" applyNumberFormat="1" applyFont="1" applyFill="1" applyBorder="1" applyAlignment="1">
      <alignment horizontal="center" vertical="center" wrapText="1"/>
    </xf>
    <xf numFmtId="0" fontId="7" fillId="11" borderId="5" xfId="0" applyFont="1" applyFill="1" applyBorder="1" applyAlignment="1">
      <alignment horizontal="center" vertical="center" shrinkToFit="1"/>
    </xf>
    <xf numFmtId="0" fontId="7" fillId="11" borderId="48" xfId="0" applyFont="1" applyFill="1" applyBorder="1" applyAlignment="1">
      <alignment horizontal="center" vertical="center" wrapText="1"/>
    </xf>
    <xf numFmtId="9" fontId="7" fillId="11" borderId="48" xfId="2" applyFont="1" applyFill="1" applyBorder="1" applyAlignment="1">
      <alignment horizontal="center" vertical="center" shrinkToFit="1"/>
    </xf>
    <xf numFmtId="9" fontId="7" fillId="11" borderId="49" xfId="2" applyFont="1" applyFill="1" applyBorder="1" applyAlignment="1">
      <alignment horizontal="center" vertical="center" shrinkToFit="1"/>
    </xf>
    <xf numFmtId="0" fontId="7" fillId="11" borderId="49" xfId="0" applyFont="1" applyFill="1" applyBorder="1" applyAlignment="1">
      <alignment horizontal="center" vertical="center" wrapText="1"/>
    </xf>
    <xf numFmtId="0" fontId="7" fillId="11" borderId="49" xfId="2" applyNumberFormat="1" applyFont="1" applyFill="1" applyBorder="1" applyAlignment="1">
      <alignment horizontal="center" vertical="center" shrinkToFit="1"/>
    </xf>
    <xf numFmtId="0" fontId="7" fillId="11"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1" borderId="1" xfId="0" applyFont="1" applyFill="1" applyBorder="1" applyAlignment="1">
      <alignment vertical="center"/>
    </xf>
    <xf numFmtId="0" fontId="7" fillId="11" borderId="22" xfId="0" applyNumberFormat="1" applyFont="1" applyFill="1" applyBorder="1" applyAlignment="1">
      <alignment horizontal="center" vertical="center"/>
    </xf>
    <xf numFmtId="49" fontId="23" fillId="11" borderId="22" xfId="0" applyNumberFormat="1" applyFont="1" applyFill="1" applyBorder="1" applyAlignment="1">
      <alignment horizontal="center" vertical="center"/>
    </xf>
    <xf numFmtId="0" fontId="23" fillId="11" borderId="23" xfId="0" applyNumberFormat="1" applyFont="1" applyFill="1" applyBorder="1" applyAlignment="1">
      <alignment horizontal="center" vertical="center"/>
    </xf>
    <xf numFmtId="0" fontId="12" fillId="11" borderId="23" xfId="0" applyNumberFormat="1" applyFont="1" applyFill="1" applyBorder="1" applyAlignment="1">
      <alignment horizontal="center" vertical="center"/>
    </xf>
    <xf numFmtId="49" fontId="7" fillId="11" borderId="23" xfId="0" applyNumberFormat="1" applyFont="1" applyFill="1" applyBorder="1" applyAlignment="1">
      <alignment horizontal="center" vertical="center"/>
    </xf>
    <xf numFmtId="0" fontId="7" fillId="11" borderId="24" xfId="0" quotePrefix="1" applyNumberFormat="1" applyFont="1" applyFill="1" applyBorder="1" applyAlignment="1">
      <alignment horizontal="center" vertical="center"/>
    </xf>
    <xf numFmtId="1" fontId="7" fillId="13" borderId="23" xfId="0" applyNumberFormat="1" applyFont="1" applyFill="1" applyBorder="1" applyAlignment="1">
      <alignment horizontal="center" vertical="center"/>
    </xf>
    <xf numFmtId="0" fontId="12" fillId="13" borderId="1" xfId="0" applyFont="1" applyFill="1" applyBorder="1" applyAlignment="1">
      <alignment vertical="center"/>
    </xf>
    <xf numFmtId="49" fontId="23" fillId="13" borderId="22" xfId="0" applyNumberFormat="1" applyFont="1" applyFill="1" applyBorder="1" applyAlignment="1">
      <alignment horizontal="center" vertical="center"/>
    </xf>
    <xf numFmtId="0" fontId="23" fillId="13" borderId="23" xfId="0" applyNumberFormat="1" applyFont="1" applyFill="1" applyBorder="1" applyAlignment="1">
      <alignment horizontal="center" vertical="center"/>
    </xf>
    <xf numFmtId="0" fontId="21" fillId="13" borderId="23" xfId="0" applyNumberFormat="1" applyFont="1" applyFill="1" applyBorder="1" applyAlignment="1">
      <alignment horizontal="center" vertical="center"/>
    </xf>
    <xf numFmtId="0" fontId="12" fillId="13" borderId="5" xfId="0" applyFont="1" applyFill="1" applyBorder="1" applyAlignment="1">
      <alignment vertical="center"/>
    </xf>
    <xf numFmtId="0" fontId="7" fillId="13" borderId="48" xfId="0" applyNumberFormat="1" applyFont="1" applyFill="1" applyBorder="1" applyAlignment="1">
      <alignment horizontal="center" vertical="center"/>
    </xf>
    <xf numFmtId="49" fontId="23" fillId="13" borderId="48" xfId="0" applyNumberFormat="1" applyFont="1" applyFill="1" applyBorder="1" applyAlignment="1">
      <alignment horizontal="center" vertical="center"/>
    </xf>
    <xf numFmtId="0" fontId="23" fillId="13" borderId="49" xfId="0" applyNumberFormat="1" applyFont="1" applyFill="1" applyBorder="1" applyAlignment="1">
      <alignment horizontal="center" vertical="center"/>
    </xf>
    <xf numFmtId="49" fontId="7" fillId="13" borderId="49" xfId="0" applyNumberFormat="1" applyFont="1" applyFill="1" applyBorder="1" applyAlignment="1">
      <alignment horizontal="center" vertical="center"/>
    </xf>
    <xf numFmtId="0" fontId="7" fillId="13"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0"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1" borderId="1" xfId="0" applyFont="1" applyFill="1" applyBorder="1" applyAlignment="1">
      <alignment horizontal="right" vertical="center"/>
    </xf>
    <xf numFmtId="0" fontId="7" fillId="11" borderId="0" xfId="0" applyFont="1" applyFill="1" applyBorder="1" applyAlignment="1">
      <alignment horizontal="centerContinuous" vertical="center"/>
    </xf>
    <xf numFmtId="0" fontId="6" fillId="11" borderId="0" xfId="0" applyFont="1" applyFill="1" applyBorder="1" applyAlignment="1">
      <alignment horizontal="right" vertical="center"/>
    </xf>
    <xf numFmtId="0" fontId="7" fillId="11"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4" xfId="0" applyFont="1" applyBorder="1" applyAlignment="1">
      <alignment horizontal="centerContinuous" vertical="center"/>
    </xf>
    <xf numFmtId="0" fontId="14" fillId="0" borderId="0" xfId="0" applyFont="1" applyAlignment="1">
      <alignment horizontal="centerContinuous" vertical="center" wrapText="1"/>
    </xf>
    <xf numFmtId="0" fontId="11" fillId="9" borderId="108" xfId="0" applyFont="1" applyFill="1" applyBorder="1" applyAlignment="1">
      <alignment horizontal="centerContinuous" vertical="center" wrapText="1"/>
    </xf>
    <xf numFmtId="0" fontId="11" fillId="9" borderId="109" xfId="0" applyFont="1" applyFill="1" applyBorder="1" applyAlignment="1">
      <alignment horizontal="center" vertical="center" wrapText="1"/>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7" fillId="0" borderId="48" xfId="0" applyFont="1" applyBorder="1" applyAlignment="1">
      <alignment horizontal="center" vertical="center"/>
    </xf>
    <xf numFmtId="0" fontId="5" fillId="0" borderId="1" xfId="0" applyFont="1" applyBorder="1" applyAlignment="1">
      <alignment vertical="center" wrapText="1"/>
    </xf>
    <xf numFmtId="0" fontId="54" fillId="0" borderId="0" xfId="0" applyFont="1" applyBorder="1" applyAlignment="1">
      <alignment horizontal="centerContinuous" vertical="center" wrapText="1"/>
    </xf>
    <xf numFmtId="0" fontId="55" fillId="0" borderId="0" xfId="0" applyFont="1" applyAlignment="1">
      <alignment horizontal="centerContinuous"/>
    </xf>
    <xf numFmtId="0" fontId="26" fillId="0" borderId="86" xfId="0" applyFont="1" applyBorder="1" applyAlignment="1">
      <alignment horizontal="centerContinuous"/>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2" fillId="0" borderId="44"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164" fontId="5" fillId="0" borderId="46" xfId="0" applyNumberFormat="1" applyFont="1" applyBorder="1" applyAlignment="1">
      <alignment horizontal="center" vertical="center" shrinkToFit="1"/>
    </xf>
    <xf numFmtId="0" fontId="5" fillId="0" borderId="46" xfId="0" applyFont="1" applyBorder="1" applyAlignment="1">
      <alignment horizontal="left" vertical="center"/>
    </xf>
    <xf numFmtId="0" fontId="5" fillId="0" borderId="112" xfId="0" applyFont="1" applyBorder="1" applyAlignment="1">
      <alignment horizontal="left" vertical="center" shrinkToFit="1"/>
    </xf>
    <xf numFmtId="0" fontId="5" fillId="0" borderId="46" xfId="0" applyFont="1" applyBorder="1" applyAlignment="1">
      <alignment horizontal="center" vertical="center" shrinkToFit="1"/>
    </xf>
    <xf numFmtId="0" fontId="5" fillId="0" borderId="37" xfId="0" applyFont="1" applyBorder="1" applyAlignment="1">
      <alignment horizontal="center" vertical="center" shrinkToFit="1"/>
    </xf>
    <xf numFmtId="1" fontId="2" fillId="11" borderId="0"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2" xfId="0" quotePrefix="1" applyFont="1" applyBorder="1" applyAlignment="1">
      <alignment horizontal="center" vertical="center"/>
    </xf>
    <xf numFmtId="9" fontId="2" fillId="0" borderId="22" xfId="0" applyNumberFormat="1" applyFont="1" applyBorder="1" applyAlignment="1">
      <alignment horizontal="center" vertical="center"/>
    </xf>
    <xf numFmtId="164" fontId="2" fillId="0" borderId="22" xfId="0" applyNumberFormat="1" applyFont="1" applyFill="1" applyBorder="1" applyAlignment="1">
      <alignment horizontal="center" vertical="center"/>
    </xf>
    <xf numFmtId="164" fontId="2" fillId="0" borderId="23" xfId="0" applyNumberFormat="1" applyFont="1" applyFill="1" applyBorder="1" applyAlignment="1">
      <alignment horizontal="centerContinuous" vertical="center"/>
    </xf>
    <xf numFmtId="164" fontId="5"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9" fontId="2" fillId="0" borderId="72" xfId="0" applyNumberFormat="1" applyFont="1" applyBorder="1" applyAlignment="1">
      <alignment horizontal="center" vertical="center"/>
    </xf>
    <xf numFmtId="164" fontId="2" fillId="0" borderId="72" xfId="0" applyNumberFormat="1" applyFont="1" applyBorder="1" applyAlignment="1">
      <alignment horizontal="center" vertical="center"/>
    </xf>
    <xf numFmtId="165" fontId="2" fillId="0" borderId="0" xfId="0" applyNumberFormat="1" applyFont="1" applyAlignment="1">
      <alignment horizontal="center" vertical="center"/>
    </xf>
    <xf numFmtId="0" fontId="5" fillId="0" borderId="0" xfId="0" applyFont="1" applyBorder="1" applyAlignment="1">
      <alignment horizontal="center" vertical="center" wrapText="1"/>
    </xf>
    <xf numFmtId="0" fontId="2" fillId="0" borderId="76" xfId="0" applyFont="1" applyBorder="1" applyAlignment="1">
      <alignment horizontal="left" vertical="center"/>
    </xf>
    <xf numFmtId="0" fontId="2" fillId="0" borderId="90" xfId="0" applyNumberFormat="1" applyFont="1" applyFill="1" applyBorder="1" applyAlignment="1">
      <alignment horizontal="center" vertical="center"/>
    </xf>
    <xf numFmtId="0" fontId="2" fillId="0" borderId="43" xfId="0" applyNumberFormat="1" applyFont="1" applyBorder="1" applyAlignment="1">
      <alignment horizontal="center" vertical="center"/>
    </xf>
    <xf numFmtId="0" fontId="8" fillId="0" borderId="1" xfId="0" applyFont="1" applyFill="1" applyBorder="1" applyAlignment="1">
      <alignment vertical="center"/>
    </xf>
    <xf numFmtId="49" fontId="16" fillId="0" borderId="22"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2" xfId="0" applyNumberFormat="1" applyFont="1" applyFill="1" applyBorder="1" applyAlignment="1">
      <alignment horizontal="center" vertical="center"/>
    </xf>
    <xf numFmtId="0" fontId="27" fillId="0" borderId="23" xfId="0" applyNumberFormat="1" applyFont="1" applyFill="1" applyBorder="1" applyAlignment="1">
      <alignment horizontal="center" vertical="center"/>
    </xf>
    <xf numFmtId="164" fontId="2" fillId="0" borderId="43" xfId="0" applyNumberFormat="1" applyFont="1" applyBorder="1" applyAlignment="1">
      <alignment horizontal="center" vertical="center"/>
    </xf>
    <xf numFmtId="0" fontId="2" fillId="0" borderId="89" xfId="0" applyFont="1" applyBorder="1" applyAlignment="1">
      <alignment horizontal="center" vertical="center" shrinkToFit="1"/>
    </xf>
    <xf numFmtId="0" fontId="5" fillId="0" borderId="103" xfId="0" applyFont="1" applyBorder="1" applyAlignment="1">
      <alignment horizontal="center" vertical="center" shrinkToFit="1"/>
    </xf>
    <xf numFmtId="164" fontId="2" fillId="0" borderId="37" xfId="0" applyNumberFormat="1" applyFont="1" applyFill="1" applyBorder="1" applyAlignment="1">
      <alignment horizontal="center" vertical="center"/>
    </xf>
    <xf numFmtId="1" fontId="2" fillId="0" borderId="37" xfId="0" applyNumberFormat="1" applyFont="1" applyFill="1" applyBorder="1" applyAlignment="1">
      <alignment horizontal="center" vertical="center"/>
    </xf>
    <xf numFmtId="0" fontId="5" fillId="0" borderId="0" xfId="0" applyFont="1" applyFill="1" applyBorder="1" applyAlignment="1">
      <alignment vertical="center"/>
    </xf>
    <xf numFmtId="0" fontId="11" fillId="9" borderId="113" xfId="0" applyFont="1" applyFill="1" applyBorder="1" applyAlignment="1">
      <alignment horizontal="center" vertical="center" wrapText="1"/>
    </xf>
    <xf numFmtId="49" fontId="7" fillId="0" borderId="114"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2" fillId="0" borderId="71" xfId="0" applyNumberFormat="1" applyFont="1" applyFill="1" applyBorder="1" applyAlignment="1">
      <alignment horizontal="center" vertical="center"/>
    </xf>
    <xf numFmtId="0" fontId="2" fillId="0" borderId="37"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0" fontId="5" fillId="0" borderId="39" xfId="0" applyFont="1" applyFill="1" applyBorder="1" applyAlignment="1">
      <alignment horizontal="center" vertical="center"/>
    </xf>
    <xf numFmtId="1" fontId="2" fillId="0" borderId="33" xfId="0" applyNumberFormat="1" applyFont="1" applyFill="1" applyBorder="1" applyAlignment="1">
      <alignment horizontal="center" vertical="center"/>
    </xf>
    <xf numFmtId="0" fontId="2" fillId="0" borderId="60" xfId="0" applyFont="1" applyFill="1" applyBorder="1" applyAlignment="1">
      <alignment horizontal="center" vertical="center"/>
    </xf>
    <xf numFmtId="0" fontId="2" fillId="0" borderId="46" xfId="0" quotePrefix="1" applyFont="1" applyFill="1" applyBorder="1" applyAlignment="1">
      <alignment horizontal="center" vertical="center" wrapText="1"/>
    </xf>
    <xf numFmtId="49" fontId="2" fillId="0" borderId="46" xfId="2" applyNumberFormat="1" applyFont="1" applyFill="1" applyBorder="1" applyAlignment="1">
      <alignment horizontal="center" vertical="center"/>
    </xf>
    <xf numFmtId="0" fontId="2" fillId="0" borderId="46" xfId="0" applyFont="1" applyFill="1" applyBorder="1" applyAlignment="1">
      <alignment horizontal="center" vertical="center" shrinkToFit="1"/>
    </xf>
    <xf numFmtId="164" fontId="2" fillId="0" borderId="46"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 fontId="46" fillId="10" borderId="46"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0" fontId="2" fillId="0" borderId="112" xfId="0" applyFont="1" applyFill="1" applyBorder="1" applyAlignment="1">
      <alignment horizontal="center" vertical="center"/>
    </xf>
    <xf numFmtId="0" fontId="7" fillId="15" borderId="51" xfId="0" applyFont="1" applyFill="1" applyBorder="1" applyAlignment="1">
      <alignment horizontal="centerContinuous" vertical="center"/>
    </xf>
    <xf numFmtId="0" fontId="2" fillId="15" borderId="88" xfId="0" applyFont="1" applyFill="1" applyBorder="1" applyAlignment="1">
      <alignment horizontal="centerContinuous" vertical="center"/>
    </xf>
    <xf numFmtId="0" fontId="2" fillId="15" borderId="46" xfId="2" applyNumberFormat="1" applyFont="1" applyFill="1" applyBorder="1" applyAlignment="1">
      <alignment horizontal="center" vertical="center"/>
    </xf>
    <xf numFmtId="0" fontId="2" fillId="15" borderId="37" xfId="2" applyNumberFormat="1" applyFont="1" applyFill="1" applyBorder="1" applyAlignment="1">
      <alignment horizontal="center" vertical="center"/>
    </xf>
    <xf numFmtId="0" fontId="2" fillId="15" borderId="43" xfId="0" applyNumberFormat="1" applyFont="1" applyFill="1" applyBorder="1" applyAlignment="1">
      <alignment horizontal="center" vertical="center"/>
    </xf>
    <xf numFmtId="0" fontId="7" fillId="0" borderId="9" xfId="0"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18">
    <dxf>
      <fill>
        <patternFill>
          <bgColor rgb="FFFF00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10</a:t>
          </a:r>
        </a:p>
        <a:p>
          <a:pPr algn="ctr" rtl="0"/>
          <a:r>
            <a:rPr lang="en-US" sz="1200" b="0" i="1" baseline="0">
              <a:solidFill>
                <a:schemeClr val="bg1"/>
              </a:solidFill>
              <a:latin typeface="Times New Roman" panose="02020603050405020304" pitchFamily="18" charset="0"/>
              <a:cs typeface="Times New Roman" panose="02020603050405020304" pitchFamily="18" charset="0"/>
            </a:rPr>
            <a:t>DR 5/+1</a:t>
          </a:r>
        </a:p>
      </xdr:txBody>
    </xdr:sp>
    <xdr:clientData/>
  </xdr:twoCellAnchor>
  <xdr:twoCellAnchor editAs="oneCell">
    <xdr:from>
      <xdr:col>5</xdr:col>
      <xdr:colOff>76200</xdr:colOff>
      <xdr:row>1</xdr:row>
      <xdr:rowOff>137161</xdr:rowOff>
    </xdr:from>
    <xdr:to>
      <xdr:col>6</xdr:col>
      <xdr:colOff>956938</xdr:colOff>
      <xdr:row>15</xdr:row>
      <xdr:rowOff>91441</xdr:rowOff>
    </xdr:to>
    <xdr:pic>
      <xdr:nvPicPr>
        <xdr:cNvPr id="5" name="Picture 4">
          <a:extLst>
            <a:ext uri="{FF2B5EF4-FFF2-40B4-BE49-F238E27FC236}">
              <a16:creationId xmlns:a16="http://schemas.microsoft.com/office/drawing/2014/main" id="{DB8187C7-A29F-427D-B9A2-40C22DBEDE74}"/>
            </a:ext>
          </a:extLst>
        </xdr:cNvPr>
        <xdr:cNvPicPr>
          <a:picLocks noChangeAspect="1"/>
        </xdr:cNvPicPr>
      </xdr:nvPicPr>
      <xdr:blipFill>
        <a:blip xmlns:r="http://schemas.openxmlformats.org/officeDocument/2006/relationships" r:embed="rId1"/>
        <a:stretch>
          <a:fillRect/>
        </a:stretch>
      </xdr:blipFill>
      <xdr:spPr>
        <a:xfrm>
          <a:off x="4579620" y="510541"/>
          <a:ext cx="1909438" cy="2979420"/>
        </a:xfrm>
        <a:prstGeom prst="rect">
          <a:avLst/>
        </a:prstGeom>
        <a:ln w="38100" cmpd="dbl">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45720</xdr:colOff>
      <xdr:row>8</xdr:row>
      <xdr:rowOff>45720</xdr:rowOff>
    </xdr:from>
    <xdr:to>
      <xdr:col>13</xdr:col>
      <xdr:colOff>457200</xdr:colOff>
      <xdr:row>26</xdr:row>
      <xdr:rowOff>7620</xdr:rowOff>
    </xdr:to>
    <xdr:sp macro="" textlink="">
      <xdr:nvSpPr>
        <xdr:cNvPr id="3" name="TextBox 2">
          <a:extLst>
            <a:ext uri="{FF2B5EF4-FFF2-40B4-BE49-F238E27FC236}">
              <a16:creationId xmlns:a16="http://schemas.microsoft.com/office/drawing/2014/main" id="{4C79CDA6-1697-4B3E-956F-C449F5C1F484}"/>
            </a:ext>
          </a:extLst>
        </xdr:cNvPr>
        <xdr:cNvSpPr txBox="1"/>
      </xdr:nvSpPr>
      <xdr:spPr>
        <a:xfrm>
          <a:off x="2247900" y="1874520"/>
          <a:ext cx="9776460" cy="3916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Charmer: </a:t>
          </a:r>
        </a:p>
        <a:p>
          <a:r>
            <a:rPr lang="en-US" sz="1100">
              <a:solidFill>
                <a:schemeClr val="dk1"/>
              </a:solidFill>
              <a:effectLst/>
              <a:latin typeface="+mn-lt"/>
              <a:ea typeface="+mn-ea"/>
              <a:cs typeface="+mn-cs"/>
            </a:rPr>
            <a:t>o   Majestic Argali (Afghan Hound) </a:t>
          </a:r>
        </a:p>
        <a:p>
          <a:r>
            <a:rPr lang="en-US" sz="1100">
              <a:solidFill>
                <a:schemeClr val="dk1"/>
              </a:solidFill>
              <a:effectLst/>
              <a:latin typeface="+mn-lt"/>
              <a:ea typeface="+mn-ea"/>
              <a:cs typeface="+mn-cs"/>
            </a:rPr>
            <a:t>•         Misc. Breeds: </a:t>
          </a:r>
        </a:p>
        <a:p>
          <a:r>
            <a:rPr lang="en-US" sz="1100">
              <a:solidFill>
                <a:schemeClr val="dk1"/>
              </a:solidFill>
              <a:effectLst/>
              <a:latin typeface="+mn-lt"/>
              <a:ea typeface="+mn-ea"/>
              <a:cs typeface="+mn-cs"/>
            </a:rPr>
            <a:t>o   Miniature Short-tailed Zorse (Miniature Schnauzer) – A small but powerful breed the stand 12 inches tall at the shoulders and weigh in at 10-15 pounds.  They are good diggers and are bred to go after rats, mice and other small rodents.  (Possible bonus to digging speed in dirt?)  </a:t>
          </a:r>
        </a:p>
        <a:p>
          <a:r>
            <a:rPr lang="en-US" sz="1100">
              <a:solidFill>
                <a:schemeClr val="dk1"/>
              </a:solidFill>
              <a:effectLst/>
              <a:latin typeface="+mn-lt"/>
              <a:ea typeface="+mn-ea"/>
              <a:cs typeface="+mn-cs"/>
            </a:rPr>
            <a:t>•         Scout Breeds: </a:t>
          </a:r>
        </a:p>
        <a:p>
          <a:r>
            <a:rPr lang="en-US" sz="1100">
              <a:solidFill>
                <a:schemeClr val="dk1"/>
              </a:solidFill>
              <a:effectLst/>
              <a:latin typeface="+mn-lt"/>
              <a:ea typeface="+mn-ea"/>
              <a:cs typeface="+mn-cs"/>
            </a:rPr>
            <a:t>o   Maroon-Spotted Dog (German Short-haired Pointer) </a:t>
          </a:r>
        </a:p>
        <a:p>
          <a:r>
            <a:rPr lang="en-US" sz="1100">
              <a:solidFill>
                <a:schemeClr val="dk1"/>
              </a:solidFill>
              <a:effectLst/>
              <a:latin typeface="+mn-lt"/>
              <a:ea typeface="+mn-ea"/>
              <a:cs typeface="+mn-cs"/>
            </a:rPr>
            <a:t>•         Sneaker:  </a:t>
          </a:r>
        </a:p>
        <a:p>
          <a:r>
            <a:rPr lang="en-US" sz="1100">
              <a:solidFill>
                <a:schemeClr val="dk1"/>
              </a:solidFill>
              <a:effectLst/>
              <a:latin typeface="+mn-lt"/>
              <a:ea typeface="+mn-ea"/>
              <a:cs typeface="+mn-cs"/>
            </a:rPr>
            <a:t>o   Smokey-furred Whippet (Chihuahua) – A very small breed perfect for sneaking in and out of places quietly.  (?? To AC (+? Size +? Agility - ? Natural Armor.  +4 to all Hide and Move Silently checks. Also receives a -5 to all To-Hit and Damage Checks) </a:t>
          </a:r>
        </a:p>
        <a:p>
          <a:r>
            <a:rPr lang="en-US" sz="1100">
              <a:solidFill>
                <a:schemeClr val="dk1"/>
              </a:solidFill>
              <a:effectLst/>
              <a:latin typeface="+mn-lt"/>
              <a:ea typeface="+mn-ea"/>
              <a:cs typeface="+mn-cs"/>
            </a:rPr>
            <a:t>•         Sprinter Breeds: </a:t>
          </a:r>
        </a:p>
        <a:p>
          <a:r>
            <a:rPr lang="en-US" sz="1100">
              <a:solidFill>
                <a:schemeClr val="dk1"/>
              </a:solidFill>
              <a:effectLst/>
              <a:latin typeface="+mn-lt"/>
              <a:ea typeface="+mn-ea"/>
              <a:cs typeface="+mn-cs"/>
            </a:rPr>
            <a:t>o   Zakhara Hound (Pharaoh Hound/Whippet) – Excellent speed over short distances.  (Running speed is x3 instead of x2’.  After 200 yards receives a -2 Penalty to Endurance Checks.  Also, must rest for at least 4 hours and pass a Constitution check or a full 8 hours before sprinting again.) </a:t>
          </a:r>
        </a:p>
        <a:p>
          <a:r>
            <a:rPr lang="en-US" sz="1100">
              <a:solidFill>
                <a:schemeClr val="dk1"/>
              </a:solidFill>
              <a:effectLst/>
              <a:latin typeface="+mn-lt"/>
              <a:ea typeface="+mn-ea"/>
              <a:cs typeface="+mn-cs"/>
            </a:rPr>
            <a:t>o   Greyhound (Greyhound) – Excellent speed over short distances and excellent eye sight.  (Running speed is x3.5 instead of x2.  After 150 yards receives a -2 Penalty to Endurance Checks.  Also, must rest for at least 4 hours and pass a Constitution check or a full 8 hours before sprinting again.)</a:t>
          </a:r>
        </a:p>
        <a:p>
          <a:r>
            <a:rPr lang="en-US" sz="1100">
              <a:solidFill>
                <a:schemeClr val="dk1"/>
              </a:solidFill>
              <a:effectLst/>
              <a:latin typeface="+mn-lt"/>
              <a:ea typeface="+mn-ea"/>
              <a:cs typeface="+mn-cs"/>
            </a:rPr>
            <a:t>•         Warrior Breeds:  </a:t>
          </a:r>
        </a:p>
        <a:p>
          <a:r>
            <a:rPr lang="en-US" sz="1100">
              <a:solidFill>
                <a:schemeClr val="dk1"/>
              </a:solidFill>
              <a:effectLst/>
              <a:latin typeface="+mn-lt"/>
              <a:ea typeface="+mn-ea"/>
              <a:cs typeface="+mn-cs"/>
            </a:rPr>
            <a:t>o   Great Dale Hound (Irish Wolf Hound) – Increase Endurance from its long legs (+2 extra turns before Endurance Check is needed while running &amp; receives a +1 Bonus to those checks.).  Also, due to size and strength it does greater damage (receives a +1 to Damage from Bite and Claw attacks)   </a:t>
          </a:r>
        </a:p>
        <a:p>
          <a:r>
            <a:rPr lang="en-US" sz="1100">
              <a:solidFill>
                <a:schemeClr val="dk1"/>
              </a:solidFill>
              <a:effectLst/>
              <a:latin typeface="+mn-lt"/>
              <a:ea typeface="+mn-ea"/>
              <a:cs typeface="+mn-cs"/>
            </a:rPr>
            <a:t>o   Giant Short-tailed Zorse (Giant Schnauzer) </a:t>
          </a:r>
        </a:p>
        <a:p>
          <a:r>
            <a:rPr lang="en-US" sz="1100">
              <a:solidFill>
                <a:schemeClr val="dk1"/>
              </a:solidFill>
              <a:effectLst/>
              <a:latin typeface="+mn-lt"/>
              <a:ea typeface="+mn-ea"/>
              <a:cs typeface="+mn-cs"/>
            </a:rPr>
            <a:t>•         Working Breeds: </a:t>
          </a:r>
        </a:p>
        <a:p>
          <a:r>
            <a:rPr lang="en-US" sz="1100">
              <a:solidFill>
                <a:schemeClr val="dk1"/>
              </a:solidFill>
              <a:effectLst/>
              <a:latin typeface="+mn-lt"/>
              <a:ea typeface="+mn-ea"/>
              <a:cs typeface="+mn-cs"/>
            </a:rPr>
            <a:t>o   Standard Short-tailed Zorse (Schnauzer) </a:t>
          </a:r>
        </a:p>
        <a:p>
          <a:r>
            <a:rPr lang="en-US" sz="1100">
              <a:solidFill>
                <a:schemeClr val="dk1"/>
              </a:solidFill>
              <a:effectLst/>
              <a:latin typeface="+mn-lt"/>
              <a:ea typeface="+mn-ea"/>
              <a:cs typeface="+mn-cs"/>
            </a:rPr>
            <a:t>o   Icewind Dale Hound (Alaskan Malamute/Siberian Husky)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474345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34" bestFit="1" customWidth="1"/>
    <col min="2" max="2" width="12" style="61" customWidth="1"/>
    <col min="3" max="3" width="4" style="61" customWidth="1"/>
    <col min="4" max="4" width="13.69921875" style="134" bestFit="1" customWidth="1"/>
    <col min="5" max="5" width="13.09765625" style="61" bestFit="1" customWidth="1"/>
    <col min="6" max="6" width="13.5" style="134" customWidth="1"/>
    <col min="7" max="7" width="13.5" style="61" customWidth="1"/>
    <col min="8" max="16384" width="13" style="14"/>
  </cols>
  <sheetData>
    <row r="1" spans="1:7" ht="29.4" thickTop="1" thickBot="1">
      <c r="A1" s="287" t="s">
        <v>224</v>
      </c>
      <c r="B1" s="288" t="s">
        <v>225</v>
      </c>
      <c r="C1" s="140"/>
      <c r="D1" s="141"/>
      <c r="E1" s="142"/>
      <c r="F1" s="141"/>
      <c r="G1" s="143" t="s">
        <v>226</v>
      </c>
    </row>
    <row r="2" spans="1:7" ht="17.399999999999999" thickTop="1">
      <c r="A2" s="144" t="s">
        <v>264</v>
      </c>
      <c r="B2" s="145" t="s">
        <v>227</v>
      </c>
      <c r="C2" s="145"/>
      <c r="D2" s="146" t="s">
        <v>265</v>
      </c>
      <c r="E2" s="147" t="s">
        <v>241</v>
      </c>
      <c r="F2" s="148"/>
      <c r="G2" s="149"/>
    </row>
    <row r="3" spans="1:7" ht="16.8">
      <c r="A3" s="144" t="s">
        <v>266</v>
      </c>
      <c r="B3" s="145" t="s">
        <v>227</v>
      </c>
      <c r="C3" s="145"/>
      <c r="D3" s="146" t="s">
        <v>0</v>
      </c>
      <c r="E3" s="147">
        <v>6</v>
      </c>
      <c r="F3" s="146"/>
      <c r="G3" s="149"/>
    </row>
    <row r="4" spans="1:7" ht="16.8">
      <c r="A4" s="390" t="s">
        <v>266</v>
      </c>
      <c r="B4" s="391" t="s">
        <v>262</v>
      </c>
      <c r="C4" s="391"/>
      <c r="D4" s="392" t="s">
        <v>0</v>
      </c>
      <c r="E4" s="393">
        <v>0</v>
      </c>
      <c r="F4" s="146"/>
      <c r="G4" s="149"/>
    </row>
    <row r="5" spans="1:7" ht="16.8">
      <c r="A5" s="144" t="s">
        <v>267</v>
      </c>
      <c r="B5" s="145" t="s">
        <v>263</v>
      </c>
      <c r="C5" s="145"/>
      <c r="D5" s="146" t="s">
        <v>268</v>
      </c>
      <c r="E5" s="147" t="s">
        <v>229</v>
      </c>
      <c r="F5" s="146"/>
      <c r="G5" s="149"/>
    </row>
    <row r="6" spans="1:7" ht="16.8">
      <c r="A6" s="144" t="s">
        <v>269</v>
      </c>
      <c r="B6" s="145" t="s">
        <v>129</v>
      </c>
      <c r="C6" s="145"/>
      <c r="D6" s="146" t="s">
        <v>270</v>
      </c>
      <c r="E6" s="147" t="s">
        <v>247</v>
      </c>
      <c r="F6" s="146"/>
      <c r="G6" s="149"/>
    </row>
    <row r="7" spans="1:7" ht="16.8">
      <c r="A7" s="144"/>
      <c r="B7" s="145"/>
      <c r="C7" s="145"/>
      <c r="D7" s="146" t="s">
        <v>271</v>
      </c>
      <c r="E7" s="147">
        <v>24</v>
      </c>
      <c r="F7" s="146"/>
      <c r="G7" s="149"/>
    </row>
    <row r="8" spans="1:7" ht="17.399999999999999" thickBot="1">
      <c r="A8" s="144" t="s">
        <v>272</v>
      </c>
      <c r="B8" s="145" t="s">
        <v>228</v>
      </c>
      <c r="C8" s="145"/>
      <c r="D8" s="146" t="s">
        <v>273</v>
      </c>
      <c r="E8" s="147" t="s">
        <v>230</v>
      </c>
      <c r="F8" s="146"/>
      <c r="G8" s="149"/>
    </row>
    <row r="9" spans="1:7" ht="17.399999999999999" thickTop="1">
      <c r="A9" s="150" t="s">
        <v>274</v>
      </c>
      <c r="B9" s="479">
        <f>4+1</f>
        <v>5</v>
      </c>
      <c r="C9" s="480"/>
      <c r="D9" s="176" t="s">
        <v>69</v>
      </c>
      <c r="E9" s="286" t="s">
        <v>246</v>
      </c>
      <c r="F9" s="151"/>
      <c r="G9" s="149"/>
    </row>
    <row r="10" spans="1:7" ht="17.399999999999999" thickBot="1">
      <c r="A10" s="253" t="s">
        <v>275</v>
      </c>
      <c r="B10" s="298">
        <f>C12+4</f>
        <v>6</v>
      </c>
      <c r="C10" s="254"/>
      <c r="D10" s="283" t="s">
        <v>276</v>
      </c>
      <c r="E10" s="284">
        <v>22720</v>
      </c>
      <c r="F10" s="151"/>
      <c r="G10" s="149"/>
    </row>
    <row r="11" spans="1:7" ht="17.399999999999999" thickTop="1">
      <c r="A11" s="152" t="s">
        <v>277</v>
      </c>
      <c r="B11" s="484">
        <f>14</f>
        <v>14</v>
      </c>
      <c r="C11" s="153" t="str">
        <f t="shared" ref="C11:C16" si="0">IF(B11&gt;9.9,CONCATENATE("+",ROUNDDOWN((B11-10)/2,0)),ROUNDUP((B11-10)/2,0))</f>
        <v>+2</v>
      </c>
      <c r="D11" s="154" t="s">
        <v>278</v>
      </c>
      <c r="E11" s="359" t="s">
        <v>245</v>
      </c>
      <c r="F11" s="151"/>
      <c r="G11" s="149"/>
    </row>
    <row r="12" spans="1:7" ht="16.8">
      <c r="A12" s="155" t="s">
        <v>279</v>
      </c>
      <c r="B12" s="299">
        <v>15</v>
      </c>
      <c r="C12" s="156" t="str">
        <f t="shared" si="0"/>
        <v>+2</v>
      </c>
      <c r="D12" s="157" t="s">
        <v>280</v>
      </c>
      <c r="E12" s="158">
        <f>SUM(Martial!G6:G25,Equipment!C3:C13)</f>
        <v>51.28</v>
      </c>
      <c r="F12" s="151"/>
      <c r="G12" s="149"/>
    </row>
    <row r="13" spans="1:7" ht="16.8">
      <c r="A13" s="159" t="s">
        <v>281</v>
      </c>
      <c r="B13" s="299">
        <v>16</v>
      </c>
      <c r="C13" s="160" t="str">
        <f t="shared" si="0"/>
        <v>+3</v>
      </c>
      <c r="D13" s="161" t="s">
        <v>282</v>
      </c>
      <c r="E13" s="175">
        <f>ROUNDUP((4*8*0.75)+((E4*10)*0.75)+((4+E4)*C13),0)</f>
        <v>36</v>
      </c>
      <c r="F13" s="151"/>
      <c r="G13" s="149"/>
    </row>
    <row r="14" spans="1:7" ht="16.8">
      <c r="A14" s="162" t="s">
        <v>283</v>
      </c>
      <c r="B14" s="299">
        <v>10</v>
      </c>
      <c r="C14" s="156" t="str">
        <f t="shared" si="0"/>
        <v>+0</v>
      </c>
      <c r="D14" s="164" t="s">
        <v>284</v>
      </c>
      <c r="E14" s="290">
        <f>10+C12</f>
        <v>12</v>
      </c>
      <c r="F14" s="144"/>
      <c r="G14" s="149"/>
    </row>
    <row r="15" spans="1:7" ht="16.8">
      <c r="A15" s="163" t="s">
        <v>285</v>
      </c>
      <c r="B15" s="299">
        <v>13</v>
      </c>
      <c r="C15" s="156" t="str">
        <f t="shared" si="0"/>
        <v>+1</v>
      </c>
      <c r="D15" s="164" t="s">
        <v>286</v>
      </c>
      <c r="E15" s="290">
        <f>E16-C12</f>
        <v>21</v>
      </c>
      <c r="F15" s="151"/>
      <c r="G15" s="149"/>
    </row>
    <row r="16" spans="1:7" ht="17.399999999999999" thickBot="1">
      <c r="A16" s="165" t="s">
        <v>287</v>
      </c>
      <c r="B16" s="300">
        <v>13</v>
      </c>
      <c r="C16" s="285" t="str">
        <f t="shared" si="0"/>
        <v>+1</v>
      </c>
      <c r="D16" s="166" t="s">
        <v>288</v>
      </c>
      <c r="E16" s="291">
        <f>E14+SUM(Martial!B19:B21)</f>
        <v>23</v>
      </c>
      <c r="F16" s="167"/>
      <c r="G16" s="168"/>
    </row>
    <row r="17" ht="16.2" thickTop="1"/>
  </sheetData>
  <phoneticPr fontId="0" type="noConversion"/>
  <conditionalFormatting sqref="E12">
    <cfRule type="cellIs" dxfId="17" priority="4" stopIfTrue="1" operator="greaterThan">
      <formula>116</formula>
    </cfRule>
    <cfRule type="cellIs" dxfId="16"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8.5976562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7" t="s">
        <v>6</v>
      </c>
      <c r="B1" s="68"/>
      <c r="C1" s="68"/>
      <c r="D1" s="68"/>
      <c r="E1" s="68"/>
      <c r="F1" s="68"/>
      <c r="G1" s="69"/>
      <c r="H1" s="69"/>
      <c r="I1" s="69"/>
      <c r="J1" s="68"/>
    </row>
    <row r="2" spans="1:10" s="384" customFormat="1" ht="34.200000000000003" thickBot="1">
      <c r="A2" s="378" t="s">
        <v>142</v>
      </c>
      <c r="B2" s="379" t="s">
        <v>19</v>
      </c>
      <c r="C2" s="379" t="s">
        <v>26</v>
      </c>
      <c r="D2" s="379" t="s">
        <v>18</v>
      </c>
      <c r="E2" s="10" t="s">
        <v>51</v>
      </c>
      <c r="F2" s="10" t="s">
        <v>27</v>
      </c>
      <c r="G2" s="380" t="s">
        <v>53</v>
      </c>
      <c r="H2" s="381" t="s">
        <v>124</v>
      </c>
      <c r="I2" s="382" t="s">
        <v>67</v>
      </c>
      <c r="J2" s="383" t="s">
        <v>65</v>
      </c>
    </row>
    <row r="3" spans="1:10" s="4" customFormat="1" ht="16.8">
      <c r="A3" s="328" t="s">
        <v>55</v>
      </c>
      <c r="B3" s="70">
        <v>4</v>
      </c>
      <c r="C3" s="70" t="s">
        <v>21</v>
      </c>
      <c r="D3" s="71" t="str">
        <f>IF(C3="Str",'Personal File'!$C$11,IF(C3="Dex",'Personal File'!$C$12,IF(C3="Con",'Personal File'!$C$13,IF(C3="Int",'Personal File'!$C$14,IF(C3="Wis",'Personal File'!$C$15,IF(C3="Cha",'Personal File'!$C$16))))))</f>
        <v>+3</v>
      </c>
      <c r="E3" s="71" t="str">
        <f t="shared" ref="E3" si="0">CONCATENATE(C3," (",D3,")")</f>
        <v>Con (+3)</v>
      </c>
      <c r="F3" s="385">
        <v>0</v>
      </c>
      <c r="G3" s="385">
        <f t="shared" ref="G3:G44" si="1">B3+D3+F3</f>
        <v>7</v>
      </c>
      <c r="H3" s="73">
        <f t="shared" ref="H3:H5" ca="1" si="2">RANDBETWEEN(1,20)</f>
        <v>7</v>
      </c>
      <c r="I3" s="72">
        <f t="shared" ref="I3" ca="1" si="3">SUM(G3:H3)</f>
        <v>14</v>
      </c>
      <c r="J3" s="228"/>
    </row>
    <row r="4" spans="1:10" s="4" customFormat="1" ht="16.8">
      <c r="A4" s="74" t="s">
        <v>56</v>
      </c>
      <c r="B4" s="70">
        <v>4</v>
      </c>
      <c r="C4" s="70" t="s">
        <v>24</v>
      </c>
      <c r="D4" s="75" t="str">
        <f>IF(C4="Str",'Personal File'!$C$11,IF(C4="Dex",'Personal File'!$C$12,IF(C4="Con",'Personal File'!$C$13,IF(C4="Int",'Personal File'!$C$14,IF(C4="Wis",'Personal File'!$C$15,IF(C4="Cha",'Personal File'!$C$16))))))</f>
        <v>+2</v>
      </c>
      <c r="E4" s="76" t="str">
        <f t="shared" ref="E4:E5" si="4">CONCATENATE(C4," (",D4,")")</f>
        <v>Dex (+2)</v>
      </c>
      <c r="F4" s="385">
        <v>0</v>
      </c>
      <c r="G4" s="385">
        <f t="shared" si="1"/>
        <v>6</v>
      </c>
      <c r="H4" s="73">
        <f t="shared" ca="1" si="2"/>
        <v>10</v>
      </c>
      <c r="I4" s="72">
        <f t="shared" ref="I4:I44" ca="1" si="5">SUM(G4:H4)</f>
        <v>16</v>
      </c>
      <c r="J4" s="126"/>
    </row>
    <row r="5" spans="1:10" s="4" customFormat="1" ht="16.8">
      <c r="A5" s="329" t="s">
        <v>57</v>
      </c>
      <c r="B5" s="78">
        <v>4</v>
      </c>
      <c r="C5" s="78" t="s">
        <v>23</v>
      </c>
      <c r="D5" s="79" t="str">
        <f>IF(C5="Str",'Personal File'!$C$11,IF(C5="Dex",'Personal File'!$C$12,IF(C5="Con",'Personal File'!$C$13,IF(C5="Int",'Personal File'!$C$14,IF(C5="Wis",'Personal File'!$C$15,IF(C5="Cha",'Personal File'!$C$16))))))</f>
        <v>+1</v>
      </c>
      <c r="E5" s="80" t="str">
        <f t="shared" si="4"/>
        <v>Wis (+1)</v>
      </c>
      <c r="F5" s="231">
        <v>0</v>
      </c>
      <c r="G5" s="231">
        <f t="shared" si="1"/>
        <v>5</v>
      </c>
      <c r="H5" s="81">
        <f t="shared" ca="1" si="2"/>
        <v>14</v>
      </c>
      <c r="I5" s="386">
        <f t="shared" ca="1" si="5"/>
        <v>19</v>
      </c>
      <c r="J5" s="230"/>
    </row>
    <row r="6" spans="1:10" s="4" customFormat="1" ht="16.8">
      <c r="A6" s="82" t="s">
        <v>28</v>
      </c>
      <c r="B6" s="83">
        <v>0</v>
      </c>
      <c r="C6" s="84" t="s">
        <v>22</v>
      </c>
      <c r="D6" s="85" t="str">
        <f>IF(C6="Str",'Personal File'!$C$11,IF(C6="Dex",'Personal File'!$C$12,IF(C6="Con",'Personal File'!$C$13,IF(C6="Int",'Personal File'!$C$14,IF(C6="Wis",'Personal File'!$C$15,IF(C6="Cha",'Personal File'!$C$16))))))</f>
        <v>+0</v>
      </c>
      <c r="E6" s="85" t="str">
        <f t="shared" ref="E6" si="6">CONCATENATE(C6," (",D6,")")</f>
        <v>Int (+0)</v>
      </c>
      <c r="F6" s="86">
        <v>0</v>
      </c>
      <c r="G6" s="87">
        <f t="shared" si="1"/>
        <v>0</v>
      </c>
      <c r="H6" s="73">
        <f ca="1">RANDBETWEEN(1,20)</f>
        <v>10</v>
      </c>
      <c r="I6" s="72">
        <f t="shared" ca="1" si="5"/>
        <v>10</v>
      </c>
      <c r="J6" s="126"/>
    </row>
    <row r="7" spans="1:10" s="8" customFormat="1" ht="16.8">
      <c r="A7" s="88" t="s">
        <v>29</v>
      </c>
      <c r="B7" s="83">
        <v>0</v>
      </c>
      <c r="C7" s="89" t="s">
        <v>24</v>
      </c>
      <c r="D7" s="75" t="str">
        <f>IF(C7="Str",'Personal File'!$C$11,IF(C7="Dex",'Personal File'!$C$12,IF(C7="Con",'Personal File'!$C$13,IF(C7="Int",'Personal File'!$C$14,IF(C7="Wis",'Personal File'!$C$15,IF(C7="Cha",'Personal File'!$C$16))))))</f>
        <v>+2</v>
      </c>
      <c r="E7" s="75" t="str">
        <f t="shared" ref="E7:E44" si="7">CONCATENATE(C7," (",D7,")")</f>
        <v>Dex (+2)</v>
      </c>
      <c r="F7" s="251">
        <f>SUM(Martial!$D$19:$D$21)</f>
        <v>0</v>
      </c>
      <c r="G7" s="87">
        <f t="shared" si="1"/>
        <v>2</v>
      </c>
      <c r="H7" s="73">
        <f ca="1">RANDBETWEEN(1,20)</f>
        <v>3</v>
      </c>
      <c r="I7" s="72">
        <f t="shared" ca="1" si="5"/>
        <v>5</v>
      </c>
      <c r="J7" s="126"/>
    </row>
    <row r="8" spans="1:10" s="6" customFormat="1" ht="16.8">
      <c r="A8" s="90" t="s">
        <v>30</v>
      </c>
      <c r="B8" s="83">
        <v>0</v>
      </c>
      <c r="C8" s="91" t="s">
        <v>20</v>
      </c>
      <c r="D8" s="92" t="str">
        <f>IF(C8="Str",'Personal File'!$C$11,IF(C8="Dex",'Personal File'!$C$12,IF(C8="Con",'Personal File'!$C$13,IF(C8="Int",'Personal File'!$C$14,IF(C8="Wis",'Personal File'!$C$15,IF(C8="Cha",'Personal File'!$C$16))))))</f>
        <v>+1</v>
      </c>
      <c r="E8" s="93" t="str">
        <f t="shared" si="7"/>
        <v>Cha (+1)</v>
      </c>
      <c r="F8" s="87" t="s">
        <v>52</v>
      </c>
      <c r="G8" s="87">
        <f t="shared" si="1"/>
        <v>1</v>
      </c>
      <c r="H8" s="73">
        <f t="shared" ref="H8:H43" ca="1" si="8">RANDBETWEEN(1,20)</f>
        <v>15</v>
      </c>
      <c r="I8" s="72">
        <f t="shared" ca="1" si="5"/>
        <v>16</v>
      </c>
      <c r="J8" s="126"/>
    </row>
    <row r="9" spans="1:10" s="5" customFormat="1" ht="16.8">
      <c r="A9" s="186" t="s">
        <v>31</v>
      </c>
      <c r="B9" s="94">
        <v>5</v>
      </c>
      <c r="C9" s="187" t="s">
        <v>25</v>
      </c>
      <c r="D9" s="188" t="str">
        <f>IF(C9="Str",'Personal File'!$C$11,IF(C9="Dex",'Personal File'!$C$12,IF(C9="Con",'Personal File'!$C$13,IF(C9="Int",'Personal File'!$C$14,IF(C9="Wis",'Personal File'!$C$15,IF(C9="Cha",'Personal File'!$C$16))))))</f>
        <v>+2</v>
      </c>
      <c r="E9" s="188" t="str">
        <f t="shared" si="7"/>
        <v>Str (+2)</v>
      </c>
      <c r="F9" s="367">
        <f>SUM(Martial!$D$19:$D$21)</f>
        <v>0</v>
      </c>
      <c r="G9" s="95">
        <f t="shared" si="1"/>
        <v>7</v>
      </c>
      <c r="H9" s="73">
        <f t="shared" ca="1" si="8"/>
        <v>16</v>
      </c>
      <c r="I9" s="387">
        <f t="shared" ca="1" si="5"/>
        <v>23</v>
      </c>
      <c r="J9" s="241"/>
    </row>
    <row r="10" spans="1:10" s="5" customFormat="1" ht="16.8">
      <c r="A10" s="275" t="s">
        <v>7</v>
      </c>
      <c r="B10" s="94">
        <v>4</v>
      </c>
      <c r="C10" s="276" t="s">
        <v>21</v>
      </c>
      <c r="D10" s="277" t="str">
        <f>IF(C10="Str",'Personal File'!$C$11,IF(C10="Dex",'Personal File'!$C$12,IF(C10="Con",'Personal File'!$C$13,IF(C10="Int",'Personal File'!$C$14,IF(C10="Wis",'Personal File'!$C$15,IF(C10="Cha",'Personal File'!$C$16))))))</f>
        <v>+3</v>
      </c>
      <c r="E10" s="277" t="str">
        <f t="shared" si="7"/>
        <v>Con (+3)</v>
      </c>
      <c r="F10" s="95" t="s">
        <v>52</v>
      </c>
      <c r="G10" s="95">
        <f t="shared" si="1"/>
        <v>7</v>
      </c>
      <c r="H10" s="73">
        <f t="shared" ca="1" si="8"/>
        <v>17</v>
      </c>
      <c r="I10" s="387">
        <f t="shared" ca="1" si="5"/>
        <v>24</v>
      </c>
      <c r="J10" s="241"/>
    </row>
    <row r="11" spans="1:10" s="4" customFormat="1" ht="16.8">
      <c r="A11" s="114" t="s">
        <v>248</v>
      </c>
      <c r="B11" s="94">
        <v>4</v>
      </c>
      <c r="C11" s="115" t="s">
        <v>22</v>
      </c>
      <c r="D11" s="116" t="str">
        <f>IF(C11="Str",'Personal File'!$C$11,IF(C11="Dex",'Personal File'!$C$12,IF(C11="Con",'Personal File'!$C$13,IF(C11="Int",'Personal File'!$C$14,IF(C11="Wis",'Personal File'!$C$15,IF(C11="Cha",'Personal File'!$C$16))))))</f>
        <v>+0</v>
      </c>
      <c r="E11" s="116" t="str">
        <f t="shared" si="7"/>
        <v>Int (+0)</v>
      </c>
      <c r="F11" s="95" t="s">
        <v>52</v>
      </c>
      <c r="G11" s="95">
        <f t="shared" si="1"/>
        <v>4</v>
      </c>
      <c r="H11" s="73">
        <f t="shared" ca="1" si="8"/>
        <v>5</v>
      </c>
      <c r="I11" s="387">
        <f t="shared" ca="1" si="5"/>
        <v>9</v>
      </c>
      <c r="J11" s="241"/>
    </row>
    <row r="12" spans="1:10" s="7" customFormat="1" ht="16.8">
      <c r="A12" s="97" t="s">
        <v>32</v>
      </c>
      <c r="B12" s="98">
        <v>0</v>
      </c>
      <c r="C12" s="99" t="s">
        <v>22</v>
      </c>
      <c r="D12" s="100" t="str">
        <f>IF(C12="Str",'Personal File'!$C$11,IF(C12="Dex",'Personal File'!$C$12,IF(C12="Con",'Personal File'!$C$13,IF(C12="Int",'Personal File'!$C$14,IF(C12="Wis",'Personal File'!$C$15,IF(C12="Cha",'Personal File'!$C$16))))))</f>
        <v>+0</v>
      </c>
      <c r="E12" s="100" t="str">
        <f t="shared" si="7"/>
        <v>Int (+0)</v>
      </c>
      <c r="F12" s="101" t="s">
        <v>52</v>
      </c>
      <c r="G12" s="101">
        <f t="shared" si="1"/>
        <v>0</v>
      </c>
      <c r="H12" s="73">
        <f t="shared" ca="1" si="8"/>
        <v>1</v>
      </c>
      <c r="I12" s="101">
        <f t="shared" ca="1" si="5"/>
        <v>1</v>
      </c>
      <c r="J12" s="240"/>
    </row>
    <row r="13" spans="1:10" s="8" customFormat="1" ht="16.8">
      <c r="A13" s="268" t="s">
        <v>33</v>
      </c>
      <c r="B13" s="269">
        <v>0</v>
      </c>
      <c r="C13" s="270" t="s">
        <v>20</v>
      </c>
      <c r="D13" s="271" t="str">
        <f>IF(C13="Str",'Personal File'!$C$11,IF(C13="Dex",'Personal File'!$C$12,IF(C13="Con",'Personal File'!$C$13,IF(C13="Int",'Personal File'!$C$14,IF(C13="Wis",'Personal File'!$C$15,IF(C13="Cha",'Personal File'!$C$16))))))</f>
        <v>+1</v>
      </c>
      <c r="E13" s="272" t="str">
        <f t="shared" si="7"/>
        <v>Cha (+1)</v>
      </c>
      <c r="F13" s="273" t="s">
        <v>52</v>
      </c>
      <c r="G13" s="273">
        <f t="shared" si="1"/>
        <v>1</v>
      </c>
      <c r="H13" s="73">
        <f t="shared" ca="1" si="8"/>
        <v>20</v>
      </c>
      <c r="I13" s="273">
        <f t="shared" ca="1" si="5"/>
        <v>21</v>
      </c>
      <c r="J13" s="274"/>
    </row>
    <row r="14" spans="1:10" s="8" customFormat="1" ht="16.8">
      <c r="A14" s="97" t="s">
        <v>34</v>
      </c>
      <c r="B14" s="98">
        <v>0</v>
      </c>
      <c r="C14" s="99" t="s">
        <v>22</v>
      </c>
      <c r="D14" s="100" t="str">
        <f>IF(C14="Str",'Personal File'!$C$11,IF(C14="Dex",'Personal File'!$C$12,IF(C14="Con",'Personal File'!$C$13,IF(C14="Int",'Personal File'!$C$14,IF(C14="Wis",'Personal File'!$C$15,IF(C14="Cha",'Personal File'!$C$16))))))</f>
        <v>+0</v>
      </c>
      <c r="E14" s="100" t="str">
        <f t="shared" si="7"/>
        <v>Int (+0)</v>
      </c>
      <c r="F14" s="101" t="s">
        <v>52</v>
      </c>
      <c r="G14" s="101">
        <f t="shared" si="1"/>
        <v>0</v>
      </c>
      <c r="H14" s="73">
        <f t="shared" ca="1" si="8"/>
        <v>20</v>
      </c>
      <c r="I14" s="101">
        <f t="shared" ca="1" si="5"/>
        <v>20</v>
      </c>
      <c r="J14" s="240"/>
    </row>
    <row r="15" spans="1:10" s="8" customFormat="1" ht="16.8">
      <c r="A15" s="90" t="s">
        <v>35</v>
      </c>
      <c r="B15" s="83">
        <v>0</v>
      </c>
      <c r="C15" s="91" t="s">
        <v>20</v>
      </c>
      <c r="D15" s="92" t="str">
        <f>IF(C15="Str",'Personal File'!$C$11,IF(C15="Dex",'Personal File'!$C$12,IF(C15="Con",'Personal File'!$C$13,IF(C15="Int",'Personal File'!$C$14,IF(C15="Wis",'Personal File'!$C$15,IF(C15="Cha",'Personal File'!$C$16))))))</f>
        <v>+1</v>
      </c>
      <c r="E15" s="93" t="str">
        <f t="shared" si="7"/>
        <v>Cha (+1)</v>
      </c>
      <c r="F15" s="87" t="s">
        <v>52</v>
      </c>
      <c r="G15" s="87">
        <f t="shared" si="1"/>
        <v>1</v>
      </c>
      <c r="H15" s="73">
        <f t="shared" ca="1" si="8"/>
        <v>18</v>
      </c>
      <c r="I15" s="87">
        <f t="shared" ca="1" si="5"/>
        <v>19</v>
      </c>
      <c r="J15" s="126"/>
    </row>
    <row r="16" spans="1:10" s="8" customFormat="1" ht="16.8">
      <c r="A16" s="88" t="s">
        <v>36</v>
      </c>
      <c r="B16" s="83">
        <v>0</v>
      </c>
      <c r="C16" s="89" t="s">
        <v>24</v>
      </c>
      <c r="D16" s="75" t="str">
        <f>IF(C16="Str",'Personal File'!$C$11,IF(C16="Dex",'Personal File'!$C$12,IF(C16="Con",'Personal File'!$C$13,IF(C16="Int",'Personal File'!$C$14,IF(C16="Wis",'Personal File'!$C$15,IF(C16="Cha",'Personal File'!$C$16))))))</f>
        <v>+2</v>
      </c>
      <c r="E16" s="76" t="str">
        <f t="shared" si="7"/>
        <v>Dex (+2)</v>
      </c>
      <c r="F16" s="251">
        <f>SUM(Martial!$D$19:$D$21)</f>
        <v>0</v>
      </c>
      <c r="G16" s="87">
        <f t="shared" si="1"/>
        <v>2</v>
      </c>
      <c r="H16" s="73">
        <f t="shared" ca="1" si="8"/>
        <v>9</v>
      </c>
      <c r="I16" s="87">
        <f t="shared" ca="1" si="5"/>
        <v>11</v>
      </c>
      <c r="J16" s="126"/>
    </row>
    <row r="17" spans="1:10" s="8" customFormat="1" ht="16.8">
      <c r="A17" s="105" t="s">
        <v>37</v>
      </c>
      <c r="B17" s="106">
        <v>0</v>
      </c>
      <c r="C17" s="107" t="s">
        <v>22</v>
      </c>
      <c r="D17" s="108" t="str">
        <f>IF(C17="Str",'Personal File'!$C$11,IF(C17="Dex",'Personal File'!$C$12,IF(C17="Con",'Personal File'!$C$13,IF(C17="Int",'Personal File'!$C$14,IF(C17="Wis",'Personal File'!$C$15,IF(C17="Cha",'Personal File'!$C$16))))))</f>
        <v>+0</v>
      </c>
      <c r="E17" s="108" t="str">
        <f t="shared" si="7"/>
        <v>Int (+0)</v>
      </c>
      <c r="F17" s="109" t="s">
        <v>52</v>
      </c>
      <c r="G17" s="109">
        <f t="shared" si="1"/>
        <v>0</v>
      </c>
      <c r="H17" s="73">
        <f t="shared" ca="1" si="8"/>
        <v>15</v>
      </c>
      <c r="I17" s="109">
        <f t="shared" ca="1" si="5"/>
        <v>15</v>
      </c>
      <c r="J17" s="242"/>
    </row>
    <row r="18" spans="1:10" s="8" customFormat="1" ht="16.8">
      <c r="A18" s="90" t="s">
        <v>38</v>
      </c>
      <c r="B18" s="83">
        <v>0</v>
      </c>
      <c r="C18" s="91" t="s">
        <v>20</v>
      </c>
      <c r="D18" s="92" t="str">
        <f>IF(C18="Str",'Personal File'!$C$11,IF(C18="Dex",'Personal File'!$C$12,IF(C18="Con",'Personal File'!$C$13,IF(C18="Int",'Personal File'!$C$14,IF(C18="Wis",'Personal File'!$C$15,IF(C18="Cha",'Personal File'!$C$16))))))</f>
        <v>+1</v>
      </c>
      <c r="E18" s="93" t="str">
        <f t="shared" si="7"/>
        <v>Cha (+1)</v>
      </c>
      <c r="F18" s="87" t="s">
        <v>52</v>
      </c>
      <c r="G18" s="87">
        <f t="shared" si="1"/>
        <v>1</v>
      </c>
      <c r="H18" s="73">
        <f t="shared" ca="1" si="8"/>
        <v>19</v>
      </c>
      <c r="I18" s="87">
        <f t="shared" ca="1" si="5"/>
        <v>20</v>
      </c>
      <c r="J18" s="126"/>
    </row>
    <row r="19" spans="1:10" s="8" customFormat="1" ht="16.8">
      <c r="A19" s="90" t="s">
        <v>9</v>
      </c>
      <c r="B19" s="83">
        <v>0</v>
      </c>
      <c r="C19" s="91" t="s">
        <v>20</v>
      </c>
      <c r="D19" s="92" t="str">
        <f>IF(C19="Str",'Personal File'!$C$11,IF(C19="Dex",'Personal File'!$C$12,IF(C19="Con",'Personal File'!$C$13,IF(C19="Int",'Personal File'!$C$14,IF(C19="Wis",'Personal File'!$C$15,IF(C19="Cha",'Personal File'!$C$16))))))</f>
        <v>+1</v>
      </c>
      <c r="E19" s="92" t="str">
        <f t="shared" si="7"/>
        <v>Cha (+1)</v>
      </c>
      <c r="F19" s="87" t="s">
        <v>52</v>
      </c>
      <c r="G19" s="87">
        <f t="shared" si="1"/>
        <v>1</v>
      </c>
      <c r="H19" s="73">
        <f t="shared" ca="1" si="8"/>
        <v>6</v>
      </c>
      <c r="I19" s="87">
        <f t="shared" ca="1" si="5"/>
        <v>7</v>
      </c>
      <c r="J19" s="126"/>
    </row>
    <row r="20" spans="1:10" s="8" customFormat="1" ht="16.8">
      <c r="A20" s="452" t="s">
        <v>39</v>
      </c>
      <c r="B20" s="83">
        <v>0</v>
      </c>
      <c r="C20" s="453" t="s">
        <v>23</v>
      </c>
      <c r="D20" s="454" t="str">
        <f>IF(C20="Str",'Personal File'!$C$11,IF(C20="Dex",'Personal File'!$C$12,IF(C20="Con",'Personal File'!$C$13,IF(C20="Int",'Personal File'!$C$14,IF(C20="Wis",'Personal File'!$C$15,IF(C20="Cha",'Personal File'!$C$16))))))</f>
        <v>+1</v>
      </c>
      <c r="E20" s="454" t="str">
        <f t="shared" si="7"/>
        <v>Wis (+1)</v>
      </c>
      <c r="F20" s="251">
        <f>SUM(Martial!$D$19:$D$21)</f>
        <v>0</v>
      </c>
      <c r="G20" s="87">
        <f t="shared" si="1"/>
        <v>1</v>
      </c>
      <c r="H20" s="73">
        <f t="shared" ca="1" si="8"/>
        <v>6</v>
      </c>
      <c r="I20" s="87">
        <f t="shared" ca="1" si="5"/>
        <v>7</v>
      </c>
      <c r="J20" s="126"/>
    </row>
    <row r="21" spans="1:10" s="8" customFormat="1" ht="16.8">
      <c r="A21" s="368" t="s">
        <v>40</v>
      </c>
      <c r="B21" s="94">
        <v>5</v>
      </c>
      <c r="C21" s="369" t="s">
        <v>24</v>
      </c>
      <c r="D21" s="370" t="str">
        <f>IF(C21="Str",'Personal File'!$C$11,IF(C21="Dex",'Personal File'!$C$12,IF(C21="Con",'Personal File'!$C$13,IF(C21="Int",'Personal File'!$C$14,IF(C21="Wis",'Personal File'!$C$15,IF(C21="Cha",'Personal File'!$C$16))))))</f>
        <v>+2</v>
      </c>
      <c r="E21" s="370" t="str">
        <f t="shared" si="7"/>
        <v>Dex (+2)</v>
      </c>
      <c r="F21" s="367">
        <f>SUM(Martial!$D$19:$D$21)</f>
        <v>0</v>
      </c>
      <c r="G21" s="95">
        <f t="shared" si="1"/>
        <v>7</v>
      </c>
      <c r="H21" s="73">
        <f t="shared" ca="1" si="8"/>
        <v>6</v>
      </c>
      <c r="I21" s="95">
        <f t="shared" ca="1" si="5"/>
        <v>13</v>
      </c>
      <c r="J21" s="241"/>
    </row>
    <row r="22" spans="1:10" s="8" customFormat="1" ht="16.8">
      <c r="A22" s="110" t="s">
        <v>41</v>
      </c>
      <c r="B22" s="106">
        <v>0</v>
      </c>
      <c r="C22" s="111" t="s">
        <v>20</v>
      </c>
      <c r="D22" s="112" t="str">
        <f>IF(C22="Str",'Personal File'!$C$11,IF(C22="Dex",'Personal File'!$C$12,IF(C22="Con",'Personal File'!$C$13,IF(C22="Int",'Personal File'!$C$14,IF(C22="Wis",'Personal File'!$C$15,IF(C22="Cha",'Personal File'!$C$16))))))</f>
        <v>+1</v>
      </c>
      <c r="E22" s="113" t="str">
        <f t="shared" si="7"/>
        <v>Cha (+1)</v>
      </c>
      <c r="F22" s="109" t="s">
        <v>52</v>
      </c>
      <c r="G22" s="109">
        <f t="shared" si="1"/>
        <v>1</v>
      </c>
      <c r="H22" s="73">
        <f t="shared" ca="1" si="8"/>
        <v>5</v>
      </c>
      <c r="I22" s="109">
        <f t="shared" ca="1" si="5"/>
        <v>6</v>
      </c>
      <c r="J22" s="242"/>
    </row>
    <row r="23" spans="1:10" s="8" customFormat="1" ht="16.8">
      <c r="A23" s="449" t="s">
        <v>42</v>
      </c>
      <c r="B23" s="83">
        <v>0</v>
      </c>
      <c r="C23" s="450" t="s">
        <v>25</v>
      </c>
      <c r="D23" s="451" t="str">
        <f>IF(C23="Str",'Personal File'!$C$11,IF(C23="Dex",'Personal File'!$C$12,IF(C23="Con",'Personal File'!$C$13,IF(C23="Int",'Personal File'!$C$14,IF(C23="Wis",'Personal File'!$C$15,IF(C23="Cha",'Personal File'!$C$16))))))</f>
        <v>+2</v>
      </c>
      <c r="E23" s="451" t="str">
        <f t="shared" si="7"/>
        <v>Str (+2)</v>
      </c>
      <c r="F23" s="251">
        <f>SUM(Martial!$D$19:$D$21)</f>
        <v>0</v>
      </c>
      <c r="G23" s="87">
        <f t="shared" si="1"/>
        <v>2</v>
      </c>
      <c r="H23" s="73">
        <f t="shared" ca="1" si="8"/>
        <v>13</v>
      </c>
      <c r="I23" s="87">
        <f t="shared" ca="1" si="5"/>
        <v>15</v>
      </c>
      <c r="J23" s="126"/>
    </row>
    <row r="24" spans="1:10" s="8" customFormat="1" ht="16.8">
      <c r="A24" s="114" t="s">
        <v>249</v>
      </c>
      <c r="B24" s="94">
        <v>3</v>
      </c>
      <c r="C24" s="115" t="s">
        <v>22</v>
      </c>
      <c r="D24" s="116" t="str">
        <f>IF(C24="Str",'Personal File'!$C$11,IF(C24="Dex",'Personal File'!$C$12,IF(C24="Con",'Personal File'!$C$13,IF(C24="Int",'Personal File'!$C$14,IF(C24="Wis",'Personal File'!$C$15,IF(C24="Cha",'Personal File'!$C$16))))))</f>
        <v>+0</v>
      </c>
      <c r="E24" s="116" t="str">
        <f>CONCATENATE(C24," (",D24,")")</f>
        <v>Int (+0)</v>
      </c>
      <c r="F24" s="95" t="s">
        <v>52</v>
      </c>
      <c r="G24" s="95">
        <f t="shared" ref="G24" si="9">B24+D24+F24</f>
        <v>3</v>
      </c>
      <c r="H24" s="73">
        <f t="shared" ca="1" si="8"/>
        <v>19</v>
      </c>
      <c r="I24" s="95">
        <f t="shared" ref="I24" ca="1" si="10">SUM(G24:H24)</f>
        <v>22</v>
      </c>
      <c r="J24" s="96"/>
    </row>
    <row r="25" spans="1:10" s="8" customFormat="1" ht="16.8">
      <c r="A25" s="114" t="s">
        <v>330</v>
      </c>
      <c r="B25" s="94">
        <v>3</v>
      </c>
      <c r="C25" s="115" t="s">
        <v>22</v>
      </c>
      <c r="D25" s="116" t="str">
        <f>IF(C25="Str",'Personal File'!$C$11,IF(C25="Dex",'Personal File'!$C$12,IF(C25="Con",'Personal File'!$C$13,IF(C25="Int",'Personal File'!$C$14,IF(C25="Wis",'Personal File'!$C$15,IF(C25="Cha",'Personal File'!$C$16))))))</f>
        <v>+0</v>
      </c>
      <c r="E25" s="116" t="str">
        <f>CONCATENATE(C25," (",D25,")")</f>
        <v>Int (+0)</v>
      </c>
      <c r="F25" s="95" t="s">
        <v>52</v>
      </c>
      <c r="G25" s="95">
        <f t="shared" ref="G25" si="11">B25+D25+F25</f>
        <v>3</v>
      </c>
      <c r="H25" s="73">
        <f t="shared" ca="1" si="8"/>
        <v>17</v>
      </c>
      <c r="I25" s="95">
        <f t="shared" ref="I25" ca="1" si="12">SUM(G25:H25)</f>
        <v>20</v>
      </c>
      <c r="J25" s="96"/>
    </row>
    <row r="26" spans="1:10" s="8" customFormat="1" ht="16.8">
      <c r="A26" s="255" t="s">
        <v>43</v>
      </c>
      <c r="B26" s="94">
        <v>3</v>
      </c>
      <c r="C26" s="256" t="s">
        <v>23</v>
      </c>
      <c r="D26" s="257" t="str">
        <f>IF(C26="Str",'Personal File'!$C$11,IF(C26="Dex",'Personal File'!$C$12,IF(C26="Con",'Personal File'!$C$13,IF(C26="Int",'Personal File'!$C$14,IF(C26="Wis",'Personal File'!$C$15,IF(C26="Cha",'Personal File'!$C$16))))))</f>
        <v>+1</v>
      </c>
      <c r="E26" s="371" t="str">
        <f t="shared" si="7"/>
        <v>Wis (+1)</v>
      </c>
      <c r="F26" s="95" t="s">
        <v>52</v>
      </c>
      <c r="G26" s="95">
        <f t="shared" si="1"/>
        <v>4</v>
      </c>
      <c r="H26" s="73">
        <f t="shared" ca="1" si="8"/>
        <v>14</v>
      </c>
      <c r="I26" s="95">
        <f t="shared" ca="1" si="5"/>
        <v>18</v>
      </c>
      <c r="J26" s="96"/>
    </row>
    <row r="27" spans="1:10" s="8" customFormat="1" ht="16.8">
      <c r="A27" s="88" t="s">
        <v>10</v>
      </c>
      <c r="B27" s="83">
        <v>0</v>
      </c>
      <c r="C27" s="89" t="s">
        <v>24</v>
      </c>
      <c r="D27" s="75" t="str">
        <f>IF(C27="Str",'Personal File'!$C$11,IF(C27="Dex",'Personal File'!$C$12,IF(C27="Con",'Personal File'!$C$13,IF(C27="Int",'Personal File'!$C$14,IF(C27="Wis",'Personal File'!$C$15,IF(C27="Cha",'Personal File'!$C$16))))))</f>
        <v>+2</v>
      </c>
      <c r="E27" s="75" t="str">
        <f t="shared" si="7"/>
        <v>Dex (+2)</v>
      </c>
      <c r="F27" s="251">
        <f>SUM(Martial!$D$19:$D$21)</f>
        <v>0</v>
      </c>
      <c r="G27" s="87">
        <f t="shared" si="1"/>
        <v>2</v>
      </c>
      <c r="H27" s="73">
        <f t="shared" ca="1" si="8"/>
        <v>9</v>
      </c>
      <c r="I27" s="87">
        <f t="shared" ca="1" si="5"/>
        <v>11</v>
      </c>
      <c r="J27" s="77"/>
    </row>
    <row r="28" spans="1:10" s="8" customFormat="1" ht="16.8">
      <c r="A28" s="117" t="s">
        <v>44</v>
      </c>
      <c r="B28" s="98">
        <v>0</v>
      </c>
      <c r="C28" s="118" t="s">
        <v>24</v>
      </c>
      <c r="D28" s="119" t="str">
        <f>IF(C28="Str",'Personal File'!$C$11,IF(C28="Dex",'Personal File'!$C$12,IF(C28="Con",'Personal File'!$C$13,IF(C28="Int",'Personal File'!$C$14,IF(C28="Wis",'Personal File'!$C$15,IF(C28="Cha",'Personal File'!$C$16))))))</f>
        <v>+2</v>
      </c>
      <c r="E28" s="119" t="str">
        <f t="shared" si="7"/>
        <v>Dex (+2)</v>
      </c>
      <c r="F28" s="101" t="s">
        <v>52</v>
      </c>
      <c r="G28" s="101">
        <f t="shared" si="1"/>
        <v>2</v>
      </c>
      <c r="H28" s="73">
        <f t="shared" ca="1" si="8"/>
        <v>5</v>
      </c>
      <c r="I28" s="101">
        <f t="shared" ca="1" si="5"/>
        <v>7</v>
      </c>
      <c r="J28" s="102"/>
    </row>
    <row r="29" spans="1:10" ht="16.8">
      <c r="A29" s="90" t="s">
        <v>70</v>
      </c>
      <c r="B29" s="83">
        <v>0</v>
      </c>
      <c r="C29" s="91" t="s">
        <v>20</v>
      </c>
      <c r="D29" s="92" t="str">
        <f>IF(C29="Str",'Personal File'!$C$11,IF(C29="Dex",'Personal File'!$C$12,IF(C29="Con",'Personal File'!$C$13,IF(C29="Int",'Personal File'!$C$14,IF(C29="Wis",'Personal File'!$C$15,IF(C29="Cha",'Personal File'!$C$16))))))</f>
        <v>+1</v>
      </c>
      <c r="E29" s="92" t="str">
        <f t="shared" si="7"/>
        <v>Cha (+1)</v>
      </c>
      <c r="F29" s="87" t="s">
        <v>52</v>
      </c>
      <c r="G29" s="87">
        <f t="shared" si="1"/>
        <v>1</v>
      </c>
      <c r="H29" s="73">
        <f t="shared" ca="1" si="8"/>
        <v>15</v>
      </c>
      <c r="I29" s="87">
        <f t="shared" ca="1" si="5"/>
        <v>16</v>
      </c>
      <c r="J29" s="77"/>
    </row>
    <row r="30" spans="1:10" ht="16.8">
      <c r="A30" s="103" t="s">
        <v>250</v>
      </c>
      <c r="B30" s="94">
        <v>5</v>
      </c>
      <c r="C30" s="256" t="s">
        <v>23</v>
      </c>
      <c r="D30" s="257" t="str">
        <f>IF(C30="Str",'Personal File'!$C$11,IF(C30="Dex",'Personal File'!$C$12,IF(C30="Con",'Personal File'!$C$13,IF(C30="Int",'Personal File'!$C$14,IF(C30="Wis",'Personal File'!$C$15,IF(C30="Cha",'Personal File'!$C$16))))))</f>
        <v>+1</v>
      </c>
      <c r="E30" s="257" t="str">
        <f t="shared" si="7"/>
        <v>Wis (+1)</v>
      </c>
      <c r="F30" s="95" t="s">
        <v>52</v>
      </c>
      <c r="G30" s="95">
        <f t="shared" si="1"/>
        <v>6</v>
      </c>
      <c r="H30" s="73">
        <f t="shared" ca="1" si="8"/>
        <v>16</v>
      </c>
      <c r="I30" s="95">
        <f t="shared" ca="1" si="5"/>
        <v>22</v>
      </c>
      <c r="J30" s="96"/>
    </row>
    <row r="31" spans="1:10" ht="16.8">
      <c r="A31" s="103" t="s">
        <v>332</v>
      </c>
      <c r="B31" s="94">
        <v>2</v>
      </c>
      <c r="C31" s="256" t="s">
        <v>23</v>
      </c>
      <c r="D31" s="257" t="str">
        <f>IF(C31="Str",'Personal File'!$C$11,IF(C31="Dex",'Personal File'!$C$12,IF(C31="Con",'Personal File'!$C$13,IF(C31="Int",'Personal File'!$C$14,IF(C31="Wis",'Personal File'!$C$15,IF(C31="Cha",'Personal File'!$C$16))))))</f>
        <v>+1</v>
      </c>
      <c r="E31" s="257" t="str">
        <f t="shared" ref="E31" si="13">CONCATENATE(C31," (",D31,")")</f>
        <v>Wis (+1)</v>
      </c>
      <c r="F31" s="95" t="s">
        <v>52</v>
      </c>
      <c r="G31" s="95">
        <f t="shared" ref="G31" si="14">B31+D31+F31</f>
        <v>3</v>
      </c>
      <c r="H31" s="73">
        <f t="shared" ca="1" si="8"/>
        <v>13</v>
      </c>
      <c r="I31" s="95">
        <f t="shared" ref="I31" ca="1" si="15">SUM(G31:H31)</f>
        <v>16</v>
      </c>
      <c r="J31" s="96"/>
    </row>
    <row r="32" spans="1:10" ht="16.8">
      <c r="A32" s="103" t="s">
        <v>331</v>
      </c>
      <c r="B32" s="94">
        <v>2</v>
      </c>
      <c r="C32" s="256" t="s">
        <v>23</v>
      </c>
      <c r="D32" s="257" t="str">
        <f>IF(C32="Str",'Personal File'!$C$11,IF(C32="Dex",'Personal File'!$C$12,IF(C32="Con",'Personal File'!$C$13,IF(C32="Int",'Personal File'!$C$14,IF(C32="Wis",'Personal File'!$C$15,IF(C32="Cha",'Personal File'!$C$16))))))</f>
        <v>+1</v>
      </c>
      <c r="E32" s="257" t="str">
        <f t="shared" ref="E32" si="16">CONCATENATE(C32," (",D32,")")</f>
        <v>Wis (+1)</v>
      </c>
      <c r="F32" s="95" t="s">
        <v>52</v>
      </c>
      <c r="G32" s="95">
        <f t="shared" ref="G32" si="17">B32+D32+F32</f>
        <v>3</v>
      </c>
      <c r="H32" s="73">
        <f t="shared" ca="1" si="8"/>
        <v>6</v>
      </c>
      <c r="I32" s="95">
        <f t="shared" ref="I32" ca="1" si="18">SUM(G32:H32)</f>
        <v>9</v>
      </c>
      <c r="J32" s="96"/>
    </row>
    <row r="33" spans="1:10" ht="16.8">
      <c r="A33" s="360" t="s">
        <v>11</v>
      </c>
      <c r="B33" s="361">
        <v>0</v>
      </c>
      <c r="C33" s="362" t="s">
        <v>24</v>
      </c>
      <c r="D33" s="363" t="str">
        <f>IF(C33="Str",'Personal File'!$C$11,IF(C33="Dex",'Personal File'!$C$12,IF(C33="Con",'Personal File'!$C$13,IF(C33="Int",'Personal File'!$C$14,IF(C33="Wis",'Personal File'!$C$15,IF(C33="Cha",'Personal File'!$C$16))))))</f>
        <v>+2</v>
      </c>
      <c r="E33" s="364" t="str">
        <f t="shared" si="7"/>
        <v>Dex (+2)</v>
      </c>
      <c r="F33" s="365" t="s">
        <v>52</v>
      </c>
      <c r="G33" s="365">
        <f t="shared" si="1"/>
        <v>2</v>
      </c>
      <c r="H33" s="73">
        <f t="shared" ca="1" si="8"/>
        <v>7</v>
      </c>
      <c r="I33" s="365">
        <f t="shared" ca="1" si="5"/>
        <v>9</v>
      </c>
      <c r="J33" s="366"/>
    </row>
    <row r="34" spans="1:10" ht="16.8">
      <c r="A34" s="114" t="s">
        <v>12</v>
      </c>
      <c r="B34" s="94">
        <v>2</v>
      </c>
      <c r="C34" s="115" t="s">
        <v>22</v>
      </c>
      <c r="D34" s="116" t="str">
        <f>IF(C34="Str",'Personal File'!$C$11,IF(C34="Dex",'Personal File'!$C$12,IF(C34="Con",'Personal File'!$C$13,IF(C34="Int",'Personal File'!$C$14,IF(C34="Wis",'Personal File'!$C$15,IF(C34="Cha",'Personal File'!$C$16))))))</f>
        <v>+0</v>
      </c>
      <c r="E34" s="116" t="str">
        <f t="shared" si="7"/>
        <v>Int (+0)</v>
      </c>
      <c r="F34" s="95" t="s">
        <v>52</v>
      </c>
      <c r="G34" s="95">
        <f t="shared" si="1"/>
        <v>2</v>
      </c>
      <c r="H34" s="73">
        <f t="shared" ca="1" si="8"/>
        <v>11</v>
      </c>
      <c r="I34" s="95">
        <f t="shared" ca="1" si="5"/>
        <v>13</v>
      </c>
      <c r="J34" s="96"/>
    </row>
    <row r="35" spans="1:10" ht="16.8">
      <c r="A35" s="452" t="s">
        <v>45</v>
      </c>
      <c r="B35" s="83">
        <v>0</v>
      </c>
      <c r="C35" s="453" t="s">
        <v>23</v>
      </c>
      <c r="D35" s="454" t="str">
        <f>IF(C35="Str",'Personal File'!$C$11,IF(C35="Dex",'Personal File'!$C$12,IF(C35="Con",'Personal File'!$C$13,IF(C35="Int",'Personal File'!$C$14,IF(C35="Wis",'Personal File'!$C$15,IF(C35="Cha",'Personal File'!$C$16))))))</f>
        <v>+1</v>
      </c>
      <c r="E35" s="454" t="str">
        <f t="shared" si="7"/>
        <v>Wis (+1)</v>
      </c>
      <c r="F35" s="87" t="s">
        <v>52</v>
      </c>
      <c r="G35" s="87">
        <f t="shared" si="1"/>
        <v>1</v>
      </c>
      <c r="H35" s="73">
        <f t="shared" ca="1" si="8"/>
        <v>1</v>
      </c>
      <c r="I35" s="87">
        <f t="shared" ca="1" si="5"/>
        <v>2</v>
      </c>
      <c r="J35" s="77"/>
    </row>
    <row r="36" spans="1:10" ht="16.8">
      <c r="A36" s="117" t="s">
        <v>71</v>
      </c>
      <c r="B36" s="98">
        <v>0</v>
      </c>
      <c r="C36" s="118" t="s">
        <v>24</v>
      </c>
      <c r="D36" s="119" t="str">
        <f>IF(C36="Str",'Personal File'!$C$11,IF(C36="Dex",'Personal File'!$C$12,IF(C36="Con",'Personal File'!$C$13,IF(C36="Int",'Personal File'!$C$14,IF(C36="Wis",'Personal File'!$C$15,IF(C36="Cha",'Personal File'!$C$16))))))</f>
        <v>+2</v>
      </c>
      <c r="E36" s="119" t="str">
        <f t="shared" si="7"/>
        <v>Dex (+2)</v>
      </c>
      <c r="F36" s="124">
        <f>SUM(Martial!$D$19:$D$21)</f>
        <v>0</v>
      </c>
      <c r="G36" s="101">
        <f t="shared" si="1"/>
        <v>2</v>
      </c>
      <c r="H36" s="73">
        <f t="shared" ca="1" si="8"/>
        <v>19</v>
      </c>
      <c r="I36" s="101">
        <f t="shared" ca="1" si="5"/>
        <v>21</v>
      </c>
      <c r="J36" s="102"/>
    </row>
    <row r="37" spans="1:10" ht="16.8">
      <c r="A37" s="120" t="s">
        <v>357</v>
      </c>
      <c r="B37" s="121">
        <v>0</v>
      </c>
      <c r="C37" s="122" t="s">
        <v>22</v>
      </c>
      <c r="D37" s="123" t="str">
        <f>IF(C37="Str",'Personal File'!$C$11,IF(C37="Dex",'Personal File'!$C$12,IF(C37="Con",'Personal File'!$C$13,IF(C37="Int",'Personal File'!$C$14,IF(C37="Wis",'Personal File'!$C$15,IF(C37="Cha",'Personal File'!$C$16))))))</f>
        <v>+0</v>
      </c>
      <c r="E37" s="123" t="str">
        <f t="shared" ref="E37" si="19">CONCATENATE(C37," (",D37,")")</f>
        <v>Int (+0)</v>
      </c>
      <c r="F37" s="124" t="s">
        <v>52</v>
      </c>
      <c r="G37" s="124">
        <f t="shared" ref="G37" si="20">B37+D37+F37</f>
        <v>0</v>
      </c>
      <c r="H37" s="73">
        <f t="shared" ca="1" si="8"/>
        <v>2</v>
      </c>
      <c r="I37" s="124">
        <f t="shared" ref="I37" ca="1" si="21">SUM(G37:H37)</f>
        <v>2</v>
      </c>
      <c r="J37" s="125"/>
    </row>
    <row r="38" spans="1:10" ht="16.8">
      <c r="A38" s="120" t="s">
        <v>46</v>
      </c>
      <c r="B38" s="121">
        <v>0</v>
      </c>
      <c r="C38" s="122" t="s">
        <v>22</v>
      </c>
      <c r="D38" s="123" t="str">
        <f>IF(C38="Str",'Personal File'!$C$11,IF(C38="Dex",'Personal File'!$C$12,IF(C38="Con",'Personal File'!$C$13,IF(C38="Int",'Personal File'!$C$14,IF(C38="Wis",'Personal File'!$C$15,IF(C38="Cha",'Personal File'!$C$16))))))</f>
        <v>+0</v>
      </c>
      <c r="E38" s="123" t="str">
        <f t="shared" si="7"/>
        <v>Int (+0)</v>
      </c>
      <c r="F38" s="124" t="s">
        <v>52</v>
      </c>
      <c r="G38" s="124">
        <f t="shared" si="1"/>
        <v>0</v>
      </c>
      <c r="H38" s="73">
        <f t="shared" ca="1" si="8"/>
        <v>19</v>
      </c>
      <c r="I38" s="124">
        <f t="shared" ca="1" si="5"/>
        <v>19</v>
      </c>
      <c r="J38" s="125"/>
    </row>
    <row r="39" spans="1:10" ht="16.8">
      <c r="A39" s="255" t="s">
        <v>47</v>
      </c>
      <c r="B39" s="94">
        <v>5</v>
      </c>
      <c r="C39" s="256" t="s">
        <v>23</v>
      </c>
      <c r="D39" s="257" t="str">
        <f>IF(C39="Str",'Personal File'!$C$11,IF(C39="Dex",'Personal File'!$C$12,IF(C39="Con",'Personal File'!$C$13,IF(C39="Int",'Personal File'!$C$14,IF(C39="Wis",'Personal File'!$C$15,IF(C39="Cha",'Personal File'!$C$16))))))</f>
        <v>+1</v>
      </c>
      <c r="E39" s="257" t="str">
        <f t="shared" si="7"/>
        <v>Wis (+1)</v>
      </c>
      <c r="F39" s="95" t="s">
        <v>52</v>
      </c>
      <c r="G39" s="95">
        <f t="shared" si="1"/>
        <v>6</v>
      </c>
      <c r="H39" s="73">
        <f t="shared" ca="1" si="8"/>
        <v>18</v>
      </c>
      <c r="I39" s="95">
        <f t="shared" ca="1" si="5"/>
        <v>24</v>
      </c>
      <c r="J39" s="96"/>
    </row>
    <row r="40" spans="1:10" ht="16.8">
      <c r="A40" s="255" t="s">
        <v>72</v>
      </c>
      <c r="B40" s="94">
        <v>7</v>
      </c>
      <c r="C40" s="256" t="s">
        <v>23</v>
      </c>
      <c r="D40" s="257" t="str">
        <f>IF(C40="Str",'Personal File'!$C$11,IF(C40="Dex",'Personal File'!$C$12,IF(C40="Con",'Personal File'!$C$13,IF(C40="Int",'Personal File'!$C$14,IF(C40="Wis",'Personal File'!$C$15,IF(C40="Cha",'Personal File'!$C$16))))))</f>
        <v>+1</v>
      </c>
      <c r="E40" s="257" t="str">
        <f t="shared" si="7"/>
        <v>Wis (+1)</v>
      </c>
      <c r="F40" s="95" t="s">
        <v>52</v>
      </c>
      <c r="G40" s="95">
        <f t="shared" si="1"/>
        <v>8</v>
      </c>
      <c r="H40" s="73">
        <f t="shared" ca="1" si="8"/>
        <v>14</v>
      </c>
      <c r="I40" s="95">
        <f t="shared" ca="1" si="5"/>
        <v>22</v>
      </c>
      <c r="J40" s="241"/>
    </row>
    <row r="41" spans="1:10" ht="16.8">
      <c r="A41" s="186" t="s">
        <v>13</v>
      </c>
      <c r="B41" s="94">
        <v>4</v>
      </c>
      <c r="C41" s="187" t="s">
        <v>25</v>
      </c>
      <c r="D41" s="188" t="str">
        <f>IF(C41="Str",'Personal File'!$C$11,IF(C41="Dex",'Personal File'!$C$12,IF(C41="Con",'Personal File'!$C$13,IF(C41="Int",'Personal File'!$C$14,IF(C41="Wis",'Personal File'!$C$15,IF(C41="Cha",'Personal File'!$C$16))))))</f>
        <v>+2</v>
      </c>
      <c r="E41" s="188" t="str">
        <f t="shared" si="7"/>
        <v>Str (+2)</v>
      </c>
      <c r="F41" s="95" t="s">
        <v>52</v>
      </c>
      <c r="G41" s="95">
        <f t="shared" si="1"/>
        <v>6</v>
      </c>
      <c r="H41" s="73">
        <f t="shared" ca="1" si="8"/>
        <v>16</v>
      </c>
      <c r="I41" s="95">
        <f t="shared" ca="1" si="5"/>
        <v>22</v>
      </c>
      <c r="J41" s="96"/>
    </row>
    <row r="42" spans="1:10" ht="16.8">
      <c r="A42" s="127" t="s">
        <v>48</v>
      </c>
      <c r="B42" s="121">
        <v>0</v>
      </c>
      <c r="C42" s="128" t="s">
        <v>24</v>
      </c>
      <c r="D42" s="129" t="str">
        <f>IF(C42="Str",'Personal File'!$C$11,IF(C42="Dex",'Personal File'!$C$12,IF(C42="Con",'Personal File'!$C$13,IF(C42="Int",'Personal File'!$C$14,IF(C42="Wis",'Personal File'!$C$15,IF(C42="Cha",'Personal File'!$C$16))))))</f>
        <v>+2</v>
      </c>
      <c r="E42" s="129" t="str">
        <f t="shared" si="7"/>
        <v>Dex (+2)</v>
      </c>
      <c r="F42" s="124">
        <f>SUM(Martial!$D$19:$D$21)</f>
        <v>0</v>
      </c>
      <c r="G42" s="124">
        <f t="shared" si="1"/>
        <v>2</v>
      </c>
      <c r="H42" s="73">
        <f t="shared" ca="1" si="8"/>
        <v>11</v>
      </c>
      <c r="I42" s="124">
        <f t="shared" ca="1" si="5"/>
        <v>13</v>
      </c>
      <c r="J42" s="125"/>
    </row>
    <row r="43" spans="1:10" ht="16.8">
      <c r="A43" s="130" t="s">
        <v>49</v>
      </c>
      <c r="B43" s="98">
        <v>0</v>
      </c>
      <c r="C43" s="131" t="s">
        <v>20</v>
      </c>
      <c r="D43" s="132" t="str">
        <f>IF(C43="Str",'Personal File'!$C$11,IF(C43="Dex",'Personal File'!$C$12,IF(C43="Con",'Personal File'!$C$13,IF(C43="Int",'Personal File'!$C$14,IF(C43="Wis",'Personal File'!$C$15,IF(C43="Cha",'Personal File'!$C$16))))))</f>
        <v>+1</v>
      </c>
      <c r="E43" s="132" t="str">
        <f t="shared" si="7"/>
        <v>Cha (+1)</v>
      </c>
      <c r="F43" s="101" t="s">
        <v>52</v>
      </c>
      <c r="G43" s="101">
        <f t="shared" si="1"/>
        <v>1</v>
      </c>
      <c r="H43" s="73">
        <f t="shared" ca="1" si="8"/>
        <v>20</v>
      </c>
      <c r="I43" s="101">
        <f t="shared" ca="1" si="5"/>
        <v>21</v>
      </c>
      <c r="J43" s="102"/>
    </row>
    <row r="44" spans="1:10" ht="17.399999999999999" thickBot="1">
      <c r="A44" s="372" t="s">
        <v>50</v>
      </c>
      <c r="B44" s="373">
        <v>2</v>
      </c>
      <c r="C44" s="374" t="s">
        <v>24</v>
      </c>
      <c r="D44" s="375" t="str">
        <f>IF(C44="Str",'Personal File'!$C$11,IF(C44="Dex",'Personal File'!$C$12,IF(C44="Con",'Personal File'!$C$13,IF(C44="Int",'Personal File'!$C$14,IF(C44="Wis",'Personal File'!$C$15,IF(C44="Cha",'Personal File'!$C$16))))))</f>
        <v>+2</v>
      </c>
      <c r="E44" s="375" t="str">
        <f t="shared" si="7"/>
        <v>Dex (+2)</v>
      </c>
      <c r="F44" s="376" t="s">
        <v>52</v>
      </c>
      <c r="G44" s="376">
        <f t="shared" si="1"/>
        <v>4</v>
      </c>
      <c r="H44" s="133">
        <f t="shared" ref="H44" ca="1" si="22">RANDBETWEEN(1,20)</f>
        <v>2</v>
      </c>
      <c r="I44" s="376">
        <f t="shared" ca="1" si="5"/>
        <v>6</v>
      </c>
      <c r="J44" s="377"/>
    </row>
    <row r="45" spans="1:10" ht="16.2" thickTop="1">
      <c r="A45" s="177"/>
      <c r="B45" s="178">
        <f>SUM(B6:B44)</f>
        <v>56</v>
      </c>
      <c r="C45" s="179"/>
      <c r="D45" s="179"/>
      <c r="E45" s="178">
        <f>SUM(E46:E52)</f>
        <v>56</v>
      </c>
      <c r="F45" s="181" t="s">
        <v>53</v>
      </c>
      <c r="G45" s="179"/>
      <c r="H45" s="179"/>
      <c r="I45" s="179"/>
      <c r="J45" s="177"/>
    </row>
    <row r="46" spans="1:10">
      <c r="A46" s="177"/>
      <c r="B46" s="178"/>
      <c r="C46" s="179"/>
      <c r="D46" s="179"/>
      <c r="E46" s="183">
        <f>4*(8+'Personal File'!$C$14)</f>
        <v>32</v>
      </c>
      <c r="F46" s="181" t="s">
        <v>240</v>
      </c>
      <c r="G46" s="179"/>
      <c r="H46" s="179"/>
      <c r="I46" s="179"/>
      <c r="J46" s="177"/>
    </row>
    <row r="47" spans="1:10">
      <c r="A47" s="177"/>
      <c r="B47" s="178"/>
      <c r="C47" s="179"/>
      <c r="D47" s="179"/>
      <c r="E47" s="183">
        <f>8+'Personal File'!$C$14</f>
        <v>8</v>
      </c>
      <c r="F47" s="181" t="s">
        <v>304</v>
      </c>
      <c r="G47" s="179"/>
      <c r="H47" s="179"/>
      <c r="I47" s="179"/>
      <c r="J47" s="177"/>
    </row>
    <row r="48" spans="1:10">
      <c r="A48" s="177"/>
      <c r="B48" s="178"/>
      <c r="C48" s="179"/>
      <c r="D48" s="179"/>
      <c r="E48" s="183">
        <f>8+'Personal File'!$C$14</f>
        <v>8</v>
      </c>
      <c r="F48" s="181" t="s">
        <v>305</v>
      </c>
      <c r="G48" s="179"/>
      <c r="H48" s="179"/>
      <c r="I48" s="179"/>
      <c r="J48" s="177"/>
    </row>
    <row r="49" spans="1:10">
      <c r="A49" s="177"/>
      <c r="B49" s="178"/>
      <c r="C49" s="179"/>
      <c r="D49" s="179"/>
      <c r="E49" s="432">
        <v>0</v>
      </c>
      <c r="F49" s="181" t="s">
        <v>326</v>
      </c>
      <c r="G49" s="179"/>
      <c r="H49" s="179"/>
      <c r="I49" s="179"/>
      <c r="J49" s="177"/>
    </row>
    <row r="50" spans="1:10">
      <c r="A50" s="177"/>
      <c r="B50" s="178"/>
      <c r="C50" s="179"/>
      <c r="D50" s="179"/>
      <c r="E50" s="183">
        <f>8+'Personal File'!$C$14</f>
        <v>8</v>
      </c>
      <c r="F50" s="181" t="s">
        <v>327</v>
      </c>
      <c r="G50" s="179"/>
      <c r="H50" s="179"/>
      <c r="I50" s="179"/>
      <c r="J50" s="177"/>
    </row>
    <row r="51" spans="1:10">
      <c r="A51" s="177"/>
      <c r="B51" s="178"/>
      <c r="C51" s="179"/>
      <c r="D51" s="179"/>
      <c r="E51" s="432">
        <v>0</v>
      </c>
      <c r="F51" s="181" t="s">
        <v>329</v>
      </c>
      <c r="G51" s="179"/>
      <c r="H51" s="179"/>
      <c r="I51" s="179"/>
      <c r="J51" s="177"/>
    </row>
    <row r="52" spans="1:10">
      <c r="A52" s="177"/>
      <c r="B52" s="178"/>
      <c r="C52" s="179"/>
      <c r="D52" s="179"/>
      <c r="E52" s="183"/>
      <c r="F52" s="182"/>
      <c r="G52" s="179"/>
      <c r="H52" s="179"/>
      <c r="I52" s="179"/>
      <c r="J52" s="177"/>
    </row>
    <row r="53" spans="1:10">
      <c r="A53" s="177"/>
      <c r="B53" s="178"/>
      <c r="C53" s="179"/>
      <c r="D53" s="179"/>
      <c r="E53" s="183"/>
      <c r="F53" s="182"/>
      <c r="G53" s="179"/>
      <c r="H53" s="179"/>
      <c r="I53" s="179"/>
      <c r="J53" s="177"/>
    </row>
    <row r="54" spans="1:10">
      <c r="A54" s="177"/>
      <c r="B54" s="178"/>
      <c r="C54" s="179"/>
      <c r="D54" s="179"/>
      <c r="E54" s="183"/>
      <c r="F54" s="182"/>
      <c r="G54" s="179"/>
      <c r="H54" s="179"/>
      <c r="I54" s="179"/>
      <c r="J54" s="177"/>
    </row>
    <row r="55" spans="1:10">
      <c r="A55" s="177"/>
      <c r="B55" s="178"/>
      <c r="C55" s="179"/>
      <c r="D55" s="179"/>
      <c r="E55" s="183"/>
      <c r="F55" s="182"/>
      <c r="G55" s="179"/>
      <c r="H55" s="179"/>
      <c r="I55" s="179"/>
      <c r="J55" s="177"/>
    </row>
    <row r="56" spans="1:10">
      <c r="A56" s="177"/>
      <c r="B56" s="178"/>
      <c r="C56" s="179"/>
      <c r="D56" s="179"/>
      <c r="E56" s="183"/>
      <c r="F56" s="182"/>
      <c r="G56" s="179"/>
      <c r="H56" s="179"/>
      <c r="I56" s="179"/>
      <c r="J56" s="177"/>
    </row>
    <row r="57" spans="1:10">
      <c r="A57" s="177"/>
      <c r="B57" s="178"/>
      <c r="C57" s="179"/>
      <c r="D57" s="179"/>
      <c r="E57" s="183"/>
      <c r="F57" s="182"/>
      <c r="G57" s="179"/>
      <c r="H57" s="179"/>
      <c r="I57" s="179"/>
      <c r="J57" s="177"/>
    </row>
    <row r="58" spans="1:10">
      <c r="A58" s="177"/>
      <c r="B58" s="178"/>
      <c r="C58" s="179"/>
      <c r="D58" s="179"/>
      <c r="E58" s="183"/>
      <c r="F58" s="182"/>
      <c r="G58" s="179"/>
      <c r="H58" s="179"/>
      <c r="I58" s="179"/>
      <c r="J58" s="177"/>
    </row>
    <row r="59" spans="1:10">
      <c r="A59" s="177"/>
      <c r="B59" s="178"/>
      <c r="C59" s="179"/>
      <c r="D59" s="179"/>
      <c r="E59" s="183"/>
      <c r="F59" s="182"/>
      <c r="G59" s="179"/>
      <c r="H59" s="179"/>
      <c r="I59" s="179"/>
      <c r="J59" s="177"/>
    </row>
    <row r="60" spans="1:10">
      <c r="A60" s="177"/>
      <c r="B60" s="177"/>
      <c r="C60" s="179"/>
      <c r="D60" s="179"/>
      <c r="E60" s="180"/>
      <c r="F60" s="182"/>
      <c r="G60" s="179"/>
      <c r="H60" s="179"/>
      <c r="I60" s="179"/>
      <c r="J60" s="177"/>
    </row>
    <row r="61" spans="1:10">
      <c r="A61" s="184"/>
      <c r="B61" s="184"/>
      <c r="C61" s="185"/>
      <c r="D61" s="185"/>
      <c r="E61" s="185"/>
      <c r="F61" s="185"/>
      <c r="G61" s="185"/>
      <c r="H61" s="185"/>
      <c r="I61" s="185"/>
      <c r="J61" s="184"/>
    </row>
    <row r="62" spans="1:10">
      <c r="A62" s="184"/>
      <c r="B62" s="184"/>
      <c r="C62" s="185"/>
      <c r="D62" s="185"/>
      <c r="E62" s="185"/>
      <c r="F62" s="185"/>
      <c r="G62" s="185"/>
      <c r="H62" s="185"/>
      <c r="I62" s="185"/>
      <c r="J62" s="184"/>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5" bestFit="1" customWidth="1"/>
    <col min="2" max="2" width="6.19921875" style="65" bestFit="1" customWidth="1"/>
    <col min="3" max="3" width="13.59765625" style="64" bestFit="1" customWidth="1"/>
    <col min="4" max="4" width="12.5" style="64" bestFit="1" customWidth="1"/>
    <col min="5" max="5" width="7.296875" style="64" bestFit="1" customWidth="1"/>
    <col min="6" max="7" width="13.19921875" style="64" bestFit="1" customWidth="1"/>
    <col min="8" max="8" width="21.69921875" style="65" bestFit="1" customWidth="1"/>
    <col min="9" max="9" width="5.5" style="60" bestFit="1" customWidth="1"/>
    <col min="10" max="16384" width="13" style="60"/>
  </cols>
  <sheetData>
    <row r="1" spans="1:9" ht="23.4" thickBot="1">
      <c r="A1" s="200" t="s">
        <v>239</v>
      </c>
      <c r="B1" s="135"/>
      <c r="C1" s="135"/>
      <c r="D1" s="135"/>
      <c r="E1" s="135"/>
      <c r="F1" s="135"/>
      <c r="G1" s="135"/>
      <c r="H1" s="135"/>
    </row>
    <row r="2" spans="1:9" s="11" customFormat="1" ht="16.8">
      <c r="A2" s="136" t="s">
        <v>60</v>
      </c>
      <c r="B2" s="137" t="s">
        <v>0</v>
      </c>
      <c r="C2" s="137" t="s">
        <v>73</v>
      </c>
      <c r="D2" s="138" t="s">
        <v>74</v>
      </c>
      <c r="E2" s="138" t="s">
        <v>75</v>
      </c>
      <c r="F2" s="137" t="s">
        <v>76</v>
      </c>
      <c r="G2" s="137" t="s">
        <v>77</v>
      </c>
      <c r="H2" s="137" t="s">
        <v>145</v>
      </c>
      <c r="I2" s="139" t="s">
        <v>146</v>
      </c>
    </row>
    <row r="3" spans="1:9" ht="16.8">
      <c r="A3" s="259" t="s">
        <v>219</v>
      </c>
      <c r="B3" s="189">
        <v>1</v>
      </c>
      <c r="C3" s="190" t="s">
        <v>90</v>
      </c>
      <c r="D3" s="191" t="s">
        <v>80</v>
      </c>
      <c r="E3" s="235" t="s">
        <v>81</v>
      </c>
      <c r="F3" s="192" t="s">
        <v>201</v>
      </c>
      <c r="G3" s="192" t="s">
        <v>83</v>
      </c>
      <c r="H3" s="192" t="s">
        <v>220</v>
      </c>
      <c r="I3" s="104">
        <v>125</v>
      </c>
    </row>
    <row r="4" spans="1:9" ht="16.8">
      <c r="A4" s="259" t="s">
        <v>156</v>
      </c>
      <c r="B4" s="189">
        <v>1</v>
      </c>
      <c r="C4" s="190" t="s">
        <v>136</v>
      </c>
      <c r="D4" s="191" t="s">
        <v>99</v>
      </c>
      <c r="E4" s="235" t="s">
        <v>81</v>
      </c>
      <c r="F4" s="192" t="s">
        <v>100</v>
      </c>
      <c r="G4" s="192" t="s">
        <v>86</v>
      </c>
      <c r="H4" s="192" t="s">
        <v>147</v>
      </c>
      <c r="I4" s="193">
        <v>205</v>
      </c>
    </row>
    <row r="5" spans="1:9" ht="16.8">
      <c r="A5" s="259" t="s">
        <v>157</v>
      </c>
      <c r="B5" s="189">
        <v>1</v>
      </c>
      <c r="C5" s="190" t="s">
        <v>135</v>
      </c>
      <c r="D5" s="191" t="s">
        <v>101</v>
      </c>
      <c r="E5" s="235" t="s">
        <v>81</v>
      </c>
      <c r="F5" s="192" t="s">
        <v>85</v>
      </c>
      <c r="G5" s="192" t="s">
        <v>83</v>
      </c>
      <c r="H5" s="192" t="s">
        <v>147</v>
      </c>
      <c r="I5" s="104">
        <v>205</v>
      </c>
    </row>
    <row r="6" spans="1:9" ht="16.8">
      <c r="A6" s="259" t="s">
        <v>134</v>
      </c>
      <c r="B6" s="189">
        <v>1</v>
      </c>
      <c r="C6" s="190" t="s">
        <v>135</v>
      </c>
      <c r="D6" s="191" t="s">
        <v>80</v>
      </c>
      <c r="E6" s="191" t="s">
        <v>81</v>
      </c>
      <c r="F6" s="192" t="s">
        <v>85</v>
      </c>
      <c r="G6" s="192" t="s">
        <v>86</v>
      </c>
      <c r="H6" s="192" t="s">
        <v>147</v>
      </c>
      <c r="I6" s="193">
        <v>205</v>
      </c>
    </row>
    <row r="7" spans="1:9" ht="16.8">
      <c r="A7" s="259" t="s">
        <v>180</v>
      </c>
      <c r="B7" s="189">
        <v>1</v>
      </c>
      <c r="C7" s="190" t="s">
        <v>135</v>
      </c>
      <c r="D7" s="279" t="s">
        <v>80</v>
      </c>
      <c r="E7" s="235" t="s">
        <v>81</v>
      </c>
      <c r="F7" s="280" t="s">
        <v>94</v>
      </c>
      <c r="G7" s="192" t="s">
        <v>91</v>
      </c>
      <c r="H7" s="192" t="s">
        <v>196</v>
      </c>
      <c r="I7" s="77">
        <v>144</v>
      </c>
    </row>
    <row r="8" spans="1:9" ht="16.8">
      <c r="A8" s="259" t="s">
        <v>78</v>
      </c>
      <c r="B8" s="189">
        <v>1</v>
      </c>
      <c r="C8" s="190" t="s">
        <v>79</v>
      </c>
      <c r="D8" s="191" t="s">
        <v>80</v>
      </c>
      <c r="E8" s="235" t="s">
        <v>81</v>
      </c>
      <c r="F8" s="192" t="s">
        <v>82</v>
      </c>
      <c r="G8" s="192" t="s">
        <v>83</v>
      </c>
      <c r="H8" s="192" t="s">
        <v>147</v>
      </c>
      <c r="I8" s="104">
        <v>215</v>
      </c>
    </row>
    <row r="9" spans="1:9" ht="16.8">
      <c r="A9" s="259" t="s">
        <v>103</v>
      </c>
      <c r="B9" s="189">
        <v>1</v>
      </c>
      <c r="C9" s="190" t="s">
        <v>84</v>
      </c>
      <c r="D9" s="191" t="s">
        <v>80</v>
      </c>
      <c r="E9" s="235" t="s">
        <v>81</v>
      </c>
      <c r="F9" s="192" t="s">
        <v>85</v>
      </c>
      <c r="G9" s="192" t="s">
        <v>83</v>
      </c>
      <c r="H9" s="192" t="s">
        <v>147</v>
      </c>
      <c r="I9" s="104">
        <v>216</v>
      </c>
    </row>
    <row r="10" spans="1:9" ht="16.8">
      <c r="A10" s="259" t="s">
        <v>87</v>
      </c>
      <c r="B10" s="189">
        <v>1</v>
      </c>
      <c r="C10" s="190" t="s">
        <v>88</v>
      </c>
      <c r="D10" s="191" t="s">
        <v>80</v>
      </c>
      <c r="E10" s="235" t="s">
        <v>81</v>
      </c>
      <c r="F10" s="192" t="s">
        <v>82</v>
      </c>
      <c r="G10" s="192" t="s">
        <v>83</v>
      </c>
      <c r="H10" s="192" t="s">
        <v>147</v>
      </c>
      <c r="I10" s="104">
        <v>219</v>
      </c>
    </row>
    <row r="11" spans="1:9" ht="16.8">
      <c r="A11" s="259" t="s">
        <v>109</v>
      </c>
      <c r="B11" s="189">
        <v>1</v>
      </c>
      <c r="C11" s="190" t="s">
        <v>88</v>
      </c>
      <c r="D11" s="191" t="s">
        <v>97</v>
      </c>
      <c r="E11" s="260" t="s">
        <v>81</v>
      </c>
      <c r="F11" s="192" t="s">
        <v>137</v>
      </c>
      <c r="G11" s="192" t="s">
        <v>83</v>
      </c>
      <c r="H11" s="192" t="s">
        <v>147</v>
      </c>
      <c r="I11" s="104">
        <v>220</v>
      </c>
    </row>
    <row r="12" spans="1:9" ht="16.8">
      <c r="A12" s="259" t="s">
        <v>104</v>
      </c>
      <c r="B12" s="189">
        <v>1</v>
      </c>
      <c r="C12" s="190" t="s">
        <v>90</v>
      </c>
      <c r="D12" s="191" t="s">
        <v>99</v>
      </c>
      <c r="E12" s="235" t="s">
        <v>81</v>
      </c>
      <c r="F12" s="192" t="s">
        <v>94</v>
      </c>
      <c r="G12" s="192" t="s">
        <v>89</v>
      </c>
      <c r="H12" s="192" t="s">
        <v>147</v>
      </c>
      <c r="I12" s="193">
        <v>224</v>
      </c>
    </row>
    <row r="13" spans="1:9" ht="16.8">
      <c r="A13" s="259" t="s">
        <v>123</v>
      </c>
      <c r="B13" s="189">
        <v>1</v>
      </c>
      <c r="C13" s="190" t="s">
        <v>90</v>
      </c>
      <c r="D13" s="191" t="s">
        <v>80</v>
      </c>
      <c r="E13" s="191" t="s">
        <v>81</v>
      </c>
      <c r="F13" s="192" t="s">
        <v>94</v>
      </c>
      <c r="G13" s="192" t="s">
        <v>114</v>
      </c>
      <c r="H13" s="192" t="s">
        <v>148</v>
      </c>
      <c r="I13" s="193">
        <v>163</v>
      </c>
    </row>
    <row r="14" spans="1:9" ht="16.8">
      <c r="A14" s="259" t="s">
        <v>105</v>
      </c>
      <c r="B14" s="189">
        <v>1</v>
      </c>
      <c r="C14" s="190" t="s">
        <v>96</v>
      </c>
      <c r="D14" s="191" t="s">
        <v>80</v>
      </c>
      <c r="E14" s="235" t="s">
        <v>81</v>
      </c>
      <c r="F14" s="192" t="s">
        <v>85</v>
      </c>
      <c r="G14" s="192" t="s">
        <v>106</v>
      </c>
      <c r="H14" s="192" t="s">
        <v>147</v>
      </c>
      <c r="I14" s="104">
        <v>226</v>
      </c>
    </row>
    <row r="15" spans="1:9" ht="16.8">
      <c r="A15" s="259" t="s">
        <v>209</v>
      </c>
      <c r="B15" s="189">
        <v>1</v>
      </c>
      <c r="C15" s="190" t="s">
        <v>79</v>
      </c>
      <c r="D15" s="191" t="s">
        <v>197</v>
      </c>
      <c r="E15" s="235" t="s">
        <v>81</v>
      </c>
      <c r="F15" s="192" t="s">
        <v>85</v>
      </c>
      <c r="G15" s="192" t="s">
        <v>175</v>
      </c>
      <c r="H15" s="192" t="s">
        <v>148</v>
      </c>
      <c r="I15" s="104">
        <v>166</v>
      </c>
    </row>
    <row r="16" spans="1:9" ht="16.8">
      <c r="A16" s="259" t="s">
        <v>181</v>
      </c>
      <c r="B16" s="189">
        <v>1</v>
      </c>
      <c r="C16" s="190" t="s">
        <v>88</v>
      </c>
      <c r="D16" s="279" t="s">
        <v>197</v>
      </c>
      <c r="E16" s="235" t="s">
        <v>140</v>
      </c>
      <c r="F16" s="280" t="s">
        <v>94</v>
      </c>
      <c r="G16" s="192" t="s">
        <v>102</v>
      </c>
      <c r="H16" s="192" t="s">
        <v>196</v>
      </c>
      <c r="I16" s="77">
        <v>150</v>
      </c>
    </row>
    <row r="17" spans="1:9" ht="16.8">
      <c r="A17" s="259" t="s">
        <v>206</v>
      </c>
      <c r="B17" s="189">
        <v>1</v>
      </c>
      <c r="C17" s="190" t="s">
        <v>90</v>
      </c>
      <c r="D17" s="279" t="s">
        <v>208</v>
      </c>
      <c r="E17" s="235" t="s">
        <v>81</v>
      </c>
      <c r="F17" s="280" t="s">
        <v>82</v>
      </c>
      <c r="G17" s="192" t="s">
        <v>114</v>
      </c>
      <c r="H17" s="192" t="s">
        <v>199</v>
      </c>
      <c r="I17" s="77">
        <v>101</v>
      </c>
    </row>
    <row r="18" spans="1:9" ht="16.8">
      <c r="A18" s="259" t="s">
        <v>122</v>
      </c>
      <c r="B18" s="189">
        <v>1</v>
      </c>
      <c r="C18" s="190" t="s">
        <v>79</v>
      </c>
      <c r="D18" s="191" t="s">
        <v>80</v>
      </c>
      <c r="E18" s="191" t="s">
        <v>81</v>
      </c>
      <c r="F18" s="192" t="s">
        <v>85</v>
      </c>
      <c r="G18" s="192" t="s">
        <v>83</v>
      </c>
      <c r="H18" s="192" t="s">
        <v>147</v>
      </c>
      <c r="I18" s="104">
        <v>272</v>
      </c>
    </row>
    <row r="19" spans="1:9" ht="16.8">
      <c r="A19" s="259" t="s">
        <v>107</v>
      </c>
      <c r="B19" s="189">
        <v>1</v>
      </c>
      <c r="C19" s="190" t="s">
        <v>135</v>
      </c>
      <c r="D19" s="191" t="s">
        <v>108</v>
      </c>
      <c r="E19" s="235" t="s">
        <v>81</v>
      </c>
      <c r="F19" s="192" t="s">
        <v>85</v>
      </c>
      <c r="G19" s="192" t="s">
        <v>86</v>
      </c>
      <c r="H19" s="192" t="s">
        <v>147</v>
      </c>
      <c r="I19" s="281">
        <v>251</v>
      </c>
    </row>
    <row r="20" spans="1:9" ht="16.8">
      <c r="A20" s="259" t="s">
        <v>153</v>
      </c>
      <c r="B20" s="189">
        <v>1</v>
      </c>
      <c r="C20" s="190" t="s">
        <v>96</v>
      </c>
      <c r="D20" s="191" t="s">
        <v>97</v>
      </c>
      <c r="E20" s="191" t="s">
        <v>81</v>
      </c>
      <c r="F20" s="192" t="s">
        <v>85</v>
      </c>
      <c r="G20" s="192" t="s">
        <v>86</v>
      </c>
      <c r="H20" s="192" t="s">
        <v>147</v>
      </c>
      <c r="I20" s="104">
        <v>266</v>
      </c>
    </row>
    <row r="21" spans="1:9" ht="16.8">
      <c r="A21" s="259" t="s">
        <v>152</v>
      </c>
      <c r="B21" s="189">
        <v>1</v>
      </c>
      <c r="C21" s="190" t="s">
        <v>96</v>
      </c>
      <c r="D21" s="191" t="s">
        <v>97</v>
      </c>
      <c r="E21" s="191" t="s">
        <v>81</v>
      </c>
      <c r="F21" s="192" t="s">
        <v>85</v>
      </c>
      <c r="G21" s="192" t="s">
        <v>86</v>
      </c>
      <c r="H21" s="192" t="s">
        <v>147</v>
      </c>
      <c r="I21" s="104">
        <v>266</v>
      </c>
    </row>
    <row r="22" spans="1:9" ht="16.8">
      <c r="A22" s="259" t="s">
        <v>92</v>
      </c>
      <c r="B22" s="189">
        <v>1</v>
      </c>
      <c r="C22" s="190" t="s">
        <v>84</v>
      </c>
      <c r="D22" s="191" t="s">
        <v>93</v>
      </c>
      <c r="E22" s="191" t="s">
        <v>81</v>
      </c>
      <c r="F22" s="192" t="s">
        <v>94</v>
      </c>
      <c r="G22" s="192" t="s">
        <v>91</v>
      </c>
      <c r="H22" s="192" t="s">
        <v>147</v>
      </c>
      <c r="I22" s="104">
        <v>269</v>
      </c>
    </row>
    <row r="23" spans="1:9" ht="16.8">
      <c r="A23" s="259" t="s">
        <v>182</v>
      </c>
      <c r="B23" s="189">
        <v>1</v>
      </c>
      <c r="C23" s="278" t="s">
        <v>96</v>
      </c>
      <c r="D23" s="279" t="s">
        <v>99</v>
      </c>
      <c r="E23" s="235" t="s">
        <v>81</v>
      </c>
      <c r="F23" s="280" t="s">
        <v>85</v>
      </c>
      <c r="G23" s="280" t="s">
        <v>91</v>
      </c>
      <c r="H23" s="280" t="s">
        <v>198</v>
      </c>
      <c r="I23" s="104">
        <v>104</v>
      </c>
    </row>
    <row r="24" spans="1:9" ht="16.8">
      <c r="A24" s="259" t="s">
        <v>95</v>
      </c>
      <c r="B24" s="189">
        <v>1</v>
      </c>
      <c r="C24" s="190" t="s">
        <v>96</v>
      </c>
      <c r="D24" s="191" t="s">
        <v>97</v>
      </c>
      <c r="E24" s="191" t="s">
        <v>81</v>
      </c>
      <c r="F24" s="192" t="s">
        <v>85</v>
      </c>
      <c r="G24" s="192" t="s">
        <v>89</v>
      </c>
      <c r="H24" s="192" t="s">
        <v>147</v>
      </c>
      <c r="I24" s="104">
        <v>272</v>
      </c>
    </row>
    <row r="25" spans="1:9" ht="16.8">
      <c r="A25" s="259" t="s">
        <v>139</v>
      </c>
      <c r="B25" s="189">
        <v>1</v>
      </c>
      <c r="C25" s="190" t="s">
        <v>135</v>
      </c>
      <c r="D25" s="191" t="s">
        <v>80</v>
      </c>
      <c r="E25" s="260" t="s">
        <v>140</v>
      </c>
      <c r="F25" s="192" t="s">
        <v>94</v>
      </c>
      <c r="G25" s="192" t="s">
        <v>102</v>
      </c>
      <c r="H25" s="192" t="s">
        <v>150</v>
      </c>
      <c r="I25" s="104">
        <v>176</v>
      </c>
    </row>
    <row r="26" spans="1:9" ht="16.8">
      <c r="A26" s="259" t="s">
        <v>183</v>
      </c>
      <c r="B26" s="189">
        <v>1</v>
      </c>
      <c r="C26" s="190" t="s">
        <v>135</v>
      </c>
      <c r="D26" s="191" t="s">
        <v>80</v>
      </c>
      <c r="E26" s="192" t="s">
        <v>81</v>
      </c>
      <c r="F26" s="192" t="s">
        <v>85</v>
      </c>
      <c r="G26" s="192" t="s">
        <v>175</v>
      </c>
      <c r="H26" s="192" t="s">
        <v>199</v>
      </c>
      <c r="I26" s="104">
        <v>106</v>
      </c>
    </row>
    <row r="27" spans="1:9" ht="16.8">
      <c r="A27" s="259" t="s">
        <v>184</v>
      </c>
      <c r="B27" s="189">
        <v>1</v>
      </c>
      <c r="C27" s="190" t="s">
        <v>135</v>
      </c>
      <c r="D27" s="191" t="s">
        <v>80</v>
      </c>
      <c r="E27" s="192" t="s">
        <v>81</v>
      </c>
      <c r="F27" s="192" t="s">
        <v>85</v>
      </c>
      <c r="G27" s="192" t="s">
        <v>114</v>
      </c>
      <c r="H27" s="192" t="s">
        <v>199</v>
      </c>
      <c r="I27" s="104">
        <v>107</v>
      </c>
    </row>
    <row r="28" spans="1:9" ht="16.8">
      <c r="A28" s="259" t="s">
        <v>218</v>
      </c>
      <c r="B28" s="189">
        <v>1</v>
      </c>
      <c r="C28" s="190" t="s">
        <v>135</v>
      </c>
      <c r="D28" s="191" t="s">
        <v>80</v>
      </c>
      <c r="E28" s="235" t="s">
        <v>81</v>
      </c>
      <c r="F28" s="192" t="s">
        <v>94</v>
      </c>
      <c r="G28" s="192" t="s">
        <v>216</v>
      </c>
      <c r="H28" s="192" t="s">
        <v>217</v>
      </c>
      <c r="I28" s="104">
        <v>72</v>
      </c>
    </row>
    <row r="29" spans="1:9" ht="16.8">
      <c r="A29" s="259" t="s">
        <v>115</v>
      </c>
      <c r="B29" s="189">
        <v>1</v>
      </c>
      <c r="C29" s="190" t="s">
        <v>79</v>
      </c>
      <c r="D29" s="191" t="s">
        <v>80</v>
      </c>
      <c r="E29" s="260" t="s">
        <v>81</v>
      </c>
      <c r="F29" s="192" t="s">
        <v>138</v>
      </c>
      <c r="G29" s="192" t="s">
        <v>114</v>
      </c>
      <c r="H29" s="192" t="s">
        <v>149</v>
      </c>
      <c r="I29" s="104">
        <v>128</v>
      </c>
    </row>
    <row r="30" spans="1:9" ht="16.8">
      <c r="A30" s="259" t="s">
        <v>179</v>
      </c>
      <c r="B30" s="189">
        <v>1</v>
      </c>
      <c r="C30" s="190" t="s">
        <v>135</v>
      </c>
      <c r="D30" s="191" t="s">
        <v>80</v>
      </c>
      <c r="E30" s="235" t="s">
        <v>81</v>
      </c>
      <c r="F30" s="192" t="s">
        <v>85</v>
      </c>
      <c r="G30" s="192" t="s">
        <v>175</v>
      </c>
      <c r="H30" s="192" t="s">
        <v>148</v>
      </c>
      <c r="I30" s="104">
        <v>184</v>
      </c>
    </row>
    <row r="31" spans="1:9" ht="16.8">
      <c r="A31" s="199" t="s">
        <v>98</v>
      </c>
      <c r="B31" s="194">
        <v>1</v>
      </c>
      <c r="C31" s="195" t="s">
        <v>135</v>
      </c>
      <c r="D31" s="196" t="s">
        <v>99</v>
      </c>
      <c r="E31" s="196" t="s">
        <v>81</v>
      </c>
      <c r="F31" s="197" t="s">
        <v>85</v>
      </c>
      <c r="G31" s="197" t="s">
        <v>89</v>
      </c>
      <c r="H31" s="197" t="s">
        <v>147</v>
      </c>
      <c r="I31" s="198">
        <v>298</v>
      </c>
    </row>
    <row r="32" spans="1:9" ht="16.8">
      <c r="A32" s="330" t="s">
        <v>120</v>
      </c>
      <c r="B32" s="331">
        <v>2</v>
      </c>
      <c r="C32" s="332" t="s">
        <v>96</v>
      </c>
      <c r="D32" s="333" t="s">
        <v>99</v>
      </c>
      <c r="E32" s="334" t="s">
        <v>121</v>
      </c>
      <c r="F32" s="335" t="s">
        <v>85</v>
      </c>
      <c r="G32" s="335" t="s">
        <v>91</v>
      </c>
      <c r="H32" s="335" t="s">
        <v>149</v>
      </c>
      <c r="I32" s="336">
        <v>116</v>
      </c>
    </row>
    <row r="33" spans="1:9" ht="16.8">
      <c r="A33" s="330" t="s">
        <v>185</v>
      </c>
      <c r="B33" s="331">
        <v>2</v>
      </c>
      <c r="C33" s="332" t="s">
        <v>135</v>
      </c>
      <c r="D33" s="337" t="s">
        <v>101</v>
      </c>
      <c r="E33" s="338" t="s">
        <v>81</v>
      </c>
      <c r="F33" s="339" t="s">
        <v>85</v>
      </c>
      <c r="G33" s="339" t="s">
        <v>114</v>
      </c>
      <c r="H33" s="339" t="s">
        <v>200</v>
      </c>
      <c r="I33" s="340">
        <v>48</v>
      </c>
    </row>
    <row r="34" spans="1:9" ht="16.8">
      <c r="A34" s="330" t="s">
        <v>186</v>
      </c>
      <c r="B34" s="331">
        <v>2</v>
      </c>
      <c r="C34" s="332" t="s">
        <v>88</v>
      </c>
      <c r="D34" s="333" t="s">
        <v>80</v>
      </c>
      <c r="E34" s="341" t="s">
        <v>81</v>
      </c>
      <c r="F34" s="335" t="s">
        <v>201</v>
      </c>
      <c r="G34" s="335" t="s">
        <v>7</v>
      </c>
      <c r="H34" s="335" t="s">
        <v>202</v>
      </c>
      <c r="I34" s="336">
        <v>81</v>
      </c>
    </row>
    <row r="35" spans="1:9" ht="16.8">
      <c r="A35" s="330" t="s">
        <v>141</v>
      </c>
      <c r="B35" s="331">
        <v>2</v>
      </c>
      <c r="C35" s="332" t="s">
        <v>135</v>
      </c>
      <c r="D35" s="333" t="s">
        <v>97</v>
      </c>
      <c r="E35" s="341" t="s">
        <v>81</v>
      </c>
      <c r="F35" s="335" t="s">
        <v>85</v>
      </c>
      <c r="G35" s="335" t="s">
        <v>86</v>
      </c>
      <c r="H35" s="335" t="s">
        <v>147</v>
      </c>
      <c r="I35" s="336">
        <v>207</v>
      </c>
    </row>
    <row r="36" spans="1:9" ht="16.8">
      <c r="A36" s="330" t="s">
        <v>187</v>
      </c>
      <c r="B36" s="331">
        <v>2</v>
      </c>
      <c r="C36" s="332" t="s">
        <v>79</v>
      </c>
      <c r="D36" s="333" t="s">
        <v>80</v>
      </c>
      <c r="E36" s="335" t="s">
        <v>81</v>
      </c>
      <c r="F36" s="335" t="s">
        <v>85</v>
      </c>
      <c r="G36" s="335" t="s">
        <v>86</v>
      </c>
      <c r="H36" s="335" t="s">
        <v>199</v>
      </c>
      <c r="I36" s="336">
        <v>93</v>
      </c>
    </row>
    <row r="37" spans="1:9" ht="16.8">
      <c r="A37" s="330" t="s">
        <v>188</v>
      </c>
      <c r="B37" s="331">
        <v>2</v>
      </c>
      <c r="C37" s="342" t="s">
        <v>96</v>
      </c>
      <c r="D37" s="333" t="s">
        <v>80</v>
      </c>
      <c r="E37" s="335" t="s">
        <v>81</v>
      </c>
      <c r="F37" s="335" t="s">
        <v>201</v>
      </c>
      <c r="G37" s="335" t="s">
        <v>91</v>
      </c>
      <c r="H37" s="335" t="s">
        <v>150</v>
      </c>
      <c r="I37" s="343">
        <v>47</v>
      </c>
    </row>
    <row r="38" spans="1:9" ht="16.8">
      <c r="A38" s="330" t="s">
        <v>111</v>
      </c>
      <c r="B38" s="331">
        <v>2</v>
      </c>
      <c r="C38" s="332" t="s">
        <v>79</v>
      </c>
      <c r="D38" s="333" t="s">
        <v>80</v>
      </c>
      <c r="E38" s="334" t="s">
        <v>81</v>
      </c>
      <c r="F38" s="335" t="s">
        <v>94</v>
      </c>
      <c r="G38" s="335" t="s">
        <v>91</v>
      </c>
      <c r="H38" s="335" t="s">
        <v>149</v>
      </c>
      <c r="I38" s="336">
        <v>118</v>
      </c>
    </row>
    <row r="39" spans="1:9" ht="16.8">
      <c r="A39" s="330" t="s">
        <v>189</v>
      </c>
      <c r="B39" s="331">
        <v>2</v>
      </c>
      <c r="C39" s="332" t="s">
        <v>135</v>
      </c>
      <c r="D39" s="333" t="s">
        <v>80</v>
      </c>
      <c r="E39" s="341" t="s">
        <v>81</v>
      </c>
      <c r="F39" s="335" t="s">
        <v>85</v>
      </c>
      <c r="G39" s="335" t="s">
        <v>114</v>
      </c>
      <c r="H39" s="335" t="s">
        <v>202</v>
      </c>
      <c r="I39" s="336">
        <v>84</v>
      </c>
    </row>
    <row r="40" spans="1:9" ht="16.8">
      <c r="A40" s="330" t="s">
        <v>158</v>
      </c>
      <c r="B40" s="331">
        <v>2</v>
      </c>
      <c r="C40" s="332" t="s">
        <v>79</v>
      </c>
      <c r="D40" s="333" t="s">
        <v>99</v>
      </c>
      <c r="E40" s="341" t="s">
        <v>81</v>
      </c>
      <c r="F40" s="335" t="s">
        <v>85</v>
      </c>
      <c r="G40" s="335" t="s">
        <v>175</v>
      </c>
      <c r="H40" s="335" t="s">
        <v>147</v>
      </c>
      <c r="I40" s="336">
        <v>217</v>
      </c>
    </row>
    <row r="41" spans="1:9" ht="16.8">
      <c r="A41" s="330" t="s">
        <v>190</v>
      </c>
      <c r="B41" s="331">
        <v>2</v>
      </c>
      <c r="C41" s="332" t="s">
        <v>88</v>
      </c>
      <c r="D41" s="333" t="s">
        <v>99</v>
      </c>
      <c r="E41" s="341" t="s">
        <v>81</v>
      </c>
      <c r="F41" s="335" t="s">
        <v>94</v>
      </c>
      <c r="G41" s="335" t="s">
        <v>175</v>
      </c>
      <c r="H41" s="335" t="s">
        <v>196</v>
      </c>
      <c r="I41" s="336">
        <v>146</v>
      </c>
    </row>
    <row r="42" spans="1:9" ht="16.8">
      <c r="A42" s="330" t="s">
        <v>112</v>
      </c>
      <c r="B42" s="331">
        <v>2</v>
      </c>
      <c r="C42" s="332" t="s">
        <v>135</v>
      </c>
      <c r="D42" s="333" t="s">
        <v>80</v>
      </c>
      <c r="E42" s="334" t="s">
        <v>81</v>
      </c>
      <c r="F42" s="335" t="s">
        <v>94</v>
      </c>
      <c r="G42" s="335" t="s">
        <v>91</v>
      </c>
      <c r="H42" s="335" t="s">
        <v>149</v>
      </c>
      <c r="I42" s="336">
        <v>119</v>
      </c>
    </row>
    <row r="43" spans="1:9" ht="16.8">
      <c r="A43" s="330" t="s">
        <v>159</v>
      </c>
      <c r="B43" s="331">
        <v>2</v>
      </c>
      <c r="C43" s="332" t="s">
        <v>135</v>
      </c>
      <c r="D43" s="333" t="s">
        <v>97</v>
      </c>
      <c r="E43" s="341" t="s">
        <v>81</v>
      </c>
      <c r="F43" s="335" t="s">
        <v>85</v>
      </c>
      <c r="G43" s="335" t="s">
        <v>86</v>
      </c>
      <c r="H43" s="335" t="s">
        <v>147</v>
      </c>
      <c r="I43" s="336">
        <v>225</v>
      </c>
    </row>
    <row r="44" spans="1:9" ht="16.8">
      <c r="A44" s="330" t="s">
        <v>191</v>
      </c>
      <c r="B44" s="331">
        <v>2</v>
      </c>
      <c r="C44" s="332" t="s">
        <v>79</v>
      </c>
      <c r="D44" s="333" t="s">
        <v>93</v>
      </c>
      <c r="E44" s="335" t="s">
        <v>121</v>
      </c>
      <c r="F44" s="335" t="s">
        <v>138</v>
      </c>
      <c r="G44" s="335" t="s">
        <v>83</v>
      </c>
      <c r="H44" s="335" t="s">
        <v>199</v>
      </c>
      <c r="I44" s="336">
        <v>99</v>
      </c>
    </row>
    <row r="45" spans="1:9" ht="16.8">
      <c r="A45" s="330" t="s">
        <v>113</v>
      </c>
      <c r="B45" s="331">
        <v>2</v>
      </c>
      <c r="C45" s="332" t="s">
        <v>135</v>
      </c>
      <c r="D45" s="333" t="s">
        <v>80</v>
      </c>
      <c r="E45" s="334" t="s">
        <v>81</v>
      </c>
      <c r="F45" s="335" t="s">
        <v>94</v>
      </c>
      <c r="G45" s="335" t="s">
        <v>114</v>
      </c>
      <c r="H45" s="335" t="s">
        <v>149</v>
      </c>
      <c r="I45" s="336">
        <v>125</v>
      </c>
    </row>
    <row r="46" spans="1:9" ht="16.8">
      <c r="A46" s="330" t="s">
        <v>192</v>
      </c>
      <c r="B46" s="331">
        <v>2</v>
      </c>
      <c r="C46" s="332" t="s">
        <v>96</v>
      </c>
      <c r="D46" s="333" t="s">
        <v>80</v>
      </c>
      <c r="E46" s="335" t="s">
        <v>81</v>
      </c>
      <c r="F46" s="335" t="s">
        <v>85</v>
      </c>
      <c r="G46" s="335" t="s">
        <v>83</v>
      </c>
      <c r="H46" s="335" t="s">
        <v>199</v>
      </c>
      <c r="I46" s="336">
        <v>103</v>
      </c>
    </row>
    <row r="47" spans="1:9" ht="16.8">
      <c r="A47" s="330" t="s">
        <v>160</v>
      </c>
      <c r="B47" s="331">
        <v>2</v>
      </c>
      <c r="C47" s="332" t="s">
        <v>135</v>
      </c>
      <c r="D47" s="333" t="s">
        <v>97</v>
      </c>
      <c r="E47" s="341" t="s">
        <v>81</v>
      </c>
      <c r="F47" s="335" t="s">
        <v>85</v>
      </c>
      <c r="G47" s="335" t="s">
        <v>86</v>
      </c>
      <c r="H47" s="335" t="s">
        <v>147</v>
      </c>
      <c r="I47" s="336">
        <v>259</v>
      </c>
    </row>
    <row r="48" spans="1:9" ht="16.8">
      <c r="A48" s="330" t="s">
        <v>161</v>
      </c>
      <c r="B48" s="331">
        <v>2</v>
      </c>
      <c r="C48" s="332" t="s">
        <v>79</v>
      </c>
      <c r="D48" s="333" t="s">
        <v>80</v>
      </c>
      <c r="E48" s="341" t="s">
        <v>81</v>
      </c>
      <c r="F48" s="335" t="s">
        <v>82</v>
      </c>
      <c r="G48" s="335" t="s">
        <v>83</v>
      </c>
      <c r="H48" s="335" t="s">
        <v>147</v>
      </c>
      <c r="I48" s="336">
        <v>271</v>
      </c>
    </row>
    <row r="49" spans="1:9" ht="16.8">
      <c r="A49" s="330" t="s">
        <v>162</v>
      </c>
      <c r="B49" s="331">
        <v>2</v>
      </c>
      <c r="C49" s="332" t="s">
        <v>96</v>
      </c>
      <c r="D49" s="333" t="s">
        <v>99</v>
      </c>
      <c r="E49" s="341" t="s">
        <v>81</v>
      </c>
      <c r="F49" s="335" t="s">
        <v>85</v>
      </c>
      <c r="G49" s="335" t="s">
        <v>91</v>
      </c>
      <c r="H49" s="335" t="s">
        <v>147</v>
      </c>
      <c r="I49" s="336">
        <v>272</v>
      </c>
    </row>
    <row r="50" spans="1:9" ht="16.8">
      <c r="A50" s="330" t="s">
        <v>210</v>
      </c>
      <c r="B50" s="331">
        <v>2</v>
      </c>
      <c r="C50" s="332" t="s">
        <v>96</v>
      </c>
      <c r="D50" s="333" t="s">
        <v>211</v>
      </c>
      <c r="E50" s="341" t="s">
        <v>81</v>
      </c>
      <c r="F50" s="335" t="s">
        <v>85</v>
      </c>
      <c r="G50" s="335" t="s">
        <v>86</v>
      </c>
      <c r="H50" s="335" t="s">
        <v>212</v>
      </c>
      <c r="I50" s="336">
        <v>115</v>
      </c>
    </row>
    <row r="51" spans="1:9" ht="16.8">
      <c r="A51" s="330" t="s">
        <v>163</v>
      </c>
      <c r="B51" s="331">
        <v>2</v>
      </c>
      <c r="C51" s="332" t="s">
        <v>96</v>
      </c>
      <c r="D51" s="333" t="s">
        <v>93</v>
      </c>
      <c r="E51" s="341" t="s">
        <v>81</v>
      </c>
      <c r="F51" s="335" t="s">
        <v>82</v>
      </c>
      <c r="G51" s="335" t="s">
        <v>175</v>
      </c>
      <c r="H51" s="335" t="s">
        <v>147</v>
      </c>
      <c r="I51" s="336">
        <v>278</v>
      </c>
    </row>
    <row r="52" spans="1:9" ht="16.8">
      <c r="A52" s="330" t="s">
        <v>215</v>
      </c>
      <c r="B52" s="331">
        <v>2</v>
      </c>
      <c r="C52" s="332" t="s">
        <v>135</v>
      </c>
      <c r="D52" s="333" t="s">
        <v>80</v>
      </c>
      <c r="E52" s="341" t="s">
        <v>81</v>
      </c>
      <c r="F52" s="335" t="s">
        <v>94</v>
      </c>
      <c r="G52" s="335" t="s">
        <v>216</v>
      </c>
      <c r="H52" s="335" t="s">
        <v>217</v>
      </c>
      <c r="I52" s="336">
        <v>73</v>
      </c>
    </row>
    <row r="53" spans="1:9" ht="16.8">
      <c r="A53" s="330" t="s">
        <v>116</v>
      </c>
      <c r="B53" s="331">
        <v>2</v>
      </c>
      <c r="C53" s="332" t="s">
        <v>79</v>
      </c>
      <c r="D53" s="333" t="s">
        <v>80</v>
      </c>
      <c r="E53" s="334" t="s">
        <v>81</v>
      </c>
      <c r="F53" s="335" t="s">
        <v>94</v>
      </c>
      <c r="G53" s="335" t="s">
        <v>89</v>
      </c>
      <c r="H53" s="335" t="s">
        <v>149</v>
      </c>
      <c r="I53" s="336">
        <v>129</v>
      </c>
    </row>
    <row r="54" spans="1:9" ht="16.8">
      <c r="A54" s="330" t="s">
        <v>117</v>
      </c>
      <c r="B54" s="331">
        <v>2</v>
      </c>
      <c r="C54" s="332" t="s">
        <v>136</v>
      </c>
      <c r="D54" s="333" t="s">
        <v>99</v>
      </c>
      <c r="E54" s="334" t="s">
        <v>81</v>
      </c>
      <c r="F54" s="335" t="s">
        <v>94</v>
      </c>
      <c r="G54" s="335" t="s">
        <v>118</v>
      </c>
      <c r="H54" s="335" t="s">
        <v>149</v>
      </c>
      <c r="I54" s="336">
        <v>129</v>
      </c>
    </row>
    <row r="55" spans="1:9" ht="16.8">
      <c r="A55" s="330" t="s">
        <v>164</v>
      </c>
      <c r="B55" s="331">
        <v>2</v>
      </c>
      <c r="C55" s="332" t="s">
        <v>96</v>
      </c>
      <c r="D55" s="333" t="s">
        <v>80</v>
      </c>
      <c r="E55" s="341" t="s">
        <v>81</v>
      </c>
      <c r="F55" s="335" t="s">
        <v>82</v>
      </c>
      <c r="G55" s="335" t="s">
        <v>106</v>
      </c>
      <c r="H55" s="335" t="s">
        <v>147</v>
      </c>
      <c r="I55" s="336">
        <v>297</v>
      </c>
    </row>
    <row r="56" spans="1:9" ht="16.8">
      <c r="A56" s="330" t="s">
        <v>205</v>
      </c>
      <c r="B56" s="331">
        <v>2</v>
      </c>
      <c r="C56" s="332" t="s">
        <v>96</v>
      </c>
      <c r="D56" s="333" t="s">
        <v>80</v>
      </c>
      <c r="E56" s="341" t="s">
        <v>81</v>
      </c>
      <c r="F56" s="335" t="s">
        <v>94</v>
      </c>
      <c r="G56" s="335" t="s">
        <v>114</v>
      </c>
      <c r="H56" s="335" t="s">
        <v>202</v>
      </c>
      <c r="I56" s="336">
        <v>92</v>
      </c>
    </row>
    <row r="57" spans="1:9" ht="16.8">
      <c r="A57" s="344" t="s">
        <v>165</v>
      </c>
      <c r="B57" s="345">
        <v>2</v>
      </c>
      <c r="C57" s="346" t="s">
        <v>136</v>
      </c>
      <c r="D57" s="347" t="s">
        <v>99</v>
      </c>
      <c r="E57" s="348" t="s">
        <v>81</v>
      </c>
      <c r="F57" s="348" t="s">
        <v>82</v>
      </c>
      <c r="G57" s="348" t="s">
        <v>86</v>
      </c>
      <c r="H57" s="348" t="s">
        <v>147</v>
      </c>
      <c r="I57" s="349">
        <v>303</v>
      </c>
    </row>
    <row r="58" spans="1:9" ht="16.8">
      <c r="A58" s="330" t="s">
        <v>193</v>
      </c>
      <c r="B58" s="331">
        <v>3</v>
      </c>
      <c r="C58" s="332" t="s">
        <v>88</v>
      </c>
      <c r="D58" s="333" t="s">
        <v>80</v>
      </c>
      <c r="E58" s="341" t="s">
        <v>81</v>
      </c>
      <c r="F58" s="335" t="s">
        <v>94</v>
      </c>
      <c r="G58" s="335" t="s">
        <v>86</v>
      </c>
      <c r="H58" s="335" t="s">
        <v>199</v>
      </c>
      <c r="I58" s="336">
        <v>92</v>
      </c>
    </row>
    <row r="59" spans="1:9" ht="16.8">
      <c r="A59" s="330" t="s">
        <v>167</v>
      </c>
      <c r="B59" s="331">
        <v>3</v>
      </c>
      <c r="C59" s="332" t="s">
        <v>84</v>
      </c>
      <c r="D59" s="333" t="s">
        <v>80</v>
      </c>
      <c r="E59" s="341" t="s">
        <v>81</v>
      </c>
      <c r="F59" s="335" t="s">
        <v>85</v>
      </c>
      <c r="G59" s="335" t="s">
        <v>83</v>
      </c>
      <c r="H59" s="335" t="s">
        <v>147</v>
      </c>
      <c r="I59" s="336">
        <v>216</v>
      </c>
    </row>
    <row r="60" spans="1:9" ht="16.8">
      <c r="A60" s="330" t="s">
        <v>168</v>
      </c>
      <c r="B60" s="331">
        <v>3</v>
      </c>
      <c r="C60" s="332" t="s">
        <v>90</v>
      </c>
      <c r="D60" s="333" t="s">
        <v>80</v>
      </c>
      <c r="E60" s="341" t="s">
        <v>81</v>
      </c>
      <c r="F60" s="335" t="s">
        <v>85</v>
      </c>
      <c r="G60" s="335" t="s">
        <v>91</v>
      </c>
      <c r="H60" s="335" t="s">
        <v>147</v>
      </c>
      <c r="I60" s="336">
        <v>216</v>
      </c>
    </row>
    <row r="61" spans="1:9" ht="16.8">
      <c r="A61" s="330" t="s">
        <v>194</v>
      </c>
      <c r="B61" s="331">
        <v>3</v>
      </c>
      <c r="C61" s="332" t="s">
        <v>135</v>
      </c>
      <c r="D61" s="333" t="s">
        <v>99</v>
      </c>
      <c r="E61" s="341" t="s">
        <v>81</v>
      </c>
      <c r="F61" s="335" t="s">
        <v>85</v>
      </c>
      <c r="G61" s="335" t="s">
        <v>114</v>
      </c>
      <c r="H61" s="335" t="s">
        <v>149</v>
      </c>
      <c r="I61" s="336">
        <v>119</v>
      </c>
    </row>
    <row r="62" spans="1:9" ht="16.8">
      <c r="A62" s="330" t="s">
        <v>169</v>
      </c>
      <c r="B62" s="331">
        <v>3</v>
      </c>
      <c r="C62" s="332" t="s">
        <v>88</v>
      </c>
      <c r="D62" s="333" t="s">
        <v>99</v>
      </c>
      <c r="E62" s="341" t="s">
        <v>81</v>
      </c>
      <c r="F62" s="335" t="s">
        <v>82</v>
      </c>
      <c r="G62" s="335" t="s">
        <v>114</v>
      </c>
      <c r="H62" s="335" t="s">
        <v>147</v>
      </c>
      <c r="I62" s="336">
        <v>221</v>
      </c>
    </row>
    <row r="63" spans="1:9" ht="16.8">
      <c r="A63" s="330" t="s">
        <v>170</v>
      </c>
      <c r="B63" s="331">
        <v>3</v>
      </c>
      <c r="C63" s="332" t="s">
        <v>96</v>
      </c>
      <c r="D63" s="333" t="s">
        <v>80</v>
      </c>
      <c r="E63" s="341" t="s">
        <v>81</v>
      </c>
      <c r="F63" s="335" t="s">
        <v>176</v>
      </c>
      <c r="G63" s="335" t="s">
        <v>83</v>
      </c>
      <c r="H63" s="335" t="s">
        <v>147</v>
      </c>
      <c r="I63" s="336">
        <v>223</v>
      </c>
    </row>
    <row r="64" spans="1:9" ht="16.8">
      <c r="A64" s="330" t="s">
        <v>213</v>
      </c>
      <c r="B64" s="331">
        <v>3</v>
      </c>
      <c r="C64" s="332" t="s">
        <v>135</v>
      </c>
      <c r="D64" s="337" t="s">
        <v>101</v>
      </c>
      <c r="E64" s="341" t="s">
        <v>81</v>
      </c>
      <c r="F64" s="335" t="s">
        <v>85</v>
      </c>
      <c r="G64" s="335" t="s">
        <v>114</v>
      </c>
      <c r="H64" s="335" t="s">
        <v>212</v>
      </c>
      <c r="I64" s="336">
        <v>113</v>
      </c>
    </row>
    <row r="65" spans="1:9" ht="16.8">
      <c r="A65" s="330" t="s">
        <v>214</v>
      </c>
      <c r="B65" s="331">
        <v>3</v>
      </c>
      <c r="C65" s="332" t="s">
        <v>88</v>
      </c>
      <c r="D65" s="333" t="s">
        <v>211</v>
      </c>
      <c r="E65" s="341" t="s">
        <v>81</v>
      </c>
      <c r="F65" s="335" t="s">
        <v>94</v>
      </c>
      <c r="G65" s="335" t="s">
        <v>114</v>
      </c>
      <c r="H65" s="335" t="s">
        <v>212</v>
      </c>
      <c r="I65" s="336">
        <v>113</v>
      </c>
    </row>
    <row r="66" spans="1:9" ht="16.8">
      <c r="A66" s="330" t="s">
        <v>171</v>
      </c>
      <c r="B66" s="331">
        <v>3</v>
      </c>
      <c r="C66" s="332" t="s">
        <v>79</v>
      </c>
      <c r="D66" s="333" t="s">
        <v>80</v>
      </c>
      <c r="E66" s="341" t="s">
        <v>81</v>
      </c>
      <c r="F66" s="335" t="s">
        <v>85</v>
      </c>
      <c r="G66" s="335" t="s">
        <v>83</v>
      </c>
      <c r="H66" s="335" t="s">
        <v>147</v>
      </c>
      <c r="I66" s="336">
        <v>239</v>
      </c>
    </row>
    <row r="67" spans="1:9" ht="16.8">
      <c r="A67" s="330" t="s">
        <v>195</v>
      </c>
      <c r="B67" s="331">
        <v>3</v>
      </c>
      <c r="C67" s="332" t="s">
        <v>90</v>
      </c>
      <c r="D67" s="333" t="s">
        <v>203</v>
      </c>
      <c r="E67" s="341" t="s">
        <v>81</v>
      </c>
      <c r="F67" s="335" t="s">
        <v>130</v>
      </c>
      <c r="G67" s="335" t="s">
        <v>83</v>
      </c>
      <c r="H67" s="335" t="s">
        <v>204</v>
      </c>
      <c r="I67" s="336">
        <v>212</v>
      </c>
    </row>
    <row r="68" spans="1:9" ht="16.8">
      <c r="A68" s="330" t="s">
        <v>166</v>
      </c>
      <c r="B68" s="331">
        <v>3</v>
      </c>
      <c r="C68" s="332" t="s">
        <v>96</v>
      </c>
      <c r="D68" s="333" t="s">
        <v>177</v>
      </c>
      <c r="E68" s="341" t="s">
        <v>81</v>
      </c>
      <c r="F68" s="335" t="s">
        <v>178</v>
      </c>
      <c r="G68" s="335" t="s">
        <v>91</v>
      </c>
      <c r="H68" s="335" t="s">
        <v>147</v>
      </c>
      <c r="I68" s="336">
        <v>250</v>
      </c>
    </row>
    <row r="69" spans="1:9" ht="16.8">
      <c r="A69" s="330" t="s">
        <v>154</v>
      </c>
      <c r="B69" s="331">
        <v>3</v>
      </c>
      <c r="C69" s="332" t="s">
        <v>96</v>
      </c>
      <c r="D69" s="333" t="s">
        <v>177</v>
      </c>
      <c r="E69" s="341" t="s">
        <v>81</v>
      </c>
      <c r="F69" s="335" t="s">
        <v>178</v>
      </c>
      <c r="G69" s="335" t="s">
        <v>91</v>
      </c>
      <c r="H69" s="335" t="s">
        <v>147</v>
      </c>
      <c r="I69" s="336">
        <v>250</v>
      </c>
    </row>
    <row r="70" spans="1:9" ht="16.8">
      <c r="A70" s="330" t="s">
        <v>172</v>
      </c>
      <c r="B70" s="331">
        <v>3</v>
      </c>
      <c r="C70" s="350" t="s">
        <v>135</v>
      </c>
      <c r="D70" s="337" t="s">
        <v>108</v>
      </c>
      <c r="E70" s="339" t="s">
        <v>81</v>
      </c>
      <c r="F70" s="339" t="s">
        <v>82</v>
      </c>
      <c r="G70" s="339" t="s">
        <v>175</v>
      </c>
      <c r="H70" s="335" t="s">
        <v>147</v>
      </c>
      <c r="I70" s="343">
        <v>251</v>
      </c>
    </row>
    <row r="71" spans="1:9" ht="16.8">
      <c r="A71" s="330" t="s">
        <v>207</v>
      </c>
      <c r="B71" s="331">
        <v>3</v>
      </c>
      <c r="C71" s="350" t="s">
        <v>88</v>
      </c>
      <c r="D71" s="337" t="s">
        <v>99</v>
      </c>
      <c r="E71" s="339" t="s">
        <v>81</v>
      </c>
      <c r="F71" s="339" t="s">
        <v>82</v>
      </c>
      <c r="G71" s="339" t="s">
        <v>114</v>
      </c>
      <c r="H71" s="335" t="s">
        <v>199</v>
      </c>
      <c r="I71" s="343">
        <v>102</v>
      </c>
    </row>
    <row r="72" spans="1:9" ht="16.8">
      <c r="A72" s="330" t="s">
        <v>173</v>
      </c>
      <c r="B72" s="331">
        <v>3</v>
      </c>
      <c r="C72" s="332" t="s">
        <v>79</v>
      </c>
      <c r="D72" s="333" t="s">
        <v>99</v>
      </c>
      <c r="E72" s="341" t="s">
        <v>81</v>
      </c>
      <c r="F72" s="335" t="s">
        <v>130</v>
      </c>
      <c r="G72" s="335" t="s">
        <v>114</v>
      </c>
      <c r="H72" s="335" t="s">
        <v>147</v>
      </c>
      <c r="I72" s="351">
        <v>263</v>
      </c>
    </row>
    <row r="73" spans="1:9" ht="16.8">
      <c r="A73" s="330" t="s">
        <v>174</v>
      </c>
      <c r="B73" s="331">
        <v>3</v>
      </c>
      <c r="C73" s="332" t="s">
        <v>79</v>
      </c>
      <c r="D73" s="333" t="s">
        <v>80</v>
      </c>
      <c r="E73" s="341" t="s">
        <v>81</v>
      </c>
      <c r="F73" s="335" t="s">
        <v>85</v>
      </c>
      <c r="G73" s="335" t="s">
        <v>83</v>
      </c>
      <c r="H73" s="335" t="s">
        <v>147</v>
      </c>
      <c r="I73" s="336">
        <v>270</v>
      </c>
    </row>
    <row r="74" spans="1:9" ht="16.8">
      <c r="A74" s="330" t="s">
        <v>155</v>
      </c>
      <c r="B74" s="331">
        <v>3</v>
      </c>
      <c r="C74" s="332" t="s">
        <v>96</v>
      </c>
      <c r="D74" s="333" t="s">
        <v>80</v>
      </c>
      <c r="E74" s="341" t="s">
        <v>81</v>
      </c>
      <c r="F74" s="335" t="s">
        <v>85</v>
      </c>
      <c r="G74" s="335" t="s">
        <v>83</v>
      </c>
      <c r="H74" s="335" t="s">
        <v>147</v>
      </c>
      <c r="I74" s="336">
        <v>270</v>
      </c>
    </row>
    <row r="75" spans="1:9" ht="16.8">
      <c r="A75" s="330" t="s">
        <v>221</v>
      </c>
      <c r="B75" s="331">
        <v>3</v>
      </c>
      <c r="C75" s="332" t="s">
        <v>96</v>
      </c>
      <c r="D75" s="333" t="s">
        <v>99</v>
      </c>
      <c r="E75" s="341" t="s">
        <v>81</v>
      </c>
      <c r="F75" s="339" t="s">
        <v>85</v>
      </c>
      <c r="G75" s="335" t="s">
        <v>91</v>
      </c>
      <c r="H75" s="335" t="s">
        <v>222</v>
      </c>
      <c r="I75" s="336">
        <v>132</v>
      </c>
    </row>
    <row r="76" spans="1:9" ht="16.8">
      <c r="A76" s="330" t="s">
        <v>144</v>
      </c>
      <c r="B76" s="331">
        <v>3</v>
      </c>
      <c r="C76" s="332" t="s">
        <v>135</v>
      </c>
      <c r="D76" s="333" t="s">
        <v>99</v>
      </c>
      <c r="E76" s="334" t="s">
        <v>81</v>
      </c>
      <c r="F76" s="335" t="s">
        <v>94</v>
      </c>
      <c r="G76" s="335" t="s">
        <v>86</v>
      </c>
      <c r="H76" s="335" t="s">
        <v>150</v>
      </c>
      <c r="I76" s="336">
        <v>177</v>
      </c>
    </row>
    <row r="77" spans="1:9" ht="16.8">
      <c r="A77" s="330" t="s">
        <v>223</v>
      </c>
      <c r="B77" s="331">
        <v>3</v>
      </c>
      <c r="C77" s="332" t="s">
        <v>79</v>
      </c>
      <c r="D77" s="333" t="s">
        <v>80</v>
      </c>
      <c r="E77" s="335" t="s">
        <v>81</v>
      </c>
      <c r="F77" s="335" t="s">
        <v>94</v>
      </c>
      <c r="G77" s="335" t="s">
        <v>91</v>
      </c>
      <c r="H77" s="335" t="s">
        <v>199</v>
      </c>
      <c r="I77" s="336">
        <v>107</v>
      </c>
    </row>
    <row r="78" spans="1:9" ht="17.399999999999999" thickBot="1">
      <c r="A78" s="352" t="s">
        <v>119</v>
      </c>
      <c r="B78" s="353">
        <v>3</v>
      </c>
      <c r="C78" s="354" t="s">
        <v>135</v>
      </c>
      <c r="D78" s="355" t="s">
        <v>80</v>
      </c>
      <c r="E78" s="356" t="s">
        <v>81</v>
      </c>
      <c r="F78" s="357" t="s">
        <v>85</v>
      </c>
      <c r="G78" s="357" t="s">
        <v>86</v>
      </c>
      <c r="H78" s="357" t="s">
        <v>149</v>
      </c>
      <c r="I78" s="358">
        <v>129</v>
      </c>
    </row>
    <row r="79" spans="1:9" ht="16.2" thickTop="1"/>
  </sheetData>
  <sortState xmlns:xlrd2="http://schemas.microsoft.com/office/spreadsheetml/2017/richdata2"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showGridLines="0" workbookViewId="0"/>
  </sheetViews>
  <sheetFormatPr defaultColWidth="13" defaultRowHeight="15.6"/>
  <cols>
    <col min="1" max="1" width="26.796875" style="64" bestFit="1" customWidth="1"/>
    <col min="2" max="2" width="2.09765625" style="60" customWidth="1"/>
    <col min="3" max="3" width="15.296875" style="60" bestFit="1" customWidth="1"/>
    <col min="4" max="4" width="6.19921875" style="60" bestFit="1" customWidth="1"/>
    <col min="5" max="5" width="4.09765625" style="60" bestFit="1" customWidth="1"/>
    <col min="6" max="6" width="6.296875" style="60" bestFit="1" customWidth="1"/>
    <col min="7" max="16384" width="13" style="60"/>
  </cols>
  <sheetData>
    <row r="1" spans="1:6" ht="24" thickTop="1" thickBot="1">
      <c r="A1" s="266" t="s">
        <v>244</v>
      </c>
      <c r="B1" s="417"/>
      <c r="C1" s="418" t="s">
        <v>372</v>
      </c>
      <c r="D1" s="408"/>
      <c r="E1" s="408"/>
      <c r="F1" s="419"/>
    </row>
    <row r="2" spans="1:6" ht="17.399999999999999" thickTop="1">
      <c r="A2" s="63" t="s">
        <v>298</v>
      </c>
      <c r="C2" s="409" t="s">
        <v>60</v>
      </c>
      <c r="D2" s="410" t="s">
        <v>0</v>
      </c>
      <c r="E2" s="461" t="s">
        <v>311</v>
      </c>
    </row>
    <row r="3" spans="1:6" ht="16.8">
      <c r="A3" s="63" t="s">
        <v>317</v>
      </c>
      <c r="C3" s="411" t="s">
        <v>313</v>
      </c>
      <c r="D3" s="412">
        <v>0</v>
      </c>
      <c r="E3" s="462">
        <f>D3+'Personal File'!$C$15</f>
        <v>1</v>
      </c>
    </row>
    <row r="4" spans="1:6" ht="16.8">
      <c r="A4" s="63" t="s">
        <v>328</v>
      </c>
      <c r="C4" s="413" t="s">
        <v>314</v>
      </c>
      <c r="D4" s="414">
        <v>0</v>
      </c>
      <c r="E4" s="463">
        <f>D4+'Personal File'!$C$15</f>
        <v>1</v>
      </c>
    </row>
    <row r="5" spans="1:6" ht="16.8">
      <c r="A5" s="282" t="s">
        <v>345</v>
      </c>
      <c r="C5" s="413" t="s">
        <v>315</v>
      </c>
      <c r="D5" s="414">
        <v>0</v>
      </c>
      <c r="E5" s="463">
        <f>D5+'Personal File'!$C$15</f>
        <v>1</v>
      </c>
    </row>
    <row r="6" spans="1:6" ht="17.399999999999999" thickBot="1">
      <c r="A6" s="420" t="str">
        <f>CONCATENATE("Tongues, CL ",8+'Personal File'!E3)</f>
        <v>Tongues, CL 14</v>
      </c>
      <c r="C6" s="415" t="s">
        <v>312</v>
      </c>
      <c r="D6" s="416">
        <v>0</v>
      </c>
      <c r="E6" s="464">
        <f>D6+'Personal File'!$C$15</f>
        <v>1</v>
      </c>
    </row>
    <row r="7" spans="1:6" ht="18" thickTop="1" thickBot="1">
      <c r="A7" s="234" t="s">
        <v>306</v>
      </c>
    </row>
    <row r="8" spans="1:6" ht="16.8" thickTop="1" thickBot="1">
      <c r="D8" s="65" t="s">
        <v>343</v>
      </c>
      <c r="E8" s="445">
        <f>SUM('Personal File'!$E$3)</f>
        <v>6</v>
      </c>
    </row>
    <row r="9" spans="1:6" ht="22.2" thickTop="1" thickBot="1">
      <c r="A9" s="267" t="s">
        <v>151</v>
      </c>
      <c r="F9" s="134"/>
    </row>
    <row r="10" spans="1:6" ht="17.399999999999999" thickBot="1">
      <c r="A10" s="258" t="s">
        <v>125</v>
      </c>
    </row>
    <row r="11" spans="1:6" ht="16.8" thickTop="1" thickBot="1"/>
    <row r="12" spans="1:6" ht="22.2" thickTop="1" thickBot="1">
      <c r="A12" s="266" t="s">
        <v>370</v>
      </c>
    </row>
    <row r="13" spans="1:6" ht="16.8">
      <c r="A13" s="62" t="s">
        <v>251</v>
      </c>
    </row>
    <row r="14" spans="1:6" ht="17.399999999999999" thickBot="1">
      <c r="A14" s="292" t="s">
        <v>346</v>
      </c>
    </row>
    <row r="15" spans="1:6" ht="16.8" thickTop="1" thickBot="1"/>
    <row r="16" spans="1:6" ht="22.2" thickTop="1" thickBot="1">
      <c r="A16" s="265" t="s">
        <v>61</v>
      </c>
    </row>
    <row r="17" spans="1:1" ht="16.8">
      <c r="A17" s="407" t="s">
        <v>364</v>
      </c>
    </row>
    <row r="18" spans="1:1" ht="17.399999999999999" thickBot="1">
      <c r="A18" s="66" t="s">
        <v>320</v>
      </c>
    </row>
    <row r="19" spans="1:1" ht="16.2" thickTop="1"/>
  </sheetData>
  <conditionalFormatting sqref="F1">
    <cfRule type="cellIs" dxfId="15"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GridLines="0" zoomScaleNormal="100" workbookViewId="0"/>
  </sheetViews>
  <sheetFormatPr defaultColWidth="13" defaultRowHeight="15.6"/>
  <cols>
    <col min="1" max="1" width="26.8984375" style="27" bestFit="1" customWidth="1"/>
    <col min="2" max="2" width="8.5" style="27" bestFit="1" customWidth="1"/>
    <col min="3" max="3" width="6.8984375" style="27" bestFit="1" customWidth="1"/>
    <col min="4" max="4" width="6.296875" style="27" bestFit="1" customWidth="1"/>
    <col min="5" max="5" width="8.09765625" style="27" bestFit="1" customWidth="1"/>
    <col min="6" max="6" width="8.3984375" style="27" bestFit="1" customWidth="1"/>
    <col min="7" max="7" width="4.3984375"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143</v>
      </c>
      <c r="B1" s="13"/>
      <c r="C1" s="13"/>
      <c r="D1" s="13"/>
      <c r="E1" s="13"/>
      <c r="F1" s="13"/>
      <c r="G1" s="13"/>
      <c r="H1" s="13"/>
      <c r="I1" s="13"/>
      <c r="J1" s="13"/>
      <c r="K1" s="13"/>
    </row>
    <row r="2" spans="1:13" ht="16.8" thickTop="1" thickBot="1">
      <c r="A2" s="15" t="s">
        <v>2</v>
      </c>
      <c r="B2" s="16" t="s">
        <v>238</v>
      </c>
      <c r="C2" s="16" t="s">
        <v>15</v>
      </c>
      <c r="D2" s="16" t="s">
        <v>16</v>
      </c>
      <c r="E2" s="17" t="s">
        <v>54</v>
      </c>
      <c r="F2" s="16" t="s">
        <v>14</v>
      </c>
      <c r="G2" s="16" t="s">
        <v>17</v>
      </c>
      <c r="H2" s="18" t="s">
        <v>110</v>
      </c>
      <c r="I2" s="19" t="s">
        <v>124</v>
      </c>
      <c r="J2" s="18" t="s">
        <v>67</v>
      </c>
      <c r="K2" s="20" t="s">
        <v>1</v>
      </c>
      <c r="M2" s="205" t="s">
        <v>128</v>
      </c>
    </row>
    <row r="3" spans="1:13">
      <c r="A3" s="470" t="s">
        <v>242</v>
      </c>
      <c r="B3" s="210" t="s">
        <v>344</v>
      </c>
      <c r="C3" s="471">
        <f>'Personal File'!$C$11+0</f>
        <v>2</v>
      </c>
      <c r="D3" s="481">
        <v>2</v>
      </c>
      <c r="E3" s="472" t="s">
        <v>243</v>
      </c>
      <c r="F3" s="473" t="s">
        <v>131</v>
      </c>
      <c r="G3" s="474" t="s">
        <v>133</v>
      </c>
      <c r="H3" s="475" t="str">
        <f>CONCATENATE("+",'Personal File'!$B$9+'Personal File'!$C$11+D3)</f>
        <v>+9</v>
      </c>
      <c r="I3" s="476">
        <f t="shared" ref="I3:I11" ca="1" si="0">RANDBETWEEN(1,20)</f>
        <v>4</v>
      </c>
      <c r="J3" s="477">
        <f t="shared" ref="J3:J5" ca="1" si="1">I3+RIGHT(H3,2)</f>
        <v>13</v>
      </c>
      <c r="K3" s="478"/>
      <c r="L3" s="460"/>
      <c r="M3" s="311" t="s">
        <v>133</v>
      </c>
    </row>
    <row r="4" spans="1:13">
      <c r="A4" s="302" t="s">
        <v>307</v>
      </c>
      <c r="B4" s="12" t="s">
        <v>258</v>
      </c>
      <c r="C4" s="303">
        <f>'Personal File'!$C$11/2</f>
        <v>1</v>
      </c>
      <c r="D4" s="482">
        <v>2</v>
      </c>
      <c r="E4" s="304" t="s">
        <v>243</v>
      </c>
      <c r="F4" s="305" t="s">
        <v>309</v>
      </c>
      <c r="G4" s="458" t="s">
        <v>133</v>
      </c>
      <c r="H4" s="306" t="str">
        <f>CONCATENATE("+",'Personal File'!$B$9+'Personal File'!$C$11+D4-1)</f>
        <v>+8</v>
      </c>
      <c r="I4" s="308">
        <f t="shared" ca="1" si="0"/>
        <v>15</v>
      </c>
      <c r="J4" s="459">
        <f t="shared" ca="1" si="1"/>
        <v>23</v>
      </c>
      <c r="K4" s="310"/>
      <c r="L4" s="460"/>
      <c r="M4" s="311" t="s">
        <v>133</v>
      </c>
    </row>
    <row r="5" spans="1:13">
      <c r="A5" s="302" t="s">
        <v>308</v>
      </c>
      <c r="B5" s="12" t="s">
        <v>258</v>
      </c>
      <c r="C5" s="303">
        <f>'Personal File'!$C$11/2</f>
        <v>1</v>
      </c>
      <c r="D5" s="482">
        <v>2</v>
      </c>
      <c r="E5" s="304" t="s">
        <v>243</v>
      </c>
      <c r="F5" s="305" t="s">
        <v>309</v>
      </c>
      <c r="G5" s="458" t="s">
        <v>133</v>
      </c>
      <c r="H5" s="306" t="str">
        <f>CONCATENATE("+",'Personal File'!$B$9+'Personal File'!$C$11+D5-1)</f>
        <v>+8</v>
      </c>
      <c r="I5" s="308">
        <f t="shared" ca="1" si="0"/>
        <v>8</v>
      </c>
      <c r="J5" s="459">
        <f t="shared" ca="1" si="1"/>
        <v>16</v>
      </c>
      <c r="K5" s="310"/>
      <c r="L5" s="460"/>
      <c r="M5" s="311" t="s">
        <v>133</v>
      </c>
    </row>
    <row r="6" spans="1:13">
      <c r="A6" s="302" t="s">
        <v>355</v>
      </c>
      <c r="B6" s="12" t="s">
        <v>344</v>
      </c>
      <c r="C6" s="303">
        <f>'Personal File'!$C$11+0</f>
        <v>2</v>
      </c>
      <c r="D6" s="482">
        <v>2</v>
      </c>
      <c r="E6" s="304" t="s">
        <v>255</v>
      </c>
      <c r="F6" s="305" t="s">
        <v>256</v>
      </c>
      <c r="G6" s="306">
        <v>4</v>
      </c>
      <c r="H6" s="307" t="str">
        <f>CONCATENATE("+",'Personal File'!$B$9+'Personal File'!$C$11+D6)</f>
        <v>+9</v>
      </c>
      <c r="I6" s="308">
        <f t="shared" ca="1" si="0"/>
        <v>3</v>
      </c>
      <c r="J6" s="309">
        <f t="shared" ref="J6:J11" ca="1" si="2">I6+RIGHT(H6,2)</f>
        <v>12</v>
      </c>
      <c r="K6" s="310"/>
      <c r="M6" s="311">
        <v>15</v>
      </c>
    </row>
    <row r="7" spans="1:13">
      <c r="A7" s="302" t="s">
        <v>253</v>
      </c>
      <c r="B7" s="12" t="s">
        <v>258</v>
      </c>
      <c r="C7" s="303">
        <f>'Personal File'!$C$11+0</f>
        <v>2</v>
      </c>
      <c r="D7" s="482">
        <v>2</v>
      </c>
      <c r="E7" s="304" t="s">
        <v>255</v>
      </c>
      <c r="F7" s="305" t="s">
        <v>257</v>
      </c>
      <c r="G7" s="306">
        <v>1</v>
      </c>
      <c r="H7" s="307" t="str">
        <f>CONCATENATE("+",'Personal File'!$B$9+'Personal File'!$C$11+D7)</f>
        <v>+9</v>
      </c>
      <c r="I7" s="308">
        <f t="shared" ca="1" si="0"/>
        <v>5</v>
      </c>
      <c r="J7" s="309">
        <f t="shared" ca="1" si="2"/>
        <v>14</v>
      </c>
      <c r="K7" s="310"/>
      <c r="M7" s="469">
        <v>2</v>
      </c>
    </row>
    <row r="8" spans="1:13">
      <c r="A8" s="302" t="s">
        <v>254</v>
      </c>
      <c r="B8" s="12" t="s">
        <v>258</v>
      </c>
      <c r="C8" s="303">
        <f>'Personal File'!$C$11+0</f>
        <v>2</v>
      </c>
      <c r="D8" s="482">
        <v>2</v>
      </c>
      <c r="E8" s="304" t="s">
        <v>255</v>
      </c>
      <c r="F8" s="305" t="s">
        <v>257</v>
      </c>
      <c r="G8" s="306">
        <v>1</v>
      </c>
      <c r="H8" s="307" t="str">
        <f>CONCATENATE("+",'Personal File'!$B$9+'Personal File'!$C$11+D8)</f>
        <v>+9</v>
      </c>
      <c r="I8" s="308">
        <f t="shared" ca="1" si="0"/>
        <v>18</v>
      </c>
      <c r="J8" s="309">
        <f t="shared" ref="J8" ca="1" si="3">I8+RIGHT(H8,2)</f>
        <v>27</v>
      </c>
      <c r="K8" s="310"/>
      <c r="M8" s="469">
        <v>2</v>
      </c>
    </row>
    <row r="9" spans="1:13">
      <c r="A9" s="302" t="s">
        <v>375</v>
      </c>
      <c r="B9" s="12" t="s">
        <v>377</v>
      </c>
      <c r="C9" s="303">
        <f>'Personal File'!$C$11+0</f>
        <v>2</v>
      </c>
      <c r="D9" s="482">
        <v>2</v>
      </c>
      <c r="E9" s="304" t="s">
        <v>352</v>
      </c>
      <c r="F9" s="305" t="s">
        <v>256</v>
      </c>
      <c r="G9" s="306">
        <v>3</v>
      </c>
      <c r="H9" s="307" t="str">
        <f>CONCATENATE("+",'Personal File'!$B$9+'Personal File'!$C$11+D9)</f>
        <v>+9</v>
      </c>
      <c r="I9" s="308">
        <f t="shared" ca="1" si="0"/>
        <v>19</v>
      </c>
      <c r="J9" s="309">
        <f t="shared" ref="J9:J10" ca="1" si="4">I9+RIGHT(H9,2)</f>
        <v>28</v>
      </c>
      <c r="K9" s="310"/>
      <c r="M9" s="469">
        <v>6</v>
      </c>
    </row>
    <row r="10" spans="1:13">
      <c r="A10" s="302" t="s">
        <v>376</v>
      </c>
      <c r="B10" s="12" t="s">
        <v>377</v>
      </c>
      <c r="C10" s="303">
        <f>'Personal File'!$C$11-1</f>
        <v>1</v>
      </c>
      <c r="D10" s="482">
        <v>2</v>
      </c>
      <c r="E10" s="304" t="s">
        <v>352</v>
      </c>
      <c r="F10" s="305" t="s">
        <v>256</v>
      </c>
      <c r="G10" s="306">
        <v>3</v>
      </c>
      <c r="H10" s="307" t="str">
        <f>CONCATENATE("+",'Personal File'!$B$9+'Personal File'!$C$11+D10)</f>
        <v>+9</v>
      </c>
      <c r="I10" s="308">
        <f t="shared" ca="1" si="0"/>
        <v>3</v>
      </c>
      <c r="J10" s="309">
        <f t="shared" ca="1" si="4"/>
        <v>12</v>
      </c>
      <c r="K10" s="310"/>
      <c r="M10" s="469">
        <v>26</v>
      </c>
    </row>
    <row r="11" spans="1:13" ht="16.2" thickBot="1">
      <c r="A11" s="201" t="s">
        <v>373</v>
      </c>
      <c r="B11" s="21" t="s">
        <v>133</v>
      </c>
      <c r="C11" s="22" t="s">
        <v>133</v>
      </c>
      <c r="D11" s="483">
        <v>2</v>
      </c>
      <c r="E11" s="23" t="s">
        <v>133</v>
      </c>
      <c r="F11" s="21" t="s">
        <v>133</v>
      </c>
      <c r="G11" s="24" t="s">
        <v>133</v>
      </c>
      <c r="H11" s="25" t="str">
        <f>CONCATENATE("+",'Personal File'!$B$9+'Personal File'!$C$11+D11)</f>
        <v>+9</v>
      </c>
      <c r="I11" s="232">
        <f t="shared" ca="1" si="0"/>
        <v>12</v>
      </c>
      <c r="J11" s="233">
        <f t="shared" ca="1" si="2"/>
        <v>21</v>
      </c>
      <c r="K11" s="26"/>
      <c r="M11" s="238" t="s">
        <v>133</v>
      </c>
    </row>
    <row r="12" spans="1:13" ht="16.8" thickTop="1" thickBot="1"/>
    <row r="13" spans="1:13" ht="16.8" thickTop="1" thickBot="1">
      <c r="A13" s="15" t="s">
        <v>4</v>
      </c>
      <c r="B13" s="16" t="s">
        <v>238</v>
      </c>
      <c r="C13" s="16" t="s">
        <v>15</v>
      </c>
      <c r="D13" s="16" t="s">
        <v>16</v>
      </c>
      <c r="E13" s="17" t="s">
        <v>54</v>
      </c>
      <c r="F13" s="16" t="s">
        <v>5</v>
      </c>
      <c r="G13" s="16" t="s">
        <v>17</v>
      </c>
      <c r="H13" s="18" t="s">
        <v>110</v>
      </c>
      <c r="I13" s="19" t="s">
        <v>124</v>
      </c>
      <c r="J13" s="18" t="s">
        <v>67</v>
      </c>
      <c r="K13" s="20" t="s">
        <v>1</v>
      </c>
      <c r="M13" s="205" t="s">
        <v>128</v>
      </c>
    </row>
    <row r="14" spans="1:13">
      <c r="A14" s="236" t="s">
        <v>356</v>
      </c>
      <c r="B14" s="237" t="s">
        <v>344</v>
      </c>
      <c r="C14" s="447">
        <f>'Personal File'!$C$11+1</f>
        <v>3</v>
      </c>
      <c r="D14" s="312" t="s">
        <v>351</v>
      </c>
      <c r="E14" s="237" t="s">
        <v>352</v>
      </c>
      <c r="F14" s="313" t="s">
        <v>353</v>
      </c>
      <c r="G14" s="314">
        <v>3</v>
      </c>
      <c r="H14" s="307" t="str">
        <f>CONCATENATE("+",'Personal File'!$B$9+'Personal File'!$C$12+D14)</f>
        <v>+8</v>
      </c>
      <c r="I14" s="308">
        <f ca="1">RANDBETWEEN(1,20)</f>
        <v>8</v>
      </c>
      <c r="J14" s="309">
        <f t="shared" ref="J14:J15" ca="1" si="5">I14+RIGHT(H14,2)</f>
        <v>16</v>
      </c>
      <c r="K14" s="315"/>
      <c r="M14" s="311">
        <f>100+300+2000+200</f>
        <v>2600</v>
      </c>
    </row>
    <row r="15" spans="1:13">
      <c r="A15" s="302" t="s">
        <v>360</v>
      </c>
      <c r="B15" s="12" t="s">
        <v>361</v>
      </c>
      <c r="C15" s="466">
        <v>0</v>
      </c>
      <c r="D15" s="467" t="s">
        <v>52</v>
      </c>
      <c r="E15" s="12" t="s">
        <v>133</v>
      </c>
      <c r="F15" s="458" t="s">
        <v>362</v>
      </c>
      <c r="G15" s="306" t="s">
        <v>133</v>
      </c>
      <c r="H15" s="307" t="str">
        <f>CONCATENATE("+",'Personal File'!$B$9+'Personal File'!$C$12+D15)</f>
        <v>+7</v>
      </c>
      <c r="I15" s="308">
        <f ca="1">RANDBETWEEN(1,20)</f>
        <v>2</v>
      </c>
      <c r="J15" s="309">
        <f t="shared" ca="1" si="5"/>
        <v>9</v>
      </c>
      <c r="K15" s="468"/>
      <c r="M15" s="469" t="s">
        <v>133</v>
      </c>
    </row>
    <row r="16" spans="1:13" ht="16.2" thickBot="1">
      <c r="A16" s="243" t="s">
        <v>363</v>
      </c>
      <c r="B16" s="23" t="s">
        <v>361</v>
      </c>
      <c r="C16" s="448">
        <v>0</v>
      </c>
      <c r="D16" s="244" t="s">
        <v>52</v>
      </c>
      <c r="E16" s="23" t="s">
        <v>133</v>
      </c>
      <c r="F16" s="244" t="s">
        <v>362</v>
      </c>
      <c r="G16" s="455" t="s">
        <v>133</v>
      </c>
      <c r="H16" s="245" t="str">
        <f>CONCATENATE("+",'Personal File'!$B$9+'Personal File'!$C$12+D16-5)</f>
        <v>+2</v>
      </c>
      <c r="I16" s="232">
        <f ca="1">RANDBETWEEN(1,20)</f>
        <v>14</v>
      </c>
      <c r="J16" s="233">
        <f t="shared" ref="J16" ca="1" si="6">I16+RIGHT(H16,2)</f>
        <v>16</v>
      </c>
      <c r="K16" s="246"/>
      <c r="M16" s="224" t="s">
        <v>133</v>
      </c>
    </row>
    <row r="17" spans="1:13" ht="16.8" thickTop="1" thickBot="1">
      <c r="D17" s="28"/>
      <c r="E17" s="28"/>
      <c r="G17" s="29"/>
      <c r="H17" s="29"/>
      <c r="I17" s="29"/>
      <c r="J17" s="29"/>
    </row>
    <row r="18" spans="1:13" ht="16.8" thickTop="1" thickBot="1">
      <c r="A18" s="15" t="s">
        <v>58</v>
      </c>
      <c r="B18" s="16" t="s">
        <v>8</v>
      </c>
      <c r="C18" s="16" t="s">
        <v>24</v>
      </c>
      <c r="D18" s="16" t="s">
        <v>67</v>
      </c>
      <c r="E18" s="16" t="s">
        <v>68</v>
      </c>
      <c r="F18" s="16" t="s">
        <v>69</v>
      </c>
      <c r="G18" s="16" t="s">
        <v>17</v>
      </c>
      <c r="H18" s="30" t="s">
        <v>1</v>
      </c>
      <c r="I18" s="31"/>
      <c r="J18" s="31"/>
      <c r="K18" s="32"/>
      <c r="M18" s="205" t="s">
        <v>128</v>
      </c>
    </row>
    <row r="19" spans="1:13">
      <c r="A19" s="316" t="s">
        <v>310</v>
      </c>
      <c r="B19" s="317">
        <v>6</v>
      </c>
      <c r="C19" s="318" t="s">
        <v>133</v>
      </c>
      <c r="D19" s="317" t="s">
        <v>133</v>
      </c>
      <c r="E19" s="319" t="s">
        <v>133</v>
      </c>
      <c r="F19" s="317" t="s">
        <v>133</v>
      </c>
      <c r="G19" s="320" t="s">
        <v>133</v>
      </c>
      <c r="H19" s="321"/>
      <c r="I19" s="33"/>
      <c r="J19" s="33"/>
      <c r="K19" s="322"/>
      <c r="M19" s="212" t="s">
        <v>133</v>
      </c>
    </row>
    <row r="20" spans="1:13">
      <c r="A20" s="434" t="s">
        <v>316</v>
      </c>
      <c r="B20" s="435">
        <v>4</v>
      </c>
      <c r="C20" s="436">
        <v>6</v>
      </c>
      <c r="D20" s="435">
        <v>0</v>
      </c>
      <c r="E20" s="437">
        <v>0.1</v>
      </c>
      <c r="F20" s="435" t="s">
        <v>130</v>
      </c>
      <c r="G20" s="438">
        <v>12.5</v>
      </c>
      <c r="H20" s="439"/>
      <c r="I20" s="440"/>
      <c r="J20" s="440"/>
      <c r="K20" s="441"/>
      <c r="M20" s="239">
        <v>1100</v>
      </c>
    </row>
    <row r="21" spans="1:13" ht="16.2" thickBot="1">
      <c r="A21" s="323" t="s">
        <v>339</v>
      </c>
      <c r="B21" s="324">
        <v>1</v>
      </c>
      <c r="C21" s="325" t="s">
        <v>133</v>
      </c>
      <c r="D21" s="325" t="s">
        <v>133</v>
      </c>
      <c r="E21" s="442" t="s">
        <v>133</v>
      </c>
      <c r="F21" s="325" t="s">
        <v>133</v>
      </c>
      <c r="G21" s="443">
        <v>0</v>
      </c>
      <c r="H21" s="326"/>
      <c r="I21" s="46"/>
      <c r="J21" s="46"/>
      <c r="K21" s="327"/>
      <c r="M21" s="224">
        <v>2000</v>
      </c>
    </row>
    <row r="22" spans="1:13" ht="16.8" thickTop="1" thickBot="1"/>
    <row r="23" spans="1:13" ht="16.8" thickTop="1" thickBot="1">
      <c r="A23" s="34"/>
      <c r="B23" s="29"/>
      <c r="D23" s="35" t="s">
        <v>59</v>
      </c>
      <c r="E23" s="36"/>
      <c r="F23" s="30" t="s">
        <v>3</v>
      </c>
      <c r="G23" s="16" t="s">
        <v>17</v>
      </c>
      <c r="H23" s="18" t="s">
        <v>110</v>
      </c>
      <c r="I23" s="30" t="s">
        <v>1</v>
      </c>
      <c r="J23" s="31"/>
      <c r="K23" s="32"/>
      <c r="M23" s="205" t="s">
        <v>128</v>
      </c>
    </row>
    <row r="24" spans="1:13">
      <c r="A24" s="34"/>
      <c r="B24" s="29"/>
      <c r="D24" s="252" t="s">
        <v>358</v>
      </c>
      <c r="E24" s="37"/>
      <c r="F24" s="38">
        <v>40</v>
      </c>
      <c r="G24" s="39">
        <f>F24/20</f>
        <v>2</v>
      </c>
      <c r="H24" s="40" t="s">
        <v>359</v>
      </c>
      <c r="I24" s="40"/>
      <c r="J24" s="33"/>
      <c r="K24" s="41"/>
      <c r="M24" s="212">
        <f>F24/20</f>
        <v>2</v>
      </c>
    </row>
    <row r="25" spans="1:13" ht="16.2" thickBot="1">
      <c r="D25" s="42" t="s">
        <v>374</v>
      </c>
      <c r="E25" s="43"/>
      <c r="F25" s="44">
        <v>20</v>
      </c>
      <c r="G25" s="443">
        <f t="shared" ref="G25" si="7">F25*3/20</f>
        <v>3</v>
      </c>
      <c r="H25" s="465" t="s">
        <v>359</v>
      </c>
      <c r="I25" s="45"/>
      <c r="J25" s="46"/>
      <c r="K25" s="47"/>
      <c r="M25" s="224">
        <v>41</v>
      </c>
    </row>
    <row r="26" spans="1:13" ht="16.8" thickTop="1" thickBot="1"/>
    <row r="27" spans="1:13" ht="16.8" thickTop="1" thickBot="1">
      <c r="D27" s="35" t="s">
        <v>126</v>
      </c>
      <c r="E27" s="31"/>
      <c r="F27" s="31"/>
      <c r="G27" s="31"/>
      <c r="H27" s="203" t="s">
        <v>3</v>
      </c>
      <c r="I27" s="203" t="s">
        <v>0</v>
      </c>
      <c r="J27" s="203" t="s">
        <v>127</v>
      </c>
      <c r="K27" s="32" t="s">
        <v>65</v>
      </c>
      <c r="L27" s="204"/>
      <c r="M27" s="205" t="s">
        <v>128</v>
      </c>
    </row>
    <row r="28" spans="1:13">
      <c r="D28" s="206"/>
      <c r="E28" s="207"/>
      <c r="F28" s="207"/>
      <c r="G28" s="208"/>
      <c r="H28" s="209"/>
      <c r="I28" s="210"/>
      <c r="J28" s="210"/>
      <c r="K28" s="211"/>
      <c r="L28" s="204"/>
      <c r="M28" s="212"/>
    </row>
    <row r="29" spans="1:13">
      <c r="D29" s="293"/>
      <c r="E29" s="294"/>
      <c r="F29" s="294"/>
      <c r="G29" s="295"/>
      <c r="H29" s="296"/>
      <c r="I29" s="237"/>
      <c r="J29" s="237"/>
      <c r="K29" s="297"/>
      <c r="L29" s="204"/>
      <c r="M29" s="239"/>
    </row>
    <row r="30" spans="1:13">
      <c r="D30" s="213"/>
      <c r="E30" s="214"/>
      <c r="F30" s="214"/>
      <c r="G30" s="215"/>
      <c r="H30" s="216"/>
      <c r="I30" s="12"/>
      <c r="J30" s="12"/>
      <c r="K30" s="217"/>
      <c r="L30" s="204"/>
      <c r="M30" s="239"/>
    </row>
    <row r="31" spans="1:13" ht="16.2" thickBot="1">
      <c r="D31" s="218"/>
      <c r="E31" s="219"/>
      <c r="F31" s="219"/>
      <c r="G31" s="220"/>
      <c r="H31" s="221"/>
      <c r="I31" s="222"/>
      <c r="J31" s="222"/>
      <c r="K31" s="223"/>
      <c r="L31" s="204"/>
      <c r="M31" s="224"/>
    </row>
    <row r="32" spans="1:13" ht="16.2" thickTop="1"/>
  </sheetData>
  <phoneticPr fontId="0" type="noConversion"/>
  <conditionalFormatting sqref="I16">
    <cfRule type="cellIs" dxfId="14" priority="53" operator="equal">
      <formula>20</formula>
    </cfRule>
    <cfRule type="cellIs" dxfId="13" priority="54" operator="equal">
      <formula>1</formula>
    </cfRule>
  </conditionalFormatting>
  <conditionalFormatting sqref="I11">
    <cfRule type="cellIs" dxfId="12" priority="49" operator="equal">
      <formula>20</formula>
    </cfRule>
    <cfRule type="cellIs" dxfId="11" priority="50" operator="equal">
      <formula>1</formula>
    </cfRule>
  </conditionalFormatting>
  <conditionalFormatting sqref="I14:I15">
    <cfRule type="cellIs" dxfId="10" priority="35" operator="equal">
      <formula>20</formula>
    </cfRule>
    <cfRule type="cellIs" dxfId="9" priority="36" operator="equal">
      <formula>1</formula>
    </cfRule>
  </conditionalFormatting>
  <conditionalFormatting sqref="I3:I5">
    <cfRule type="cellIs" dxfId="8" priority="9" operator="equal">
      <formula>20</formula>
    </cfRule>
    <cfRule type="cellIs" dxfId="7" priority="10" operator="equal">
      <formula>1</formula>
    </cfRule>
  </conditionalFormatting>
  <conditionalFormatting sqref="I7:I8">
    <cfRule type="cellIs" dxfId="6" priority="7" operator="equal">
      <formula>1</formula>
    </cfRule>
    <cfRule type="cellIs" dxfId="5" priority="8" operator="greaterThanOrEqual">
      <formula>19</formula>
    </cfRule>
  </conditionalFormatting>
  <conditionalFormatting sqref="I6">
    <cfRule type="cellIs" dxfId="4" priority="5" operator="equal">
      <formula>20</formula>
    </cfRule>
    <cfRule type="cellIs" dxfId="3" priority="6" operator="equal">
      <formula>1</formula>
    </cfRule>
  </conditionalFormatting>
  <conditionalFormatting sqref="I9:I10">
    <cfRule type="cellIs" dxfId="2" priority="1" operator="equal">
      <formula>1</formula>
    </cfRule>
    <cfRule type="cellIs" dxfId="1" priority="2" operator="greaterThan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
  <sheetViews>
    <sheetView showGridLines="0" workbookViewId="0"/>
  </sheetViews>
  <sheetFormatPr defaultColWidth="13" defaultRowHeight="15.6"/>
  <cols>
    <col min="1" max="1" width="24.296875" style="27" bestFit="1" customWidth="1"/>
    <col min="2" max="2" width="4.69921875" style="27" bestFit="1" customWidth="1"/>
    <col min="3" max="3" width="4.3984375" style="29" bestFit="1" customWidth="1"/>
    <col min="4" max="5" width="17.09765625" style="14" customWidth="1"/>
    <col min="6" max="6" width="2.69921875" style="14" customWidth="1"/>
    <col min="7" max="7" width="8" style="14" bestFit="1" customWidth="1"/>
    <col min="8" max="16384" width="13" style="14"/>
  </cols>
  <sheetData>
    <row r="1" spans="1:7" ht="23.4" thickBot="1">
      <c r="A1" s="13" t="s">
        <v>62</v>
      </c>
      <c r="B1" s="13"/>
      <c r="C1" s="48"/>
      <c r="D1" s="13"/>
      <c r="E1" s="13"/>
    </row>
    <row r="2" spans="1:7" s="27" customFormat="1" ht="16.8" thickTop="1" thickBot="1">
      <c r="A2" s="49" t="s">
        <v>63</v>
      </c>
      <c r="B2" s="49" t="s">
        <v>3</v>
      </c>
      <c r="C2" s="50" t="s">
        <v>17</v>
      </c>
      <c r="D2" s="51" t="s">
        <v>64</v>
      </c>
      <c r="E2" s="52" t="s">
        <v>65</v>
      </c>
      <c r="G2" s="225" t="s">
        <v>128</v>
      </c>
    </row>
    <row r="3" spans="1:7">
      <c r="A3" s="301" t="s">
        <v>231</v>
      </c>
      <c r="B3" s="250">
        <v>1</v>
      </c>
      <c r="C3" s="54">
        <v>2</v>
      </c>
      <c r="D3" s="55"/>
      <c r="E3" s="56"/>
      <c r="G3" s="226">
        <v>2</v>
      </c>
    </row>
    <row r="4" spans="1:7">
      <c r="A4" s="456" t="s">
        <v>369</v>
      </c>
      <c r="B4" s="457">
        <v>1</v>
      </c>
      <c r="C4" s="54">
        <v>1</v>
      </c>
      <c r="D4" s="55"/>
      <c r="E4" s="56"/>
      <c r="G4" s="226">
        <v>1</v>
      </c>
    </row>
    <row r="5" spans="1:7">
      <c r="A5" s="53" t="s">
        <v>252</v>
      </c>
      <c r="B5" s="248">
        <v>1</v>
      </c>
      <c r="C5" s="57" t="s">
        <v>259</v>
      </c>
      <c r="D5" s="55"/>
      <c r="E5" s="56"/>
      <c r="G5" s="388" t="s">
        <v>260</v>
      </c>
    </row>
    <row r="6" spans="1:7">
      <c r="A6" s="53" t="s">
        <v>347</v>
      </c>
      <c r="B6" s="247">
        <v>1</v>
      </c>
      <c r="C6" s="202">
        <v>1</v>
      </c>
      <c r="D6" s="58"/>
      <c r="E6" s="59"/>
      <c r="G6" s="226">
        <v>25</v>
      </c>
    </row>
    <row r="7" spans="1:7" ht="16.2" thickBot="1">
      <c r="A7" s="229" t="s">
        <v>354</v>
      </c>
      <c r="B7" s="249">
        <v>1</v>
      </c>
      <c r="C7" s="169">
        <v>1</v>
      </c>
      <c r="D7" s="170"/>
      <c r="E7" s="171"/>
      <c r="G7" s="227">
        <v>4000</v>
      </c>
    </row>
    <row r="8" spans="1:7" ht="24" thickTop="1" thickBot="1">
      <c r="A8" s="13" t="s">
        <v>66</v>
      </c>
      <c r="B8" s="13"/>
      <c r="C8" s="172"/>
      <c r="D8" s="13"/>
      <c r="E8" s="173"/>
    </row>
    <row r="9" spans="1:7" ht="16.8" thickTop="1" thickBot="1">
      <c r="A9" s="49" t="s">
        <v>63</v>
      </c>
      <c r="B9" s="49" t="s">
        <v>3</v>
      </c>
      <c r="C9" s="50" t="s">
        <v>17</v>
      </c>
      <c r="D9" s="51" t="s">
        <v>64</v>
      </c>
      <c r="E9" s="52" t="s">
        <v>65</v>
      </c>
      <c r="G9" s="225" t="s">
        <v>128</v>
      </c>
    </row>
    <row r="10" spans="1:7">
      <c r="A10" s="264" t="s">
        <v>236</v>
      </c>
      <c r="B10" s="261">
        <v>3</v>
      </c>
      <c r="C10" s="202">
        <f>B10</f>
        <v>3</v>
      </c>
      <c r="D10" s="262"/>
      <c r="E10" s="59"/>
      <c r="G10" s="389">
        <f>0.05*B10</f>
        <v>0.15000000000000002</v>
      </c>
    </row>
    <row r="11" spans="1:7">
      <c r="A11" s="264" t="s">
        <v>237</v>
      </c>
      <c r="B11" s="261">
        <v>1</v>
      </c>
      <c r="C11" s="202">
        <v>4</v>
      </c>
      <c r="D11" s="262"/>
      <c r="E11" s="59"/>
      <c r="G11" s="263">
        <v>1</v>
      </c>
    </row>
    <row r="12" spans="1:7">
      <c r="A12" s="264" t="s">
        <v>365</v>
      </c>
      <c r="B12" s="261">
        <v>429</v>
      </c>
      <c r="C12" s="202">
        <f>B12/100</f>
        <v>4.29</v>
      </c>
      <c r="D12" s="262"/>
      <c r="E12" s="59"/>
      <c r="G12" s="263">
        <f>B12</f>
        <v>429</v>
      </c>
    </row>
    <row r="13" spans="1:7" ht="16.2" thickBot="1">
      <c r="A13" s="229" t="s">
        <v>366</v>
      </c>
      <c r="B13" s="249">
        <v>249</v>
      </c>
      <c r="C13" s="169">
        <f>B13/100</f>
        <v>2.4900000000000002</v>
      </c>
      <c r="D13" s="289"/>
      <c r="E13" s="171"/>
      <c r="G13" s="227">
        <f>B13*5</f>
        <v>1245</v>
      </c>
    </row>
    <row r="14" spans="1:7" ht="24" thickTop="1" thickBot="1">
      <c r="A14" s="13" t="s">
        <v>318</v>
      </c>
      <c r="B14" s="13"/>
      <c r="C14" s="172"/>
      <c r="D14" s="13"/>
      <c r="E14" s="173"/>
      <c r="G14" s="398">
        <v>2000</v>
      </c>
    </row>
    <row r="15" spans="1:7" ht="16.8" thickTop="1" thickBot="1">
      <c r="A15" s="49" t="s">
        <v>63</v>
      </c>
      <c r="B15" s="49" t="s">
        <v>3</v>
      </c>
      <c r="C15" s="50" t="s">
        <v>17</v>
      </c>
      <c r="D15" s="51" t="s">
        <v>64</v>
      </c>
      <c r="E15" s="52" t="s">
        <v>65</v>
      </c>
      <c r="F15" s="398"/>
      <c r="G15" s="225" t="s">
        <v>128</v>
      </c>
    </row>
    <row r="16" spans="1:7">
      <c r="A16" s="301" t="s">
        <v>261</v>
      </c>
      <c r="B16" s="430">
        <v>1</v>
      </c>
      <c r="C16" s="427">
        <v>0</v>
      </c>
      <c r="D16" s="428"/>
      <c r="E16" s="429"/>
      <c r="G16" s="263">
        <v>1</v>
      </c>
    </row>
    <row r="17" spans="1:7">
      <c r="A17" s="53" t="s">
        <v>233</v>
      </c>
      <c r="B17" s="431">
        <v>1</v>
      </c>
      <c r="C17" s="54">
        <v>0</v>
      </c>
      <c r="D17" s="174"/>
      <c r="E17" s="56"/>
      <c r="G17" s="263">
        <v>1</v>
      </c>
    </row>
    <row r="18" spans="1:7">
      <c r="A18" s="53" t="s">
        <v>235</v>
      </c>
      <c r="B18" s="431">
        <v>1</v>
      </c>
      <c r="C18" s="54">
        <v>5</v>
      </c>
      <c r="D18" s="174"/>
      <c r="E18" s="56"/>
      <c r="G18" s="263">
        <v>80</v>
      </c>
    </row>
    <row r="19" spans="1:7">
      <c r="A19" s="264" t="s">
        <v>348</v>
      </c>
      <c r="B19" s="261">
        <v>1</v>
      </c>
      <c r="C19" s="202">
        <v>1</v>
      </c>
      <c r="D19" s="446" t="s">
        <v>349</v>
      </c>
      <c r="E19" s="59"/>
      <c r="G19" s="263">
        <v>35</v>
      </c>
    </row>
    <row r="20" spans="1:7">
      <c r="A20" s="264" t="s">
        <v>367</v>
      </c>
      <c r="B20" s="261">
        <v>1</v>
      </c>
      <c r="C20" s="202">
        <v>0.5</v>
      </c>
      <c r="D20" s="446"/>
      <c r="E20" s="59"/>
      <c r="G20" s="263">
        <v>1</v>
      </c>
    </row>
    <row r="21" spans="1:7">
      <c r="A21" s="264" t="s">
        <v>368</v>
      </c>
      <c r="B21" s="261">
        <v>6</v>
      </c>
      <c r="C21" s="202">
        <f>B21/12</f>
        <v>0.5</v>
      </c>
      <c r="D21" s="446"/>
      <c r="E21" s="59"/>
      <c r="G21" s="263">
        <f>B21/12</f>
        <v>0.5</v>
      </c>
    </row>
    <row r="22" spans="1:7">
      <c r="A22" s="264" t="s">
        <v>350</v>
      </c>
      <c r="B22" s="261">
        <v>6</v>
      </c>
      <c r="C22" s="202">
        <f>B22*0.5</f>
        <v>3</v>
      </c>
      <c r="D22" s="446" t="s">
        <v>349</v>
      </c>
      <c r="E22" s="59"/>
      <c r="G22" s="263">
        <f>40*B22</f>
        <v>240</v>
      </c>
    </row>
    <row r="23" spans="1:7">
      <c r="A23" s="264" t="s">
        <v>340</v>
      </c>
      <c r="B23" s="261">
        <v>1</v>
      </c>
      <c r="C23" s="202">
        <v>20</v>
      </c>
      <c r="D23" s="262"/>
      <c r="E23" s="59"/>
      <c r="G23" s="389">
        <v>0.1</v>
      </c>
    </row>
    <row r="24" spans="1:7">
      <c r="A24" s="264" t="s">
        <v>342</v>
      </c>
      <c r="B24" s="261">
        <v>1</v>
      </c>
      <c r="C24" s="202">
        <v>0.5</v>
      </c>
      <c r="D24" s="262"/>
      <c r="E24" s="59"/>
      <c r="G24" s="389">
        <v>0.05</v>
      </c>
    </row>
    <row r="25" spans="1:7">
      <c r="A25" s="264" t="s">
        <v>341</v>
      </c>
      <c r="B25" s="261">
        <v>3</v>
      </c>
      <c r="C25" s="202">
        <f>B25</f>
        <v>3</v>
      </c>
      <c r="D25" s="262"/>
      <c r="E25" s="59"/>
      <c r="G25" s="389">
        <f>B25/10</f>
        <v>0.3</v>
      </c>
    </row>
    <row r="26" spans="1:7">
      <c r="A26" s="264" t="s">
        <v>234</v>
      </c>
      <c r="B26" s="261">
        <v>1</v>
      </c>
      <c r="C26" s="202">
        <v>1</v>
      </c>
      <c r="D26" s="262"/>
      <c r="E26" s="59"/>
      <c r="G26" s="263">
        <v>50</v>
      </c>
    </row>
    <row r="27" spans="1:7">
      <c r="A27" s="53" t="s">
        <v>323</v>
      </c>
      <c r="B27" s="431">
        <v>2</v>
      </c>
      <c r="C27" s="54">
        <v>10</v>
      </c>
      <c r="D27" s="55"/>
      <c r="E27" s="56"/>
      <c r="G27" s="263">
        <v>10</v>
      </c>
    </row>
    <row r="28" spans="1:7">
      <c r="A28" s="53" t="s">
        <v>336</v>
      </c>
      <c r="B28" s="431">
        <v>1</v>
      </c>
      <c r="C28" s="54">
        <v>1</v>
      </c>
      <c r="D28" s="433" t="s">
        <v>335</v>
      </c>
      <c r="E28" s="56"/>
      <c r="G28" s="263">
        <v>1</v>
      </c>
    </row>
    <row r="29" spans="1:7">
      <c r="A29" s="53" t="s">
        <v>337</v>
      </c>
      <c r="B29" s="431">
        <v>1</v>
      </c>
      <c r="C29" s="54">
        <v>1</v>
      </c>
      <c r="D29" s="433" t="s">
        <v>335</v>
      </c>
      <c r="E29" s="56"/>
      <c r="G29" s="263">
        <v>1</v>
      </c>
    </row>
    <row r="30" spans="1:7">
      <c r="A30" s="53" t="s">
        <v>338</v>
      </c>
      <c r="B30" s="431">
        <v>1</v>
      </c>
      <c r="C30" s="54">
        <v>1</v>
      </c>
      <c r="D30" s="433" t="s">
        <v>335</v>
      </c>
      <c r="E30" s="56"/>
      <c r="G30" s="263">
        <v>1</v>
      </c>
    </row>
    <row r="31" spans="1:7">
      <c r="A31" s="53" t="s">
        <v>334</v>
      </c>
      <c r="B31" s="431">
        <v>1</v>
      </c>
      <c r="C31" s="54">
        <v>0.5</v>
      </c>
      <c r="D31" s="55"/>
      <c r="E31" s="56"/>
      <c r="G31" s="263">
        <v>1</v>
      </c>
    </row>
    <row r="32" spans="1:7">
      <c r="A32" s="53" t="s">
        <v>333</v>
      </c>
      <c r="B32" s="431">
        <v>1</v>
      </c>
      <c r="C32" s="54">
        <v>1</v>
      </c>
      <c r="D32" s="55"/>
      <c r="E32" s="56"/>
      <c r="G32" s="263">
        <v>10</v>
      </c>
    </row>
    <row r="33" spans="1:7">
      <c r="A33" s="53" t="s">
        <v>324</v>
      </c>
      <c r="B33" s="431">
        <v>2</v>
      </c>
      <c r="C33" s="54">
        <v>0</v>
      </c>
      <c r="D33" s="55"/>
      <c r="E33" s="56"/>
      <c r="G33" s="263">
        <f>B33</f>
        <v>2</v>
      </c>
    </row>
    <row r="34" spans="1:7">
      <c r="A34" s="53" t="s">
        <v>322</v>
      </c>
      <c r="B34" s="431">
        <v>2</v>
      </c>
      <c r="C34" s="54">
        <f>5*B34</f>
        <v>10</v>
      </c>
      <c r="D34" s="55"/>
      <c r="E34" s="56"/>
      <c r="G34" s="263">
        <f>10*B34</f>
        <v>20</v>
      </c>
    </row>
    <row r="35" spans="1:7">
      <c r="A35" s="53" t="s">
        <v>232</v>
      </c>
      <c r="B35" s="431">
        <v>1</v>
      </c>
      <c r="C35" s="54">
        <v>0</v>
      </c>
      <c r="D35" s="55"/>
      <c r="E35" s="56"/>
      <c r="G35" s="263">
        <v>0</v>
      </c>
    </row>
    <row r="36" spans="1:7" ht="16.2" thickBot="1">
      <c r="A36" s="229" t="s">
        <v>321</v>
      </c>
      <c r="B36" s="421">
        <v>5</v>
      </c>
      <c r="C36" s="422">
        <v>0</v>
      </c>
      <c r="D36" s="423"/>
      <c r="E36" s="424"/>
      <c r="F36" s="398"/>
      <c r="G36" s="227">
        <f>B36</f>
        <v>5</v>
      </c>
    </row>
    <row r="37" spans="1:7" ht="16.2" thickTop="1">
      <c r="A37" s="394" t="s">
        <v>319</v>
      </c>
      <c r="B37" s="425">
        <f>C37/120</f>
        <v>0.49166666666666664</v>
      </c>
      <c r="C37" s="426">
        <f>SUM(C16:C36)</f>
        <v>59</v>
      </c>
      <c r="D37" s="405"/>
      <c r="E37" s="405"/>
      <c r="F37" s="405"/>
      <c r="G37" s="405"/>
    </row>
    <row r="38" spans="1:7">
      <c r="E38" s="134" t="s">
        <v>132</v>
      </c>
      <c r="G38" s="444">
        <f>SUM(Martial!M6:M31,Equipment!G3:G36)</f>
        <v>13957.099999999999</v>
      </c>
    </row>
    <row r="39" spans="1:7">
      <c r="E39" s="394" t="s">
        <v>325</v>
      </c>
      <c r="F39" s="398"/>
      <c r="G39" s="444">
        <v>13000</v>
      </c>
    </row>
  </sheetData>
  <phoneticPr fontId="0" type="noConversion"/>
  <conditionalFormatting sqref="B37">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48" bestFit="1" customWidth="1"/>
    <col min="2" max="2" width="9.5" style="406" customWidth="1"/>
    <col min="3" max="3" width="6.3984375" style="148" customWidth="1"/>
    <col min="4" max="16384" width="9" style="148"/>
  </cols>
  <sheetData>
    <row r="1" spans="1:3">
      <c r="A1" s="394" t="s">
        <v>289</v>
      </c>
      <c r="B1" s="395" t="str">
        <f>'Personal File'!A1</f>
        <v>Bazazath</v>
      </c>
      <c r="C1" s="396" t="s">
        <v>290</v>
      </c>
    </row>
    <row r="2" spans="1:3">
      <c r="A2" s="397" t="s">
        <v>371</v>
      </c>
      <c r="B2" s="398" t="s">
        <v>299</v>
      </c>
      <c r="C2" s="399">
        <v>0.16</v>
      </c>
    </row>
    <row r="3" spans="1:3">
      <c r="A3" s="397" t="s">
        <v>300</v>
      </c>
      <c r="B3" s="398" t="s">
        <v>299</v>
      </c>
      <c r="C3" s="399">
        <v>0.16</v>
      </c>
    </row>
    <row r="4" spans="1:3">
      <c r="A4" s="397" t="s">
        <v>303</v>
      </c>
      <c r="B4" s="398" t="s">
        <v>291</v>
      </c>
      <c r="C4" s="399">
        <v>0.2</v>
      </c>
    </row>
    <row r="5" spans="1:3">
      <c r="A5" s="397" t="s">
        <v>302</v>
      </c>
      <c r="B5" s="398" t="s">
        <v>291</v>
      </c>
      <c r="C5" s="399">
        <v>0.2</v>
      </c>
    </row>
    <row r="6" spans="1:3">
      <c r="A6" s="397" t="s">
        <v>301</v>
      </c>
      <c r="B6" s="398" t="s">
        <v>291</v>
      </c>
      <c r="C6" s="399">
        <v>0.2</v>
      </c>
    </row>
    <row r="7" spans="1:3">
      <c r="A7" s="394" t="s">
        <v>53</v>
      </c>
      <c r="B7" s="395"/>
      <c r="C7" s="396">
        <f>SUM(C2:C6)</f>
        <v>0.91999999999999993</v>
      </c>
    </row>
    <row r="8" spans="1:3">
      <c r="A8" s="394"/>
      <c r="B8" s="395"/>
      <c r="C8" s="396"/>
    </row>
    <row r="9" spans="1:3">
      <c r="A9" s="394" t="s">
        <v>292</v>
      </c>
      <c r="B9" s="400">
        <v>0</v>
      </c>
      <c r="C9" s="401"/>
    </row>
    <row r="10" spans="1:3">
      <c r="A10" s="394" t="s">
        <v>293</v>
      </c>
      <c r="B10" s="400">
        <v>5000</v>
      </c>
      <c r="C10" s="401"/>
    </row>
    <row r="11" spans="1:3">
      <c r="A11" s="394" t="s">
        <v>294</v>
      </c>
      <c r="B11" s="400">
        <f>IF(B9=0,B10*C7,(B10*C7*(1-(B9/4))))</f>
        <v>4600</v>
      </c>
      <c r="C11" s="401"/>
    </row>
    <row r="12" spans="1:3">
      <c r="A12" s="394" t="s">
        <v>295</v>
      </c>
      <c r="B12" s="402">
        <v>0</v>
      </c>
      <c r="C12" s="403"/>
    </row>
    <row r="13" spans="1:3">
      <c r="A13" s="394" t="s">
        <v>53</v>
      </c>
      <c r="B13" s="404">
        <f>SUM(B11:B12)</f>
        <v>4600</v>
      </c>
      <c r="C13" s="401"/>
    </row>
    <row r="14" spans="1:3">
      <c r="A14" s="394" t="s">
        <v>296</v>
      </c>
      <c r="B14" s="400">
        <v>18120</v>
      </c>
      <c r="C14" s="401"/>
    </row>
    <row r="15" spans="1:3">
      <c r="A15" s="394" t="s">
        <v>297</v>
      </c>
      <c r="B15" s="404">
        <f>SUM(B13:B14)</f>
        <v>22720</v>
      </c>
      <c r="C15" s="401"/>
    </row>
    <row r="18" spans="1:1">
      <c r="A18" s="405"/>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2020-12-18T00:42:34Z</dcterms:modified>
</cp:coreProperties>
</file>