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mc:AlternateContent xmlns:mc="http://schemas.openxmlformats.org/markup-compatibility/2006">
    <mc:Choice Requires="x15">
      <x15ac:absPath xmlns:x15ac="http://schemas.microsoft.com/office/spreadsheetml/2010/11/ac" url="C:\A\Jue\FoL\Used\Characters\"/>
    </mc:Choice>
  </mc:AlternateContent>
  <xr:revisionPtr revIDLastSave="0" documentId="13_ncr:1_{502AD214-9777-412F-B23F-57B49E28410A}" xr6:coauthVersionLast="46" xr6:coauthVersionMax="46"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3" r:id="rId3"/>
    <sheet name="Martial" sheetId="6" r:id="rId4"/>
    <sheet name="Equipment" sheetId="19" r:id="rId5"/>
    <sheet name="XP Awards" sheetId="24" r:id="rId6"/>
  </sheets>
  <externalReferences>
    <externalReference r:id="rId7"/>
  </externalReferences>
  <definedNames>
    <definedName name="NoShade">'[1]Spell Sheet'!$FH$1</definedName>
    <definedName name="OLE_LINK1" localSheetId="2">Feats!$A$3</definedName>
    <definedName name="_xlnm.Print_Area" localSheetId="4">Equipment!#REF!</definedName>
    <definedName name="_xlnm.Print_Area" localSheetId="2">Feats!#REF!</definedName>
    <definedName name="_xlnm.Print_Area" localSheetId="3">Martial!#REF!</definedName>
    <definedName name="_xlnm.Print_Area" localSheetId="0">'Personal File'!$A$1:$H$16</definedName>
    <definedName name="_xlnm.Print_Area" localSheetId="1">Skills!$A$1:$K$28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15" l="1"/>
  <c r="G4" i="15"/>
  <c r="G3" i="15"/>
  <c r="B9" i="4"/>
  <c r="B11" i="4" l="1"/>
  <c r="E14" i="4" l="1"/>
  <c r="I8" i="6" l="1"/>
  <c r="I7" i="6"/>
  <c r="I9" i="6" l="1"/>
  <c r="E8" i="23"/>
  <c r="I6" i="6" l="1"/>
  <c r="I18" i="6"/>
  <c r="I17" i="6"/>
  <c r="I19" i="6"/>
  <c r="I14" i="6"/>
  <c r="I13" i="6"/>
  <c r="I12" i="6"/>
  <c r="I11" i="6"/>
  <c r="I10" i="6"/>
  <c r="I5" i="6"/>
  <c r="I4" i="6"/>
  <c r="I3" i="6"/>
  <c r="A4" i="23"/>
  <c r="G18" i="19"/>
  <c r="B45" i="15" l="1"/>
  <c r="G10" i="19" l="1"/>
  <c r="G11" i="19" l="1"/>
  <c r="C11" i="19"/>
  <c r="C10" i="19"/>
  <c r="G19" i="19"/>
  <c r="C19" i="19"/>
  <c r="C18" i="19"/>
  <c r="G17" i="19"/>
  <c r="C17" i="19"/>
  <c r="B10" i="4" l="1"/>
  <c r="H35" i="15" l="1"/>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E13" i="4"/>
  <c r="E52" i="15"/>
  <c r="E5" i="4"/>
  <c r="G28" i="6" l="1"/>
  <c r="G25" i="19" l="1"/>
  <c r="C25" i="19"/>
  <c r="M27" i="6" l="1"/>
  <c r="G27" i="6"/>
  <c r="E12" i="4" s="1"/>
  <c r="M17" i="6" l="1"/>
  <c r="G40" i="19" l="1"/>
  <c r="G26" i="19" l="1"/>
  <c r="C26" i="19"/>
  <c r="C38" i="19" l="1"/>
  <c r="G38" i="19"/>
  <c r="G37" i="19"/>
  <c r="G29" i="19"/>
  <c r="C29" i="19"/>
  <c r="A7" i="23" l="1"/>
  <c r="C41" i="19"/>
  <c r="B41" i="19" s="1"/>
  <c r="B1" i="24" l="1"/>
  <c r="C7" i="24"/>
  <c r="B11" i="24" s="1"/>
  <c r="B13" i="24" s="1"/>
  <c r="B15" i="24" s="1"/>
  <c r="G42" i="19" l="1"/>
  <c r="F20" i="15"/>
  <c r="H43" i="15"/>
  <c r="H42" i="15"/>
  <c r="H41" i="15"/>
  <c r="H40" i="15"/>
  <c r="H39" i="15"/>
  <c r="H38" i="15"/>
  <c r="H37" i="15"/>
  <c r="H36" i="15"/>
  <c r="F42" i="15" l="1"/>
  <c r="F36" i="15"/>
  <c r="F27" i="15"/>
  <c r="F23" i="15"/>
  <c r="F21" i="15"/>
  <c r="F16" i="15"/>
  <c r="F7" i="15"/>
  <c r="F9" i="15" l="1"/>
  <c r="H44" i="15" l="1"/>
  <c r="H5" i="15"/>
  <c r="H4" i="15"/>
  <c r="H3" i="15"/>
  <c r="H6" i="15"/>
  <c r="C16" i="4" l="1"/>
  <c r="C15" i="4"/>
  <c r="C14" i="4"/>
  <c r="C13" i="4"/>
  <c r="C12" i="4"/>
  <c r="C11" i="4"/>
  <c r="C6" i="6" l="1"/>
  <c r="H8" i="6"/>
  <c r="J8" i="6" s="1"/>
  <c r="H7" i="6"/>
  <c r="J7" i="6" s="1"/>
  <c r="C8" i="6"/>
  <c r="C7" i="6"/>
  <c r="C9" i="6"/>
  <c r="H9" i="6"/>
  <c r="J9" i="6" s="1"/>
  <c r="C11" i="6"/>
  <c r="C3" i="6"/>
  <c r="C12" i="6"/>
  <c r="C10" i="6"/>
  <c r="H18" i="6"/>
  <c r="J18" i="6" s="1"/>
  <c r="H19" i="6"/>
  <c r="J19" i="6" s="1"/>
  <c r="C13" i="6"/>
  <c r="H13" i="6"/>
  <c r="J13" i="6" s="1"/>
  <c r="H12" i="6"/>
  <c r="J12" i="6" s="1"/>
  <c r="C5" i="6"/>
  <c r="H5" i="6"/>
  <c r="J5" i="6" s="1"/>
  <c r="H3" i="6"/>
  <c r="J3" i="6" s="1"/>
  <c r="H6" i="6"/>
  <c r="J6" i="6" s="1"/>
  <c r="C4" i="6"/>
  <c r="H4" i="6"/>
  <c r="J4" i="6" s="1"/>
  <c r="C17" i="6"/>
  <c r="D25" i="15"/>
  <c r="E50" i="15"/>
  <c r="D31" i="15"/>
  <c r="D32" i="15"/>
  <c r="E6" i="23"/>
  <c r="E3" i="23"/>
  <c r="E4" i="23"/>
  <c r="E5" i="23"/>
  <c r="E48" i="15"/>
  <c r="E47" i="15"/>
  <c r="E46" i="15"/>
  <c r="D37" i="15"/>
  <c r="H11" i="6"/>
  <c r="J11" i="6" s="1"/>
  <c r="E16" i="4"/>
  <c r="E15" i="4" s="1"/>
  <c r="H17" i="6"/>
  <c r="H14" i="6"/>
  <c r="J14" i="6" s="1"/>
  <c r="H10" i="6"/>
  <c r="D24" i="15"/>
  <c r="D6" i="15"/>
  <c r="G6" i="15" s="1"/>
  <c r="D4" i="15"/>
  <c r="D5" i="15"/>
  <c r="D3" i="15"/>
  <c r="D38" i="15"/>
  <c r="D40" i="15"/>
  <c r="D30" i="15"/>
  <c r="D42" i="15"/>
  <c r="D39" i="15"/>
  <c r="D41" i="15"/>
  <c r="D34" i="15"/>
  <c r="D19" i="15"/>
  <c r="D43" i="15"/>
  <c r="D28" i="15"/>
  <c r="D36" i="15"/>
  <c r="D14" i="15"/>
  <c r="D12" i="15"/>
  <c r="D44" i="15"/>
  <c r="D35" i="15"/>
  <c r="D33" i="15"/>
  <c r="D29" i="15"/>
  <c r="D27" i="15"/>
  <c r="D26" i="15"/>
  <c r="D23" i="15"/>
  <c r="D22" i="15"/>
  <c r="D21" i="15"/>
  <c r="D20" i="15"/>
  <c r="D18" i="15"/>
  <c r="D17" i="15"/>
  <c r="D16" i="15"/>
  <c r="D15" i="15"/>
  <c r="D13" i="15"/>
  <c r="D11" i="15"/>
  <c r="D10" i="15"/>
  <c r="D9" i="15"/>
  <c r="D8" i="15"/>
  <c r="D7" i="15"/>
  <c r="E32" i="15" l="1"/>
  <c r="G32" i="15"/>
  <c r="I32" i="15" s="1"/>
  <c r="G31" i="15"/>
  <c r="I31" i="15" s="1"/>
  <c r="E31" i="15"/>
  <c r="E25" i="15"/>
  <c r="G25" i="15"/>
  <c r="I25" i="15" s="1"/>
  <c r="E45" i="15"/>
  <c r="E37" i="15"/>
  <c r="G37" i="15"/>
  <c r="I37" i="15" s="1"/>
  <c r="J17" i="6"/>
  <c r="J10" i="6"/>
  <c r="G24" i="15"/>
  <c r="I24" i="15" s="1"/>
  <c r="E24" i="15"/>
  <c r="E6" i="15"/>
  <c r="I6" i="15"/>
  <c r="E22" i="15"/>
  <c r="G22" i="15"/>
  <c r="E8" i="15"/>
  <c r="G8" i="15"/>
  <c r="E18" i="15"/>
  <c r="G18" i="15"/>
  <c r="E23" i="15"/>
  <c r="G23" i="15"/>
  <c r="E33" i="15"/>
  <c r="G33" i="15"/>
  <c r="E14" i="15"/>
  <c r="G14" i="15"/>
  <c r="E19" i="15"/>
  <c r="G19" i="15"/>
  <c r="E42" i="15"/>
  <c r="G42" i="15"/>
  <c r="E40" i="15"/>
  <c r="G40" i="15"/>
  <c r="E11" i="15"/>
  <c r="G11" i="15"/>
  <c r="E12" i="15"/>
  <c r="G12" i="15"/>
  <c r="E9" i="15"/>
  <c r="G9" i="15"/>
  <c r="E20" i="15"/>
  <c r="G20" i="15"/>
  <c r="E35" i="15"/>
  <c r="G35" i="15"/>
  <c r="E34" i="15"/>
  <c r="G34" i="15"/>
  <c r="E30" i="15"/>
  <c r="G30" i="15"/>
  <c r="E4" i="15"/>
  <c r="E7" i="15"/>
  <c r="G7" i="15"/>
  <c r="E29" i="15"/>
  <c r="G29" i="15"/>
  <c r="E13" i="15"/>
  <c r="G13" i="15"/>
  <c r="E15" i="15"/>
  <c r="G15" i="15"/>
  <c r="E26" i="15"/>
  <c r="G26" i="15"/>
  <c r="E36" i="15"/>
  <c r="G36" i="15"/>
  <c r="E10" i="15"/>
  <c r="G10" i="15"/>
  <c r="E16" i="15"/>
  <c r="G16" i="15"/>
  <c r="E21" i="15"/>
  <c r="G21" i="15"/>
  <c r="E27" i="15"/>
  <c r="G27" i="15"/>
  <c r="E44" i="15"/>
  <c r="G44" i="15"/>
  <c r="E28" i="15"/>
  <c r="G28" i="15"/>
  <c r="E41" i="15"/>
  <c r="G41" i="15"/>
  <c r="E38" i="15"/>
  <c r="G38" i="15"/>
  <c r="E17" i="15"/>
  <c r="G17" i="15"/>
  <c r="E43" i="15"/>
  <c r="G43" i="15"/>
  <c r="E39" i="15"/>
  <c r="G39" i="15"/>
  <c r="E3" i="15"/>
  <c r="E5" i="15"/>
  <c r="I3" i="15" l="1"/>
  <c r="I27" i="15"/>
  <c r="I16" i="15"/>
  <c r="I15" i="15"/>
  <c r="I29" i="15"/>
  <c r="I39" i="15"/>
  <c r="I17" i="15"/>
  <c r="I41" i="15"/>
  <c r="I44" i="15"/>
  <c r="I21" i="15"/>
  <c r="I10" i="15"/>
  <c r="I26" i="15"/>
  <c r="I13" i="15"/>
  <c r="I7" i="15"/>
  <c r="I30" i="15"/>
  <c r="I35" i="15"/>
  <c r="I9" i="15"/>
  <c r="I11" i="15"/>
  <c r="I40" i="15"/>
  <c r="I19" i="15"/>
  <c r="I33" i="15"/>
  <c r="I38" i="15"/>
  <c r="I28" i="15"/>
  <c r="I36" i="15"/>
  <c r="I4" i="15"/>
  <c r="I34" i="15"/>
  <c r="I20" i="15"/>
  <c r="I12" i="15"/>
  <c r="I42" i="15"/>
  <c r="I14" i="15"/>
  <c r="I23" i="15"/>
  <c r="I5" i="15"/>
  <c r="I43" i="15"/>
  <c r="I8" i="15"/>
  <c r="I18" i="15"/>
  <c r="I2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C9036028-352C-4782-9135-756B2027C243}">
      <text>
        <r>
          <rPr>
            <i/>
            <sz val="12"/>
            <color indexed="81"/>
            <rFont val="Times New Roman"/>
            <family val="1"/>
          </rPr>
          <t>aid +1
haste +1
Shaken -2</t>
        </r>
      </text>
    </comment>
    <comment ref="C10" authorId="0" shapeId="0" xr:uid="{88AF2B61-E341-4D3C-A69F-136CA84DACB3}">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E10" authorId="0" shapeId="0" xr:uid="{678AE05E-5D52-4FD4-BEA4-81B176E9158F}">
      <text>
        <r>
          <rPr>
            <sz val="12"/>
            <color indexed="81"/>
            <rFont val="Times New Roman"/>
            <family val="1"/>
          </rPr>
          <t>Next level at 36,000 XPs</t>
        </r>
      </text>
    </comment>
    <comment ref="B11" authorId="0" shapeId="0" xr:uid="{9825BF8E-DA1D-4B71-A5FC-B4CE914C7A4E}">
      <text>
        <r>
          <rPr>
            <i/>
            <sz val="12"/>
            <color indexed="81"/>
            <rFont val="Times New Roman"/>
            <family val="1"/>
          </rPr>
          <t>bull’s strength +4</t>
        </r>
      </text>
    </comment>
    <comment ref="E11" authorId="0" shapeId="0" xr:uid="{E44BC9F8-DC49-4A57-BC57-E5D7E4EF7837}">
      <text>
        <r>
          <rPr>
            <sz val="12"/>
            <color indexed="81"/>
            <rFont val="Times New Roman"/>
            <family val="1"/>
          </rPr>
          <t>See PHB 162</t>
        </r>
      </text>
    </comment>
    <comment ref="E13" authorId="0" shapeId="0" xr:uid="{00000000-0006-0000-0000-000006000000}">
      <text>
        <r>
          <rPr>
            <sz val="12"/>
            <color indexed="81"/>
            <rFont val="Times New Roman"/>
            <family val="1"/>
          </rPr>
          <t>[(6 * 8 Hound Archon) * 75%] +
(6 * 3 Con)</t>
        </r>
      </text>
    </comment>
    <comment ref="E14" authorId="0" shapeId="0" xr:uid="{FE6F6CBB-A87B-4CB4-895F-6E1DC72F244D}">
      <text>
        <r>
          <rPr>
            <i/>
            <sz val="12"/>
            <color indexed="81"/>
            <rFont val="Times New Roman"/>
            <family val="1"/>
          </rPr>
          <t>protection from evil +2
haste +1</t>
        </r>
      </text>
    </comment>
    <comment ref="E15" authorId="0" shapeId="0" xr:uid="{00000000-0006-0000-0000-000009000000}">
      <text>
        <r>
          <rPr>
            <i/>
            <sz val="12"/>
            <color indexed="81"/>
            <rFont val="Times New Roman"/>
            <family val="1"/>
          </rPr>
          <t>protection from evil +2</t>
        </r>
      </text>
    </comment>
    <comment ref="E16" authorId="0" shapeId="0" xr:uid="{2B63F6EE-E664-4C18-87C2-B960A2A7F654}">
      <text>
        <r>
          <rPr>
            <i/>
            <sz val="12"/>
            <color indexed="81"/>
            <rFont val="Times New Roman"/>
            <family val="1"/>
          </rPr>
          <t>protection from evil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72FB563C-9820-4147-85B8-DEDBC7A9514F}">
      <text>
        <r>
          <rPr>
            <sz val="12"/>
            <color indexed="81"/>
            <rFont val="Times New Roman"/>
            <family val="1"/>
          </rPr>
          <t>Cloak of Resistance +1</t>
        </r>
      </text>
    </comment>
    <comment ref="G3" authorId="0" shapeId="0" xr:uid="{3458E7E1-865C-4D6A-BEC5-B52D3924129B}">
      <text>
        <r>
          <rPr>
            <sz val="12"/>
            <color indexed="81"/>
            <rFont val="Times New Roman"/>
            <family val="1"/>
          </rPr>
          <t>Shaken -2</t>
        </r>
      </text>
    </comment>
    <comment ref="F4" authorId="0" shapeId="0" xr:uid="{785F1FB2-89DE-4621-8233-A7B727FAB0BC}">
      <text>
        <r>
          <rPr>
            <sz val="12"/>
            <color indexed="81"/>
            <rFont val="Times New Roman"/>
            <family val="1"/>
          </rPr>
          <t>Cloak of Resistance +1</t>
        </r>
      </text>
    </comment>
    <comment ref="G4" authorId="0" shapeId="0" xr:uid="{E99BF798-4E81-4F1B-B37D-405EAF02BBE4}">
      <text>
        <r>
          <rPr>
            <sz val="12"/>
            <color indexed="81"/>
            <rFont val="Times New Roman"/>
            <family val="1"/>
          </rPr>
          <t>Shaken -2</t>
        </r>
      </text>
    </comment>
    <comment ref="F5" authorId="0" shapeId="0" xr:uid="{79C34A1D-3104-4FCD-82DD-EC6E3287A5CE}">
      <text>
        <r>
          <rPr>
            <sz val="12"/>
            <color indexed="81"/>
            <rFont val="Times New Roman"/>
            <family val="1"/>
          </rPr>
          <t>Cloak of Resistance +1</t>
        </r>
      </text>
    </comment>
    <comment ref="G5" authorId="0" shapeId="0" xr:uid="{30D58448-C034-418B-8165-B7E78989A934}">
      <text>
        <r>
          <rPr>
            <sz val="12"/>
            <color indexed="81"/>
            <rFont val="Times New Roman"/>
            <family val="1"/>
          </rPr>
          <t>Shaken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FA75B35C-EBBE-46EC-8715-E5BC3737CCF8}">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 ref="A4" authorId="0" shapeId="0" xr:uid="{EF4B8D7C-7E28-4DF1-9638-79BB3D5FC93B}">
      <text>
        <r>
          <rPr>
            <sz val="12"/>
            <color indexed="81"/>
            <rFont val="Times New Roman"/>
            <family val="1"/>
          </rPr>
          <t>A hound archon of 7th level or higher is surrounded by a 20-foot aura.
Creatures within the area must succeed on a Will save (DC 10 + archon’s HD from class levels) or take a –2 morale penalty on attacks, AC, and saves for one day.
Savage Species 179</t>
        </r>
      </text>
    </comment>
    <comment ref="A14" authorId="0" shapeId="0" xr:uid="{25EA40DC-139B-4E64-9FEF-B6FA32EA2A75}">
      <text>
        <r>
          <rPr>
            <sz val="12"/>
            <color indexed="81"/>
            <rFont val="Times New Roman"/>
            <family val="1"/>
          </rPr>
          <t xml:space="preserve">You can fight with a weapon in each hand. You can make one extra attack each round with the second weapon.
</t>
        </r>
        <r>
          <rPr>
            <b/>
            <sz val="12"/>
            <color indexed="81"/>
            <rFont val="Times New Roman"/>
            <family val="1"/>
          </rPr>
          <t xml:space="preserve">Prerequisite:  </t>
        </r>
        <r>
          <rPr>
            <sz val="12"/>
            <color indexed="81"/>
            <rFont val="Times New Roman"/>
            <family val="1"/>
          </rPr>
          <t xml:space="preserve">Dex 15.
</t>
        </r>
        <r>
          <rPr>
            <b/>
            <sz val="12"/>
            <color indexed="81"/>
            <rFont val="Times New Roman"/>
            <family val="1"/>
          </rPr>
          <t xml:space="preserve">Benefit:  </t>
        </r>
        <r>
          <rPr>
            <sz val="12"/>
            <color indexed="81"/>
            <rFont val="Times New Roman"/>
            <family val="1"/>
          </rPr>
          <t xml:space="preserve">Your penalties on attack rolls for fighting with two weapons are reduced. The penalty for your primary hand lessens by 2 and the one for your off hand lessens by 6.
</t>
        </r>
        <r>
          <rPr>
            <b/>
            <sz val="12"/>
            <color indexed="81"/>
            <rFont val="Times New Roman"/>
            <family val="1"/>
          </rPr>
          <t xml:space="preserve">Normal:  </t>
        </r>
        <r>
          <rPr>
            <sz val="12"/>
            <color indexed="81"/>
            <rFont val="Times New Roman"/>
            <family val="1"/>
          </rPr>
          <t xml:space="preserve">See Two-Weapon Fighting, page 160, and Table 8–10: Two-Weapon Fighting Penalties, page 160.
</t>
        </r>
        <r>
          <rPr>
            <b/>
            <sz val="12"/>
            <color indexed="81"/>
            <rFont val="Times New Roman"/>
            <family val="1"/>
          </rPr>
          <t xml:space="preserve">Special:  </t>
        </r>
        <r>
          <rPr>
            <sz val="12"/>
            <color indexed="81"/>
            <rFont val="Times New Roman"/>
            <family val="1"/>
          </rPr>
          <t>A 2nd-level ranger who has chosen the two-weapon combat style is treated as having Two-Weapon Fighting, even if he does not have the prerequisite for it, but only when he is wearing light or no armor (see page 48).
A fighter may select Two-Weapon Fighting as one of his fighter bonus feats (see page 38).
PHB 102</t>
        </r>
      </text>
    </comment>
    <comment ref="A15" authorId="0" shapeId="0" xr:uid="{BC8C1643-C725-4464-9283-31C6F540F684}">
      <text>
        <r>
          <rPr>
            <sz val="12"/>
            <color indexed="81"/>
            <rFont val="Times New Roman"/>
            <family val="1"/>
          </rPr>
          <t xml:space="preserve">You can draw weapons with startling speed.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You can draw a weapon as a free action instead of as a move action.  You can draw a hidden weapon (see the Sleight of Hand skill, page 81) as a move action.
A character who has selected this feat may throw weapons at his full normal rate of attacks (much like a character with a bow).
</t>
        </r>
        <r>
          <rPr>
            <b/>
            <sz val="12"/>
            <color indexed="81"/>
            <rFont val="Times New Roman"/>
            <family val="1"/>
          </rPr>
          <t xml:space="preserve">Normal: </t>
        </r>
        <r>
          <rPr>
            <sz val="12"/>
            <color indexed="81"/>
            <rFont val="Times New Roman"/>
            <family val="1"/>
          </rPr>
          <t xml:space="preserve">Without this feat, you may draw a weapon as a move action, or (if your base attack bonus is +1 or higher) as a free action as part of movement (see page 142).  Without this feat, you can draw a hidden weapon as a standard action.
</t>
        </r>
        <r>
          <rPr>
            <b/>
            <sz val="12"/>
            <color indexed="81"/>
            <rFont val="Times New Roman"/>
            <family val="1"/>
          </rPr>
          <t>Special:</t>
        </r>
        <r>
          <rPr>
            <sz val="12"/>
            <color indexed="81"/>
            <rFont val="Times New Roman"/>
            <family val="1"/>
          </rPr>
          <t xml:space="preserve"> A fighter may select Quick Draw as one of his fighter bonus feats (see page 38).
PHB 98</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D75807C4-CEBA-424A-9A2C-AAA009BABAF7}">
      <text>
        <r>
          <rPr>
            <sz val="12"/>
            <color indexed="81"/>
            <rFont val="Times New Roman"/>
            <family val="1"/>
          </rPr>
          <t>Inspire Courage +2</t>
        </r>
      </text>
    </comment>
    <comment ref="D4" authorId="0" shapeId="0" xr:uid="{90DFADD0-5BF8-40B3-88E3-A910AF584D32}">
      <text>
        <r>
          <rPr>
            <sz val="12"/>
            <color indexed="81"/>
            <rFont val="Times New Roman"/>
            <family val="1"/>
          </rPr>
          <t>Inspire Courage +2</t>
        </r>
      </text>
    </comment>
    <comment ref="D5" authorId="0" shapeId="0" xr:uid="{D6413B91-9A00-40F3-B12B-07690A89BB72}">
      <text>
        <r>
          <rPr>
            <sz val="12"/>
            <color indexed="81"/>
            <rFont val="Times New Roman"/>
            <family val="1"/>
          </rPr>
          <t>Inspire Courage +2</t>
        </r>
      </text>
    </comment>
    <comment ref="D6" authorId="0" shapeId="0" xr:uid="{BCB7FB16-AA1C-42A7-9783-A1813612EFB0}">
      <text>
        <r>
          <rPr>
            <sz val="12"/>
            <color indexed="81"/>
            <rFont val="Times New Roman"/>
            <family val="1"/>
          </rPr>
          <t>Inspire Courage +2</t>
        </r>
      </text>
    </comment>
    <comment ref="D7" authorId="0" shapeId="0" xr:uid="{373D0108-192C-446D-A79F-FE55030D97B0}">
      <text>
        <r>
          <rPr>
            <sz val="12"/>
            <color indexed="81"/>
            <rFont val="Times New Roman"/>
            <family val="1"/>
          </rPr>
          <t>Inspire Courage +2</t>
        </r>
      </text>
    </comment>
    <comment ref="D8" authorId="0" shapeId="0" xr:uid="{88367C84-C33B-4289-862F-8CDD44C1B6DC}">
      <text>
        <r>
          <rPr>
            <sz val="12"/>
            <color indexed="81"/>
            <rFont val="Times New Roman"/>
            <family val="1"/>
          </rPr>
          <t>Inspire Courage +2</t>
        </r>
      </text>
    </comment>
    <comment ref="D9" authorId="0" shapeId="0" xr:uid="{885E47C8-9143-483A-86FF-7D1D2BB8F138}">
      <text>
        <r>
          <rPr>
            <sz val="12"/>
            <color indexed="81"/>
            <rFont val="Times New Roman"/>
            <family val="1"/>
          </rPr>
          <t>Inspire Courage +2</t>
        </r>
      </text>
    </comment>
    <comment ref="D10" authorId="0" shapeId="0" xr:uid="{CE6D66E9-F7B7-4F81-931C-4166517C91C9}">
      <text>
        <r>
          <rPr>
            <sz val="12"/>
            <color indexed="81"/>
            <rFont val="Times New Roman"/>
            <family val="1"/>
          </rPr>
          <t>Inspire Courage +2</t>
        </r>
      </text>
    </comment>
    <comment ref="D11" authorId="0" shapeId="0" xr:uid="{2F3EF980-71E1-4A46-A848-683BBD710C85}">
      <text>
        <r>
          <rPr>
            <sz val="12"/>
            <color indexed="81"/>
            <rFont val="Times New Roman"/>
            <family val="1"/>
          </rPr>
          <t>Inspire Courage +2</t>
        </r>
      </text>
    </comment>
    <comment ref="D12" authorId="0" shapeId="0" xr:uid="{7ECE6499-16B3-41FC-8DCB-B1D9E69544E0}">
      <text>
        <r>
          <rPr>
            <sz val="12"/>
            <color indexed="81"/>
            <rFont val="Times New Roman"/>
            <family val="1"/>
          </rPr>
          <t>Inspire Courage +2</t>
        </r>
      </text>
    </comment>
    <comment ref="D13" authorId="0" shapeId="0" xr:uid="{C6C14DC5-DD0A-4AE6-B962-7D4645D3550F}">
      <text>
        <r>
          <rPr>
            <sz val="12"/>
            <color indexed="81"/>
            <rFont val="Times New Roman"/>
            <family val="1"/>
          </rPr>
          <t>Inspire Courage +2</t>
        </r>
      </text>
    </comment>
    <comment ref="D14" authorId="0" shapeId="0" xr:uid="{325AE1F5-E401-4A7D-8170-0A2172B696B0}">
      <text>
        <r>
          <rPr>
            <sz val="12"/>
            <color indexed="81"/>
            <rFont val="Times New Roman"/>
            <family val="1"/>
          </rPr>
          <t>Inspire Courage +2</t>
        </r>
      </text>
    </comment>
    <comment ref="D21" authorId="0" shapeId="0" xr:uid="{00000000-0006-0000-0500-00000A00000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4" authorId="0" shapeId="0" xr:uid="{BFEBF03B-5812-42CB-A476-5F7E41F8231D}">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<sst xmlns="http://schemas.openxmlformats.org/spreadsheetml/2006/main" count="435" uniqueCount="252">
  <si>
    <t>Level</t>
  </si>
  <si>
    <t>Properties</t>
  </si>
  <si>
    <t>Melee Weapon</t>
  </si>
  <si>
    <t>Qty.</t>
  </si>
  <si>
    <t>Ranged Weapon</t>
  </si>
  <si>
    <t>Rng.</t>
  </si>
  <si>
    <t>Skills</t>
  </si>
  <si>
    <t>Concentration</t>
  </si>
  <si>
    <t>AC Mod.</t>
  </si>
  <si>
    <t>Handle Animal</t>
  </si>
  <si>
    <t>Move Silently</t>
  </si>
  <si>
    <t>Ride</t>
  </si>
  <si>
    <t>Search</t>
  </si>
  <si>
    <t>Swim</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</si>
  <si>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</si>
  <si>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</si>
  <si>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</si>
  <si>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</si>
  <si>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</si>
  <si>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</si>
  <si>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</si>
  <si>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</si>
  <si>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</si>
  <si>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</si>
  <si>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</si>
  <si>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</si>
  <si>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</si>
  <si>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</si>
  <si>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</si>
  <si>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</si>
  <si>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</si>
  <si>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</si>
  <si>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</si>
  <si>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</si>
  <si>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</si>
  <si>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</si>
  <si>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</si>
  <si>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</si>
  <si>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</si>
  <si>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</si>
  <si>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</si>
  <si>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</si>
  <si>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</si>
  <si>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</si>
  <si>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</si>
  <si>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</si>
  <si>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</si>
  <si>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</si>
  <si>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</si>
  <si>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</si>
  <si>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</si>
  <si>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</si>
  <si>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</si>
  <si>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</si>
  <si>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</si>
  <si>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</si>
  <si>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</si>
  <si>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</si>
  <si>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</si>
  <si>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</si>
  <si>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Spell</t>
  </si>
  <si>
    <t>Languages</t>
  </si>
  <si>
    <t>Equipment Worn</t>
  </si>
  <si>
    <t>Item</t>
  </si>
  <si>
    <t>Effects/</t>
  </si>
  <si>
    <t>Notes</t>
  </si>
  <si>
    <t>Equipment Carried</t>
  </si>
  <si>
    <t>Check</t>
  </si>
  <si>
    <t>Arcane</t>
  </si>
  <si>
    <t>Speed</t>
  </si>
  <si>
    <t>Perform:  (type)</t>
  </si>
  <si>
    <t>Sleight of Hand</t>
  </si>
  <si>
    <t>Survival</t>
  </si>
  <si>
    <t>Atk</t>
  </si>
  <si>
    <t>Roll</t>
  </si>
  <si>
    <t>Simple and Martial Weapons</t>
  </si>
  <si>
    <t>Scrolls and Potions</t>
  </si>
  <si>
    <t>CLev</t>
  </si>
  <si>
    <t>Value</t>
  </si>
  <si>
    <t>Male</t>
  </si>
  <si>
    <t>30’</t>
  </si>
  <si>
    <t>Piercing</t>
  </si>
  <si>
    <t>Total Equity:</t>
  </si>
  <si>
    <t>-</t>
  </si>
  <si>
    <t>Skill/Save</t>
  </si>
  <si>
    <t>Weapons and Armor</t>
  </si>
  <si>
    <t>Weapon Proficiency</t>
  </si>
  <si>
    <t>Bazazath</t>
  </si>
  <si>
    <t>“Barkley” Anath</t>
  </si>
  <si>
    <t>Played by Edward Kilcullen</t>
  </si>
  <si>
    <t>Hound Archon</t>
  </si>
  <si>
    <t>Lawful Good</t>
  </si>
  <si>
    <t>6’ 2”</t>
  </si>
  <si>
    <t>Tyr</t>
  </si>
  <si>
    <t>Blanket, Winter</t>
  </si>
  <si>
    <t>Flint &amp; Steel</t>
  </si>
  <si>
    <t>Healer’s Kit</t>
  </si>
  <si>
    <t>Climber’s Kit</t>
  </si>
  <si>
    <t>Rations</t>
  </si>
  <si>
    <t>Waterskin</t>
  </si>
  <si>
    <t>Dmg</t>
  </si>
  <si>
    <t>Hound Archon 1</t>
  </si>
  <si>
    <t>Good, Lawful</t>
  </si>
  <si>
    <t>Bite</t>
  </si>
  <si>
    <t>20</t>
  </si>
  <si>
    <t>Archon Features</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</si>
  <si>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</si>
  <si>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40’ / 60’</t>
  </si>
  <si>
    <t>215 lbs.</t>
  </si>
  <si>
    <t>Craft:  Leatherworking</t>
  </si>
  <si>
    <t>Knowledge:  Arcana</t>
  </si>
  <si>
    <t>Profession:  Brewer</t>
  </si>
  <si>
    <t>Dagger 1</t>
  </si>
  <si>
    <t>Dagger 2</t>
  </si>
  <si>
    <t>19-20/x2</t>
  </si>
  <si>
    <t>Slashing</t>
  </si>
  <si>
    <t>Slsh/Prc</t>
  </si>
  <si>
    <t>1d4</t>
  </si>
  <si>
    <t>Tindertwig</t>
  </si>
  <si>
    <t>Celestia</t>
  </si>
  <si>
    <t>Race</t>
  </si>
  <si>
    <t>Subtype</t>
  </si>
  <si>
    <t>Class</t>
  </si>
  <si>
    <t>Region</t>
  </si>
  <si>
    <t>Height</t>
  </si>
  <si>
    <t>Sex</t>
  </si>
  <si>
    <t>Weight</t>
  </si>
  <si>
    <t>Age</t>
  </si>
  <si>
    <t>Alignment</t>
  </si>
  <si>
    <t>Deity</t>
  </si>
  <si>
    <t>Attack Bonus</t>
  </si>
  <si>
    <t>Initiative</t>
  </si>
  <si>
    <t>XP</t>
  </si>
  <si>
    <t>Strength</t>
  </si>
  <si>
    <t>Lb. Capacity</t>
  </si>
  <si>
    <t>Dexterity</t>
  </si>
  <si>
    <t>Lb. Carried</t>
  </si>
  <si>
    <t>Constitution</t>
  </si>
  <si>
    <t>Hit Points</t>
  </si>
  <si>
    <t>Intelligence</t>
  </si>
  <si>
    <t>Touch AC</t>
  </si>
  <si>
    <t>Wisdom</t>
  </si>
  <si>
    <t>FF AC</t>
  </si>
  <si>
    <t>Charisma</t>
  </si>
  <si>
    <t>AC</t>
  </si>
  <si>
    <t>Character:</t>
  </si>
  <si>
    <t>%</t>
  </si>
  <si>
    <t>Excellent</t>
  </si>
  <si>
    <t>Missed Posts</t>
  </si>
  <si>
    <t>Maximum award for this segment</t>
  </si>
  <si>
    <t xml:space="preserve"> Character award for this segment</t>
  </si>
  <si>
    <t>Extra XPs</t>
  </si>
  <si>
    <t>Previous XP Balance</t>
  </si>
  <si>
    <t>Current XP Balance</t>
  </si>
  <si>
    <t>Feat 1:  Dodge</t>
  </si>
  <si>
    <t>Good</t>
  </si>
  <si>
    <t>Thoroughness and clarity</t>
  </si>
  <si>
    <t>Consistency with other characters’ actions and setting description</t>
  </si>
  <si>
    <t>Convincing role-playing and character development</t>
  </si>
  <si>
    <t>Level-appropriate use of skills, feats, limitations, and other features</t>
  </si>
  <si>
    <t>Hound Archon 2</t>
  </si>
  <si>
    <t>Hound Archon 3</t>
  </si>
  <si>
    <t>Feat 3:  Quick Draw</t>
  </si>
  <si>
    <t>Slam 1</t>
  </si>
  <si>
    <t>Slam 2</t>
  </si>
  <si>
    <t>Bludgeon</t>
  </si>
  <si>
    <t>Natural Armor</t>
  </si>
  <si>
    <t>DC</t>
  </si>
  <si>
    <t>Message</t>
  </si>
  <si>
    <t>Aid</t>
  </si>
  <si>
    <t>Continual Flame</t>
  </si>
  <si>
    <t>Detect Evil</t>
  </si>
  <si>
    <t>Heward’s Handy Haversack</t>
  </si>
  <si>
    <t>% Full:</t>
  </si>
  <si>
    <t>Celestial, Infernal, Draconic</t>
  </si>
  <si>
    <t>Iron Rations</t>
  </si>
  <si>
    <t>Silk Rope, 50’</t>
  </si>
  <si>
    <t>Spare Clothing</t>
  </si>
  <si>
    <t>Bottles Dragon’s Tears Wine</t>
  </si>
  <si>
    <t>Soft Equity Ceiling:</t>
  </si>
  <si>
    <t>Hound Archon 4</t>
  </si>
  <si>
    <t>Hound Archon 5</t>
  </si>
  <si>
    <t>DR 5/+1</t>
  </si>
  <si>
    <t>Hound Archon 6</t>
  </si>
  <si>
    <t>Knowledge:  Religion</t>
  </si>
  <si>
    <t>Profession:  Winemaker</t>
  </si>
  <si>
    <t>Profession:  Distiller</t>
  </si>
  <si>
    <t>Leatherworking Kit</t>
  </si>
  <si>
    <t>Platinum Tankard</t>
  </si>
  <si>
    <t>50 pages</t>
  </si>
  <si>
    <t>Brewer’s Book</t>
  </si>
  <si>
    <t>Distiller’s Book</t>
  </si>
  <si>
    <t>Winepresser’s Book</t>
  </si>
  <si>
    <t>Ring of Protection +1</t>
  </si>
  <si>
    <t>Tent</t>
  </si>
  <si>
    <t>Dried Fruit and Nuts</t>
  </si>
  <si>
    <t>Sack</t>
  </si>
  <si>
    <t>CL:</t>
  </si>
  <si>
    <t>1d8</t>
  </si>
  <si>
    <t>Scent 30’</t>
  </si>
  <si>
    <t>Holy Symbol of Tyr</t>
  </si>
  <si>
    <t>6-pack Holder</t>
  </si>
  <si>
    <t>Custom-made</t>
  </si>
  <si>
    <t>Platinum Corked Bottles</t>
  </si>
  <si>
    <t>1</t>
  </si>
  <si>
    <t>x3</t>
  </si>
  <si>
    <t>110’</t>
  </si>
  <si>
    <t>Speak Language:  [language]</t>
  </si>
  <si>
    <t>Arrows</t>
  </si>
  <si>
    <t>+0</t>
  </si>
  <si>
    <t>Thrown Item</t>
  </si>
  <si>
    <t>varies</t>
  </si>
  <si>
    <t>10’</t>
  </si>
  <si>
    <t>2nd Thrown Item</t>
  </si>
  <si>
    <t xml:space="preserve">Tongues, Common, </t>
  </si>
  <si>
    <t>Gold Coins</t>
  </si>
  <si>
    <t>Platinum Coins</t>
  </si>
  <si>
    <t>Sturdy Bowl</t>
  </si>
  <si>
    <t>MW Candles</t>
  </si>
  <si>
    <t>Belt with Pouches</t>
  </si>
  <si>
    <t>Feats</t>
  </si>
  <si>
    <t>Attention to spelling &amp; punctuation; consistent use of past tense, third person</t>
  </si>
  <si>
    <t>At-Will Abilities</t>
  </si>
  <si>
    <t>Touch/Grapple</t>
  </si>
  <si>
    <t>Arrows, Silver</t>
  </si>
  <si>
    <t>Hand Axe</t>
  </si>
  <si>
    <t>Hand Axe, Silver</t>
  </si>
  <si>
    <t>1d6</t>
  </si>
  <si>
    <t>Wish List:</t>
  </si>
  <si>
    <t>HD</t>
  </si>
  <si>
    <t>Hound Archon 7</t>
  </si>
  <si>
    <t>Electricity Resistance 15</t>
  </si>
  <si>
    <t>1st:  Two-Weapon Fighting</t>
  </si>
  <si>
    <t>3rd:  Quick Draw</t>
  </si>
  <si>
    <t>Tabard</t>
  </si>
  <si>
    <t>one</t>
  </si>
  <si>
    <t>Composite +2 Longbow +1</t>
  </si>
  <si>
    <t>CROSS-CLASS SKILL</t>
  </si>
  <si>
    <t>Cloak of Resistance +1</t>
  </si>
  <si>
    <t>Mithral Chain Shirt +1</t>
  </si>
  <si>
    <t>Longsword +1</t>
  </si>
  <si>
    <t>+4 vs. Poison</t>
  </si>
  <si>
    <t>Ranger</t>
  </si>
  <si>
    <t>MW Short Sword</t>
  </si>
  <si>
    <t>Silver Kukri</t>
  </si>
  <si>
    <t>18-20, x2</t>
  </si>
  <si>
    <t>Morningstar</t>
  </si>
  <si>
    <t>x2</t>
  </si>
  <si>
    <t>Prc &amp; Bldg</t>
  </si>
  <si>
    <t>Elsabet’s</t>
  </si>
  <si>
    <r>
      <t xml:space="preserve">+1 </t>
    </r>
    <r>
      <rPr>
        <i/>
        <sz val="13"/>
        <rFont val="Times New Roman"/>
        <family val="1"/>
      </rPr>
      <t>haste</t>
    </r>
  </si>
  <si>
    <t>Poor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</si>
</sst>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54">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81"/>
      <name val="Times New Roman"/>
      <family val="1"/>
    </font>
    <font>
      <i/>
      <sz val="12"/>
      <color indexed="52"/>
      <name val="Times New Roman"/>
      <family val="1"/>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sz val="12"/>
      <name val="Times New Roman"/>
      <family val="1"/>
      <charset val="1"/>
    </font>
    <font>
      <sz val="10"/>
      <name val="Arial"/>
      <family val="2"/>
    </font>
    <font>
      <b/>
      <sz val="12"/>
      <color indexed="81"/>
      <name val="Times New Roman"/>
      <family val="1"/>
    </font>
    <font>
      <i/>
      <sz val="16"/>
      <color indexed="21"/>
      <name val="Times New Roman"/>
      <family val="1"/>
    </font>
    <font>
      <i/>
      <sz val="16"/>
      <color indexed="53"/>
      <name val="Times New Roman"/>
      <family val="1"/>
    </font>
    <font>
      <i/>
      <sz val="16"/>
      <color indexed="10"/>
      <name val="Times New Roman"/>
      <family val="1"/>
    </font>
    <font>
      <i/>
      <sz val="22"/>
      <color rgb="FFFF0000"/>
      <name val="Times New Roman"/>
      <family val="1"/>
    </font>
    <font>
      <i/>
      <sz val="16"/>
      <color indexed="12"/>
      <name val="Times New Roman"/>
      <family val="1"/>
    </font>
    <font>
      <sz val="12"/>
      <color theme="1"/>
      <name val="Wingdings"/>
      <charset val="2"/>
    </font>
    <font>
      <i/>
      <sz val="13"/>
      <name val="Times New Roman"/>
      <family val="1"/>
    </font>
  </fonts>
  <fills count="18">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indexed="12"/>
        <bgColor indexed="64"/>
      </patternFill>
    </fill>
    <fill>
      <patternFill patternType="solid">
        <fgColor rgb="FF7030A0"/>
        <bgColor indexed="64"/>
      </patternFill>
    </fill>
    <fill>
      <patternFill patternType="solid">
        <fgColor theme="0" tint="-0.249977111117893"/>
        <bgColor indexed="64"/>
      </patternFill>
    </fill>
    <fill>
      <patternFill patternType="solid">
        <fgColor rgb="FFFF0000"/>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rgb="FFCC99FF"/>
        <bgColor indexed="64"/>
      </patternFill>
    </fill>
    <fill>
      <patternFill patternType="solid">
        <fgColor theme="0" tint="-0.14999847407452621"/>
        <bgColor indexed="64"/>
      </patternFill>
    </fill>
  </fills>
  <borders count="117">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style="thin">
        <color indexed="64"/>
      </right>
      <top/>
      <bottom style="thin">
        <color indexed="9"/>
      </bottom>
      <diagonal/>
    </border>
    <border>
      <left/>
      <right/>
      <top style="double">
        <color indexed="64"/>
      </top>
      <bottom style="thick">
        <color indexed="61"/>
      </bottom>
      <diagonal/>
    </border>
    <border>
      <left/>
      <right style="double">
        <color indexed="64"/>
      </right>
      <top style="double">
        <color indexed="64"/>
      </top>
      <bottom style="thick">
        <color indexed="61"/>
      </bottom>
      <diagonal/>
    </border>
    <border>
      <left style="double">
        <color indexed="64"/>
      </left>
      <right/>
      <top style="double">
        <color indexed="64"/>
      </top>
      <bottom style="thick">
        <color indexed="61"/>
      </bottom>
      <diagonal/>
    </border>
    <border>
      <left/>
      <right style="double">
        <color indexed="64"/>
      </right>
      <top style="medium">
        <color indexed="64"/>
      </top>
      <bottom style="medium">
        <color indexed="64"/>
      </bottom>
      <diagonal/>
    </border>
    <border>
      <left style="thin">
        <color auto="1"/>
      </left>
      <right style="double">
        <color auto="1"/>
      </right>
      <top style="double">
        <color auto="1"/>
      </top>
      <bottom style="thin">
        <color auto="1"/>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style="hair">
        <color indexed="64"/>
      </top>
      <bottom/>
      <diagonal/>
    </border>
    <border>
      <left style="medium">
        <color auto="1"/>
      </left>
      <right style="thin">
        <color indexed="64"/>
      </right>
      <top style="double">
        <color auto="1"/>
      </top>
      <bottom style="thin">
        <color auto="1"/>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style="hair">
        <color indexed="64"/>
      </right>
      <top style="hair">
        <color indexed="64"/>
      </top>
      <bottom style="double">
        <color indexed="64"/>
      </bottom>
      <diagonal/>
    </border>
    <border>
      <left style="thin">
        <color auto="1"/>
      </left>
      <right style="medium">
        <color auto="1"/>
      </right>
      <top style="double">
        <color auto="1"/>
      </top>
      <bottom style="thin">
        <color auto="1"/>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diagonal/>
    </border>
    <border>
      <left style="double">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top/>
      <bottom style="hair">
        <color indexed="64"/>
      </bottom>
      <diagonal/>
    </border>
    <border>
      <left/>
      <right/>
      <top/>
      <bottom style="hair">
        <color indexed="64"/>
      </bottom>
      <diagonal/>
    </border>
    <border>
      <left style="double">
        <color indexed="64"/>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hair">
        <color indexed="64"/>
      </right>
      <top style="hair">
        <color indexed="64"/>
      </top>
      <bottom/>
      <diagonal/>
    </border>
    <border>
      <left/>
      <right style="double">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right/>
      <top/>
      <bottom style="thin">
        <color indexed="64"/>
      </bottom>
      <diagonal/>
    </border>
    <border>
      <left style="double">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hair">
        <color indexed="64"/>
      </left>
      <right style="double">
        <color indexed="64"/>
      </right>
      <top style="medium">
        <color indexed="64"/>
      </top>
      <bottom style="hair">
        <color indexed="64"/>
      </bottom>
      <diagonal/>
    </border>
    <border>
      <left style="medium">
        <color indexed="64"/>
      </left>
      <right style="double">
        <color indexed="64"/>
      </right>
      <top style="double">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11">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44" fillId="0" borderId="0"/>
    <xf numFmtId="0" fontId="45"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440">
    <xf numFmtId="0" fontId="0" fillId="0" borderId="0" xfId="0"/>
    <xf numFmtId="0" fontId="5" fillId="0" borderId="0" xfId="0" applyFont="1" applyBorder="1" applyAlignment="1"/>
    <xf numFmtId="0" fontId="4" fillId="0" borderId="0" xfId="0" applyFont="1" applyBorder="1" applyAlignment="1">
      <alignment horizontal="right"/>
    </xf>
    <xf numFmtId="0" fontId="5" fillId="0" borderId="0" xfId="0" applyFont="1" applyBorder="1" applyAlignment="1">
      <alignment horizontal="left"/>
    </xf>
    <xf numFmtId="0" fontId="18"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5" fillId="0" borderId="0" xfId="0" applyNumberFormat="1" applyFont="1" applyBorder="1" applyAlignment="1">
      <alignment horizontal="left"/>
    </xf>
    <xf numFmtId="0" fontId="11" fillId="3" borderId="18" xfId="0" applyFont="1" applyFill="1" applyBorder="1" applyAlignment="1">
      <alignment horizontal="center" vertical="center" wrapText="1"/>
    </xf>
    <xf numFmtId="0" fontId="2" fillId="0" borderId="36" xfId="0" applyFont="1" applyFill="1" applyBorder="1" applyAlignment="1">
      <alignment horizontal="center" vertical="center"/>
    </xf>
    <xf numFmtId="0" fontId="3" fillId="0" borderId="0" xfId="0" applyFont="1" applyBorder="1" applyAlignment="1">
      <alignment horizontal="centerContinuous" vertical="center"/>
    </xf>
    <xf numFmtId="0" fontId="5" fillId="0" borderId="0" xfId="0" applyFont="1" applyBorder="1" applyAlignment="1">
      <alignment vertical="center"/>
    </xf>
    <xf numFmtId="0" fontId="20" fillId="12" borderId="11" xfId="0" applyFont="1" applyFill="1" applyBorder="1" applyAlignment="1">
      <alignment horizontal="center" vertical="center"/>
    </xf>
    <xf numFmtId="0" fontId="20" fillId="12" borderId="12" xfId="0" applyFont="1" applyFill="1" applyBorder="1" applyAlignment="1">
      <alignment horizontal="center" vertical="center"/>
    </xf>
    <xf numFmtId="49" fontId="20" fillId="12" borderId="12" xfId="0" applyNumberFormat="1" applyFont="1" applyFill="1" applyBorder="1" applyAlignment="1">
      <alignment horizontal="center" vertical="center"/>
    </xf>
    <xf numFmtId="0" fontId="20" fillId="12" borderId="16" xfId="0" applyFont="1" applyFill="1" applyBorder="1" applyAlignment="1">
      <alignment horizontal="center" vertical="center"/>
    </xf>
    <xf numFmtId="0" fontId="42" fillId="10" borderId="16" xfId="0" applyFont="1" applyFill="1" applyBorder="1" applyAlignment="1">
      <alignment horizontal="center" vertical="center"/>
    </xf>
    <xf numFmtId="0" fontId="20" fillId="12" borderId="13" xfId="0" applyFont="1" applyFill="1" applyBorder="1" applyAlignment="1">
      <alignment horizontal="center" vertical="center"/>
    </xf>
    <xf numFmtId="0" fontId="2" fillId="0" borderId="42" xfId="0" applyFont="1" applyFill="1" applyBorder="1" applyAlignment="1">
      <alignment horizontal="center" vertical="center"/>
    </xf>
    <xf numFmtId="49" fontId="2" fillId="0" borderId="42" xfId="2" applyNumberFormat="1" applyFont="1" applyFill="1" applyBorder="1" applyAlignment="1">
      <alignment horizontal="center" vertical="center"/>
    </xf>
    <xf numFmtId="0" fontId="2" fillId="0" borderId="42" xfId="0" applyFont="1" applyBorder="1" applyAlignment="1">
      <alignment horizontal="center" vertical="center"/>
    </xf>
    <xf numFmtId="164" fontId="2" fillId="0" borderId="42"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0" fontId="2" fillId="0" borderId="44"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0" fillId="12" borderId="16" xfId="0" applyFont="1" applyFill="1" applyBorder="1" applyAlignment="1">
      <alignment horizontal="centerContinuous" vertical="center"/>
    </xf>
    <xf numFmtId="0" fontId="20" fillId="12" borderId="52" xfId="0" applyFont="1" applyFill="1" applyBorder="1" applyAlignment="1">
      <alignment horizontal="centerContinuous" vertical="center"/>
    </xf>
    <xf numFmtId="0" fontId="20" fillId="12" borderId="53" xfId="0" applyFont="1" applyFill="1" applyBorder="1" applyAlignment="1">
      <alignment horizontal="centerContinuous" vertical="center"/>
    </xf>
    <xf numFmtId="164" fontId="5" fillId="0" borderId="55" xfId="0" applyNumberFormat="1" applyFont="1" applyFill="1" applyBorder="1" applyAlignment="1">
      <alignment horizontal="centerContinuous" vertical="center"/>
    </xf>
    <xf numFmtId="0" fontId="17" fillId="0" borderId="0" xfId="0" applyFont="1" applyBorder="1" applyAlignment="1">
      <alignment horizontal="right" vertical="center"/>
    </xf>
    <xf numFmtId="0" fontId="20" fillId="12" borderId="14" xfId="0" applyFont="1" applyFill="1" applyBorder="1" applyAlignment="1">
      <alignment horizontal="centerContinuous" vertical="center"/>
    </xf>
    <xf numFmtId="0" fontId="20" fillId="12" borderId="15" xfId="0" applyFont="1" applyFill="1" applyBorder="1" applyAlignment="1">
      <alignment horizontal="centerContinuous" vertical="center"/>
    </xf>
    <xf numFmtId="0" fontId="5" fillId="0" borderId="55" xfId="0" applyFont="1" applyFill="1" applyBorder="1" applyAlignment="1">
      <alignment horizontal="centerContinuous" vertical="center"/>
    </xf>
    <xf numFmtId="0" fontId="5" fillId="0" borderId="69" xfId="0" applyFont="1" applyFill="1" applyBorder="1" applyAlignment="1">
      <alignment horizontal="centerContinuous" vertical="center"/>
    </xf>
    <xf numFmtId="0" fontId="5" fillId="0" borderId="68" xfId="0" applyFont="1" applyFill="1" applyBorder="1" applyAlignment="1">
      <alignment horizontal="center" vertical="center"/>
    </xf>
    <xf numFmtId="49" fontId="2" fillId="0" borderId="69" xfId="0" applyNumberFormat="1" applyFont="1" applyFill="1" applyBorder="1" applyAlignment="1">
      <alignment horizontal="center" vertical="center"/>
    </xf>
    <xf numFmtId="0" fontId="5" fillId="0" borderId="56" xfId="0" applyFont="1" applyFill="1" applyBorder="1" applyAlignment="1">
      <alignment horizontal="center" vertical="center"/>
    </xf>
    <xf numFmtId="0" fontId="5" fillId="0" borderId="41" xfId="0" applyFont="1" applyFill="1" applyBorder="1" applyAlignment="1">
      <alignment horizontal="centerContinuous" vertical="center"/>
    </xf>
    <xf numFmtId="0" fontId="5" fillId="0" borderId="72" xfId="0" applyFont="1" applyFill="1" applyBorder="1" applyAlignment="1">
      <alignment horizontal="centerContinuous" vertical="center"/>
    </xf>
    <xf numFmtId="0" fontId="5" fillId="0" borderId="70" xfId="0" applyFont="1" applyFill="1" applyBorder="1" applyAlignment="1">
      <alignment horizontal="centerContinuous" vertical="center"/>
    </xf>
    <xf numFmtId="49" fontId="5" fillId="0" borderId="70" xfId="0" applyNumberFormat="1" applyFont="1" applyFill="1" applyBorder="1" applyAlignment="1">
      <alignment horizontal="center" vertical="center"/>
    </xf>
    <xf numFmtId="164" fontId="5" fillId="0" borderId="73" xfId="0" applyNumberFormat="1" applyFont="1" applyBorder="1" applyAlignment="1">
      <alignment horizontal="centerContinuous" vertical="center"/>
    </xf>
    <xf numFmtId="0" fontId="5" fillId="0" borderId="74" xfId="0" applyFont="1" applyFill="1" applyBorder="1" applyAlignment="1">
      <alignment horizontal="center" vertical="center"/>
    </xf>
    <xf numFmtId="164" fontId="3" fillId="0" borderId="0" xfId="0" applyNumberFormat="1" applyFont="1" applyBorder="1" applyAlignment="1">
      <alignment horizontal="centerContinuous" vertical="center"/>
    </xf>
    <xf numFmtId="0" fontId="20" fillId="3" borderId="33" xfId="0" applyFont="1" applyFill="1" applyBorder="1" applyAlignment="1">
      <alignment horizontal="center" vertical="center"/>
    </xf>
    <xf numFmtId="164" fontId="20" fillId="3" borderId="34" xfId="0" applyNumberFormat="1" applyFont="1" applyFill="1" applyBorder="1" applyAlignment="1">
      <alignment horizontal="center" vertical="center"/>
    </xf>
    <xf numFmtId="0" fontId="20" fillId="3" borderId="33" xfId="0" applyFont="1" applyFill="1" applyBorder="1" applyAlignment="1">
      <alignment horizontal="right" vertical="center"/>
    </xf>
    <xf numFmtId="0" fontId="20" fillId="3" borderId="35" xfId="0" applyFont="1" applyFill="1" applyBorder="1" applyAlignment="1">
      <alignment vertical="center"/>
    </xf>
    <xf numFmtId="0" fontId="2" fillId="0" borderId="60" xfId="0" applyFont="1" applyBorder="1" applyAlignment="1">
      <alignment horizontal="center" vertical="center" shrinkToFit="1"/>
    </xf>
    <xf numFmtId="164" fontId="5" fillId="0" borderId="36" xfId="0" applyNumberFormat="1" applyFont="1" applyBorder="1" applyAlignment="1">
      <alignment horizontal="center" vertical="center" shrinkToFit="1"/>
    </xf>
    <xf numFmtId="0" fontId="5" fillId="0" borderId="37" xfId="0" applyFont="1" applyBorder="1" applyAlignment="1">
      <alignment horizontal="left" vertical="center"/>
    </xf>
    <xf numFmtId="0" fontId="5" fillId="0" borderId="38" xfId="0" applyFont="1" applyBorder="1" applyAlignment="1">
      <alignment horizontal="left" vertical="center" shrinkToFit="1"/>
    </xf>
    <xf numFmtId="164" fontId="2" fillId="0" borderId="36" xfId="0" applyNumberFormat="1" applyFont="1" applyBorder="1" applyAlignment="1">
      <alignment horizontal="center" vertical="center" shrinkToFit="1"/>
    </xf>
    <xf numFmtId="0" fontId="5" fillId="0" borderId="39" xfId="0" applyFont="1" applyBorder="1" applyAlignment="1">
      <alignment horizontal="left" vertical="center"/>
    </xf>
    <xf numFmtId="0" fontId="5" fillId="0" borderId="40" xfId="0" applyFont="1" applyBorder="1" applyAlignment="1">
      <alignment horizontal="left" vertical="center" shrinkToFit="1"/>
    </xf>
    <xf numFmtId="0" fontId="5" fillId="0" borderId="0" xfId="0" applyFont="1" applyBorder="1" applyAlignment="1">
      <alignment vertical="center" wrapText="1"/>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4" fillId="0" borderId="0" xfId="0" applyFont="1" applyBorder="1" applyAlignment="1">
      <alignment horizontal="right" vertical="center" wrapText="1"/>
    </xf>
    <xf numFmtId="0" fontId="7" fillId="0" borderId="51" xfId="0" applyFont="1" applyFill="1" applyBorder="1" applyAlignment="1">
      <alignment horizontal="center" vertical="center" shrinkToFit="1"/>
    </xf>
    <xf numFmtId="0" fontId="24" fillId="0" borderId="19"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7" fillId="0" borderId="21" xfId="0" applyFont="1" applyFill="1" applyBorder="1" applyAlignment="1">
      <alignment horizontal="center" vertical="center"/>
    </xf>
    <xf numFmtId="0" fontId="26" fillId="0" borderId="22"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0" fontId="39" fillId="10" borderId="22" xfId="0" applyNumberFormat="1" applyFont="1" applyFill="1" applyBorder="1" applyAlignment="1">
      <alignment horizontal="center" vertical="center"/>
    </xf>
    <xf numFmtId="0" fontId="40" fillId="0" borderId="1" xfId="0" applyFont="1" applyFill="1" applyBorder="1" applyAlignment="1">
      <alignment vertical="center"/>
    </xf>
    <xf numFmtId="0" fontId="23" fillId="0" borderId="22" xfId="0" applyNumberFormat="1" applyFont="1" applyFill="1" applyBorder="1" applyAlignment="1">
      <alignment horizontal="center" vertical="center"/>
    </xf>
    <xf numFmtId="0" fontId="12" fillId="0" borderId="22"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7" fillId="0" borderId="46" xfId="0" applyFont="1" applyFill="1" applyBorder="1" applyAlignment="1">
      <alignment horizontal="center" vertical="center"/>
    </xf>
    <xf numFmtId="0" fontId="27" fillId="0" borderId="9" xfId="0" applyNumberFormat="1" applyFont="1" applyFill="1" applyBorder="1" applyAlignment="1">
      <alignment horizontal="center" vertical="center"/>
    </xf>
    <xf numFmtId="0" fontId="27" fillId="0" borderId="46" xfId="0" applyNumberFormat="1" applyFont="1" applyFill="1" applyBorder="1" applyAlignment="1">
      <alignment horizontal="center" vertical="center"/>
    </xf>
    <xf numFmtId="0" fontId="39" fillId="10" borderId="46" xfId="0" applyNumberFormat="1" applyFont="1" applyFill="1" applyBorder="1" applyAlignment="1">
      <alignment horizontal="center" vertical="center"/>
    </xf>
    <xf numFmtId="0" fontId="10" fillId="0" borderId="1" xfId="0" applyFont="1" applyFill="1" applyBorder="1" applyAlignment="1">
      <alignment vertical="center"/>
    </xf>
    <xf numFmtId="0" fontId="7" fillId="0" borderId="21" xfId="0" applyNumberFormat="1" applyFont="1" applyFill="1" applyBorder="1" applyAlignment="1">
      <alignment horizontal="center" vertical="center"/>
    </xf>
    <xf numFmtId="49" fontId="15" fillId="0" borderId="21" xfId="0" applyNumberFormat="1" applyFont="1" applyFill="1" applyBorder="1" applyAlignment="1">
      <alignment horizontal="center" vertical="center"/>
    </xf>
    <xf numFmtId="0" fontId="15" fillId="0" borderId="22" xfId="0" applyNumberFormat="1" applyFont="1" applyFill="1" applyBorder="1" applyAlignment="1">
      <alignment horizontal="center" vertical="center"/>
    </xf>
    <xf numFmtId="0" fontId="7" fillId="0" borderId="22"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12" fillId="0" borderId="1" xfId="0" applyFont="1" applyFill="1" applyBorder="1" applyAlignment="1">
      <alignment vertical="center"/>
    </xf>
    <xf numFmtId="49" fontId="23" fillId="0" borderId="21" xfId="0" applyNumberFormat="1" applyFont="1" applyFill="1" applyBorder="1" applyAlignment="1">
      <alignment horizontal="center" vertical="center"/>
    </xf>
    <xf numFmtId="0" fontId="13" fillId="0" borderId="1" xfId="0" applyFont="1" applyFill="1" applyBorder="1" applyAlignment="1">
      <alignment vertical="center"/>
    </xf>
    <xf numFmtId="49" fontId="22" fillId="0" borderId="21" xfId="0" applyNumberFormat="1" applyFont="1" applyFill="1" applyBorder="1" applyAlignment="1">
      <alignment horizontal="center" vertical="center"/>
    </xf>
    <xf numFmtId="0" fontId="22" fillId="0" borderId="22" xfId="0" applyNumberFormat="1" applyFont="1" applyFill="1" applyBorder="1" applyAlignment="1">
      <alignment horizontal="center" vertical="center"/>
    </xf>
    <xf numFmtId="0" fontId="13" fillId="0" borderId="22" xfId="0" applyNumberFormat="1" applyFont="1" applyFill="1" applyBorder="1" applyAlignment="1">
      <alignment horizontal="center" vertical="center"/>
    </xf>
    <xf numFmtId="0" fontId="7" fillId="13" borderId="21" xfId="0" applyNumberFormat="1" applyFont="1" applyFill="1" applyBorder="1" applyAlignment="1">
      <alignment horizontal="center" vertical="center"/>
    </xf>
    <xf numFmtId="49" fontId="7" fillId="13" borderId="22" xfId="0" applyNumberFormat="1" applyFont="1" applyFill="1" applyBorder="1" applyAlignment="1">
      <alignment horizontal="center" vertical="center"/>
    </xf>
    <xf numFmtId="0" fontId="7" fillId="13" borderId="23" xfId="0" applyNumberFormat="1" applyFont="1" applyFill="1" applyBorder="1" applyAlignment="1">
      <alignment horizontal="center" vertical="center"/>
    </xf>
    <xf numFmtId="0" fontId="10" fillId="5" borderId="1" xfId="0" applyFont="1" applyFill="1" applyBorder="1" applyAlignment="1">
      <alignment vertical="center"/>
    </xf>
    <xf numFmtId="0" fontId="7" fillId="5" borderId="21" xfId="0" applyNumberFormat="1" applyFont="1" applyFill="1" applyBorder="1" applyAlignment="1">
      <alignment horizontal="center" vertical="center"/>
    </xf>
    <xf numFmtId="49" fontId="15" fillId="5" borderId="21" xfId="0" applyNumberFormat="1" applyFont="1" applyFill="1" applyBorder="1" applyAlignment="1">
      <alignment horizontal="center" vertical="center"/>
    </xf>
    <xf numFmtId="0" fontId="15" fillId="5" borderId="22" xfId="0" applyNumberFormat="1" applyFont="1" applyFill="1" applyBorder="1" applyAlignment="1">
      <alignment horizontal="center" vertical="center"/>
    </xf>
    <xf numFmtId="49" fontId="7" fillId="5" borderId="22" xfId="0" applyNumberFormat="1" applyFont="1" applyFill="1" applyBorder="1" applyAlignment="1">
      <alignment horizontal="center" vertical="center"/>
    </xf>
    <xf numFmtId="0" fontId="7" fillId="5" borderId="23" xfId="0" applyNumberFormat="1" applyFont="1" applyFill="1" applyBorder="1" applyAlignment="1">
      <alignment horizontal="center" vertical="center"/>
    </xf>
    <xf numFmtId="0" fontId="13" fillId="13" borderId="1" xfId="0" applyFont="1" applyFill="1" applyBorder="1" applyAlignment="1">
      <alignment vertical="center"/>
    </xf>
    <xf numFmtId="0" fontId="10" fillId="6" borderId="1" xfId="0" applyFont="1" applyFill="1" applyBorder="1" applyAlignment="1">
      <alignment vertical="center"/>
    </xf>
    <xf numFmtId="0" fontId="7" fillId="6" borderId="21" xfId="0" applyNumberFormat="1" applyFont="1" applyFill="1" applyBorder="1" applyAlignment="1">
      <alignment horizontal="center" vertical="center"/>
    </xf>
    <xf numFmtId="49" fontId="15" fillId="6" borderId="21" xfId="0" applyNumberFormat="1" applyFont="1" applyFill="1" applyBorder="1" applyAlignment="1">
      <alignment horizontal="center" vertical="center"/>
    </xf>
    <xf numFmtId="0" fontId="15" fillId="6" borderId="22" xfId="0" applyNumberFormat="1" applyFont="1" applyFill="1" applyBorder="1" applyAlignment="1">
      <alignment horizontal="center" vertical="center"/>
    </xf>
    <xf numFmtId="49" fontId="7" fillId="6" borderId="22" xfId="0" applyNumberFormat="1" applyFont="1" applyFill="1" applyBorder="1" applyAlignment="1">
      <alignment horizontal="center" vertical="center"/>
    </xf>
    <xf numFmtId="0" fontId="13" fillId="6" borderId="1" xfId="0" applyFont="1" applyFill="1" applyBorder="1" applyAlignment="1">
      <alignment vertical="center"/>
    </xf>
    <xf numFmtId="49" fontId="22" fillId="7" borderId="21" xfId="0" applyNumberFormat="1" applyFont="1" applyFill="1" applyBorder="1" applyAlignment="1">
      <alignment horizontal="center" vertical="center"/>
    </xf>
    <xf numFmtId="0" fontId="22" fillId="7" borderId="22" xfId="0" applyNumberFormat="1" applyFont="1" applyFill="1" applyBorder="1" applyAlignment="1">
      <alignment horizontal="center" vertical="center"/>
    </xf>
    <xf numFmtId="0" fontId="10" fillId="13" borderId="1" xfId="0" applyFont="1" applyFill="1" applyBorder="1" applyAlignment="1">
      <alignment vertical="center"/>
    </xf>
    <xf numFmtId="49" fontId="15" fillId="13" borderId="21" xfId="0" applyNumberFormat="1" applyFont="1" applyFill="1" applyBorder="1" applyAlignment="1">
      <alignment horizontal="center" vertical="center"/>
    </xf>
    <xf numFmtId="0" fontId="15" fillId="13" borderId="22"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1" xfId="0" applyNumberFormat="1" applyFont="1" applyFill="1" applyBorder="1" applyAlignment="1">
      <alignment horizontal="center" vertical="center"/>
    </xf>
    <xf numFmtId="0" fontId="23" fillId="5" borderId="22" xfId="0" applyNumberFormat="1" applyFont="1" applyFill="1" applyBorder="1" applyAlignment="1">
      <alignment horizontal="center" vertical="center"/>
    </xf>
    <xf numFmtId="0" fontId="10" fillId="4" borderId="1" xfId="0" applyFont="1" applyFill="1" applyBorder="1" applyAlignment="1">
      <alignment vertical="center"/>
    </xf>
    <xf numFmtId="0" fontId="7" fillId="4" borderId="21" xfId="0" applyNumberFormat="1" applyFont="1" applyFill="1" applyBorder="1" applyAlignment="1">
      <alignment horizontal="center" vertical="center"/>
    </xf>
    <xf numFmtId="49" fontId="15" fillId="4" borderId="21" xfId="0" applyNumberFormat="1" applyFont="1" applyFill="1" applyBorder="1" applyAlignment="1">
      <alignment horizontal="center" vertical="center"/>
    </xf>
    <xf numFmtId="0" fontId="15" fillId="4" borderId="22" xfId="0" applyNumberFormat="1" applyFont="1" applyFill="1" applyBorder="1" applyAlignment="1">
      <alignment horizontal="center" vertical="center"/>
    </xf>
    <xf numFmtId="49" fontId="7" fillId="4" borderId="22" xfId="0" applyNumberFormat="1" applyFont="1" applyFill="1" applyBorder="1" applyAlignment="1">
      <alignment horizontal="center" vertical="center"/>
    </xf>
    <xf numFmtId="0" fontId="7" fillId="4" borderId="23" xfId="0" applyNumberFormat="1" applyFont="1" applyFill="1" applyBorder="1" applyAlignment="1">
      <alignment horizontal="center" vertical="center"/>
    </xf>
    <xf numFmtId="0" fontId="7" fillId="0" borderId="23" xfId="0" quotePrefix="1" applyNumberFormat="1" applyFont="1" applyFill="1" applyBorder="1" applyAlignment="1">
      <alignment horizontal="center" vertical="center"/>
    </xf>
    <xf numFmtId="0" fontId="12" fillId="4" borderId="1" xfId="0" applyFont="1" applyFill="1" applyBorder="1" applyAlignment="1">
      <alignment vertical="center"/>
    </xf>
    <xf numFmtId="49" fontId="23" fillId="4" borderId="21" xfId="0" applyNumberFormat="1" applyFont="1" applyFill="1" applyBorder="1" applyAlignment="1">
      <alignment horizontal="center" vertical="center"/>
    </xf>
    <xf numFmtId="0" fontId="23" fillId="4" borderId="22"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1" xfId="0" applyNumberFormat="1" applyFont="1" applyFill="1" applyBorder="1" applyAlignment="1">
      <alignment horizontal="center" vertical="center"/>
    </xf>
    <xf numFmtId="0" fontId="22" fillId="5" borderId="22" xfId="0" applyNumberFormat="1" applyFont="1" applyFill="1" applyBorder="1" applyAlignment="1">
      <alignment horizontal="center" vertical="center"/>
    </xf>
    <xf numFmtId="0" fontId="39" fillId="10" borderId="48" xfId="0" applyNumberFormat="1" applyFont="1" applyFill="1" applyBorder="1" applyAlignment="1">
      <alignment horizontal="center" vertical="center"/>
    </xf>
    <xf numFmtId="0" fontId="4" fillId="0" borderId="0" xfId="0" applyFont="1" applyBorder="1" applyAlignment="1">
      <alignment horizontal="right" vertical="center"/>
    </xf>
    <xf numFmtId="0" fontId="19" fillId="2" borderId="63" xfId="0" applyFont="1" applyFill="1" applyBorder="1" applyAlignment="1">
      <alignment horizontal="left" vertical="center"/>
    </xf>
    <xf numFmtId="0" fontId="4" fillId="2" borderId="63" xfId="0" applyFont="1" applyFill="1" applyBorder="1" applyAlignment="1">
      <alignment horizontal="centerContinuous" vertical="center"/>
    </xf>
    <xf numFmtId="0" fontId="35" fillId="2" borderId="64"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49" xfId="0" applyFont="1" applyFill="1" applyBorder="1" applyAlignment="1">
      <alignment horizontal="right" vertical="center"/>
    </xf>
    <xf numFmtId="0" fontId="7" fillId="0" borderId="0" xfId="0" applyFont="1" applyBorder="1" applyAlignment="1">
      <alignment horizontal="left" vertical="center"/>
    </xf>
    <xf numFmtId="0" fontId="8" fillId="2" borderId="8" xfId="0" applyFont="1" applyFill="1" applyBorder="1" applyAlignment="1">
      <alignment horizontal="right" vertical="center"/>
    </xf>
    <xf numFmtId="0" fontId="25" fillId="0" borderId="9" xfId="0" applyNumberFormat="1" applyFont="1" applyBorder="1" applyAlignment="1">
      <alignment horizontal="center" vertical="center"/>
    </xf>
    <xf numFmtId="0" fontId="9" fillId="4" borderId="62"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9" xfId="0" applyNumberFormat="1" applyFont="1" applyBorder="1" applyAlignment="1">
      <alignment horizontal="center" vertical="center"/>
    </xf>
    <xf numFmtId="0" fontId="9" fillId="4" borderId="57" xfId="0" applyFont="1" applyFill="1" applyBorder="1" applyAlignment="1">
      <alignment horizontal="right" vertical="center"/>
    </xf>
    <xf numFmtId="164" fontId="6" fillId="8" borderId="26" xfId="0" applyNumberFormat="1" applyFont="1" applyFill="1" applyBorder="1" applyAlignment="1">
      <alignment horizontal="center" vertical="center"/>
    </xf>
    <xf numFmtId="0" fontId="9" fillId="2" borderId="4" xfId="0" applyFont="1" applyFill="1" applyBorder="1" applyAlignment="1">
      <alignment horizontal="right" vertical="center"/>
    </xf>
    <xf numFmtId="49" fontId="25" fillId="0" borderId="3" xfId="0" applyNumberFormat="1" applyFont="1" applyBorder="1" applyAlignment="1">
      <alignment horizontal="center" vertical="center"/>
    </xf>
    <xf numFmtId="0" fontId="8" fillId="4" borderId="57" xfId="0" applyFont="1" applyFill="1" applyBorder="1" applyAlignment="1">
      <alignment horizontal="right" vertical="center"/>
    </xf>
    <xf numFmtId="0" fontId="36" fillId="2" borderId="4" xfId="0" applyFont="1" applyFill="1" applyBorder="1" applyAlignment="1">
      <alignment horizontal="right" vertical="center"/>
    </xf>
    <xf numFmtId="0" fontId="21" fillId="2" borderId="4" xfId="0" applyFont="1" applyFill="1" applyBorder="1" applyAlignment="1">
      <alignment horizontal="right" vertical="center"/>
    </xf>
    <xf numFmtId="0" fontId="10" fillId="4" borderId="57" xfId="0" applyFont="1" applyFill="1" applyBorder="1" applyAlignment="1">
      <alignment horizontal="right" vertical="center"/>
    </xf>
    <xf numFmtId="0" fontId="13" fillId="2" borderId="10" xfId="0" applyFont="1" applyFill="1" applyBorder="1" applyAlignment="1">
      <alignment horizontal="right" vertical="center"/>
    </xf>
    <xf numFmtId="0" fontId="10" fillId="4" borderId="58" xfId="0" applyFont="1" applyFill="1" applyBorder="1" applyAlignment="1">
      <alignment horizontal="right" vertical="center"/>
    </xf>
    <xf numFmtId="0" fontId="7" fillId="0" borderId="6" xfId="0" applyFont="1" applyBorder="1" applyAlignment="1">
      <alignment vertical="center"/>
    </xf>
    <xf numFmtId="0" fontId="7" fillId="0" borderId="7" xfId="0" applyFont="1" applyBorder="1" applyAlignment="1">
      <alignment vertical="center"/>
    </xf>
    <xf numFmtId="164" fontId="5" fillId="0" borderId="42"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4"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5" fillId="0" borderId="36" xfId="0" applyFont="1" applyBorder="1" applyAlignment="1">
      <alignment horizontal="left" vertical="center"/>
    </xf>
    <xf numFmtId="1" fontId="6" fillId="0" borderId="24" xfId="0" applyNumberFormat="1" applyFont="1" applyBorder="1" applyAlignment="1">
      <alignment horizontal="center" vertical="center"/>
    </xf>
    <xf numFmtId="0" fontId="6" fillId="4" borderId="76" xfId="0" applyFont="1" applyFill="1" applyBorder="1" applyAlignment="1">
      <alignment horizontal="right" vertical="center"/>
    </xf>
    <xf numFmtId="1" fontId="4" fillId="0" borderId="0" xfId="0" applyNumberFormat="1" applyFont="1" applyBorder="1" applyAlignment="1">
      <alignment horizontal="right" vertical="center"/>
    </xf>
    <xf numFmtId="1" fontId="4" fillId="0" borderId="0" xfId="0" applyNumberFormat="1" applyFont="1" applyBorder="1" applyAlignment="1">
      <alignment horizontal="center" vertical="center"/>
    </xf>
    <xf numFmtId="1" fontId="5" fillId="0" borderId="0" xfId="0" applyNumberFormat="1" applyFont="1" applyBorder="1" applyAlignment="1">
      <alignment horizontal="left" vertical="center"/>
    </xf>
    <xf numFmtId="1" fontId="5" fillId="0" borderId="0" xfId="0" applyNumberFormat="1" applyFont="1" applyBorder="1" applyAlignment="1">
      <alignment horizontal="center" vertical="center"/>
    </xf>
    <xf numFmtId="1" fontId="4" fillId="0" borderId="0" xfId="0" applyNumberFormat="1" applyFont="1" applyBorder="1" applyAlignment="1">
      <alignment horizontal="left" vertical="center"/>
    </xf>
    <xf numFmtId="1" fontId="2" fillId="0" borderId="0" xfId="0" applyNumberFormat="1" applyFont="1" applyBorder="1" applyAlignment="1">
      <alignment horizontal="left" vertical="center"/>
    </xf>
    <xf numFmtId="1" fontId="2" fillId="0" borderId="0" xfId="0" applyNumberFormat="1" applyFont="1" applyBorder="1" applyAlignment="1">
      <alignment horizontal="center" vertical="center"/>
    </xf>
    <xf numFmtId="1" fontId="4" fillId="0" borderId="0" xfId="0" applyNumberFormat="1" applyFont="1" applyBorder="1" applyAlignment="1">
      <alignment horizontal="right"/>
    </xf>
    <xf numFmtId="1" fontId="5" fillId="0" borderId="0" xfId="0" applyNumberFormat="1" applyFont="1" applyBorder="1" applyAlignment="1">
      <alignment horizontal="left"/>
    </xf>
    <xf numFmtId="0" fontId="8" fillId="13" borderId="1" xfId="0" applyFont="1" applyFill="1" applyBorder="1" applyAlignment="1">
      <alignment vertical="center"/>
    </xf>
    <xf numFmtId="49" fontId="16" fillId="13" borderId="21" xfId="0" applyNumberFormat="1" applyFont="1" applyFill="1" applyBorder="1" applyAlignment="1">
      <alignment horizontal="center" vertical="center"/>
    </xf>
    <xf numFmtId="0" fontId="16" fillId="13" borderId="22" xfId="0" applyNumberFormat="1" applyFont="1" applyFill="1" applyBorder="1" applyAlignment="1">
      <alignment horizontal="center" vertical="center"/>
    </xf>
    <xf numFmtId="0" fontId="2" fillId="0" borderId="61" xfId="0" applyFont="1" applyFill="1" applyBorder="1" applyAlignment="1">
      <alignment horizontal="center" vertical="center"/>
    </xf>
    <xf numFmtId="164" fontId="5" fillId="0" borderId="75" xfId="0" applyNumberFormat="1" applyFont="1" applyBorder="1" applyAlignment="1">
      <alignment horizontal="center" vertical="center" shrinkToFit="1"/>
    </xf>
    <xf numFmtId="0" fontId="20" fillId="12" borderId="77" xfId="0" applyFont="1" applyFill="1" applyBorder="1" applyAlignment="1">
      <alignment horizontal="center" vertical="center"/>
    </xf>
    <xf numFmtId="0" fontId="2" fillId="0" borderId="0" xfId="0" applyFont="1" applyBorder="1" applyAlignment="1">
      <alignment vertical="center"/>
    </xf>
    <xf numFmtId="1" fontId="20" fillId="12" borderId="27" xfId="0" applyNumberFormat="1" applyFont="1" applyFill="1" applyBorder="1" applyAlignment="1">
      <alignment horizontal="center" vertical="center"/>
    </xf>
    <xf numFmtId="0" fontId="2" fillId="0" borderId="54" xfId="0" applyFont="1" applyFill="1" applyBorder="1" applyAlignment="1">
      <alignment horizontal="centerContinuous" vertical="center" shrinkToFit="1"/>
    </xf>
    <xf numFmtId="0" fontId="20" fillId="0" borderId="55" xfId="0" applyFont="1" applyFill="1" applyBorder="1" applyAlignment="1">
      <alignment horizontal="centerContinuous" vertical="center"/>
    </xf>
    <xf numFmtId="0" fontId="20" fillId="0" borderId="78" xfId="0" applyFont="1" applyFill="1" applyBorder="1" applyAlignment="1">
      <alignment horizontal="centerContinuous" vertical="center"/>
    </xf>
    <xf numFmtId="0" fontId="2" fillId="0" borderId="79"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56" xfId="0" applyFont="1" applyFill="1" applyBorder="1" applyAlignment="1">
      <alignment horizontal="centerContinuous" vertical="center"/>
    </xf>
    <xf numFmtId="1" fontId="2" fillId="0" borderId="80" xfId="0" applyNumberFormat="1" applyFont="1" applyFill="1" applyBorder="1" applyAlignment="1">
      <alignment horizontal="center" vertical="center"/>
    </xf>
    <xf numFmtId="0" fontId="2" fillId="0" borderId="81" xfId="0" applyFont="1" applyFill="1" applyBorder="1" applyAlignment="1">
      <alignment horizontal="centerContinuous" vertical="center" shrinkToFit="1"/>
    </xf>
    <xf numFmtId="0" fontId="20" fillId="0" borderId="82" xfId="0" applyFont="1" applyFill="1" applyBorder="1" applyAlignment="1">
      <alignment horizontal="centerContinuous" vertical="center"/>
    </xf>
    <xf numFmtId="0" fontId="20" fillId="0" borderId="83" xfId="0" applyFont="1" applyFill="1" applyBorder="1" applyAlignment="1">
      <alignment horizontal="centerContinuous" vertical="center"/>
    </xf>
    <xf numFmtId="0" fontId="2" fillId="0" borderId="37" xfId="0" applyFont="1" applyFill="1" applyBorder="1" applyAlignment="1">
      <alignment horizontal="center" vertical="center"/>
    </xf>
    <xf numFmtId="0" fontId="2" fillId="0" borderId="84" xfId="0" applyFont="1" applyFill="1" applyBorder="1" applyAlignment="1">
      <alignment horizontal="centerContinuous" vertical="center"/>
    </xf>
    <xf numFmtId="0" fontId="2" fillId="0" borderId="41" xfId="0" applyFont="1" applyFill="1" applyBorder="1" applyAlignment="1">
      <alignment horizontal="centerContinuous" vertical="center" shrinkToFit="1"/>
    </xf>
    <xf numFmtId="0" fontId="2" fillId="0" borderId="73" xfId="0" applyFont="1" applyFill="1" applyBorder="1" applyAlignment="1">
      <alignment horizontal="centerContinuous" vertical="center"/>
    </xf>
    <xf numFmtId="0" fontId="2" fillId="0" borderId="86" xfId="0" applyFont="1" applyFill="1" applyBorder="1" applyAlignment="1">
      <alignment horizontal="centerContinuous" vertical="center"/>
    </xf>
    <xf numFmtId="49" fontId="2" fillId="0" borderId="43" xfId="0" applyNumberFormat="1" applyFont="1" applyFill="1" applyBorder="1" applyAlignment="1">
      <alignment horizontal="center" vertical="center"/>
    </xf>
    <xf numFmtId="49" fontId="2" fillId="0" borderId="42" xfId="0" applyNumberFormat="1" applyFont="1" applyFill="1" applyBorder="1" applyAlignment="1">
      <alignment horizontal="center" vertical="center"/>
    </xf>
    <xf numFmtId="0" fontId="2" fillId="0" borderId="74" xfId="0" applyFont="1" applyFill="1" applyBorder="1" applyAlignment="1">
      <alignment horizontal="centerContinuous" vertical="center"/>
    </xf>
    <xf numFmtId="1" fontId="2" fillId="0" borderId="51" xfId="0" applyNumberFormat="1" applyFont="1" applyBorder="1" applyAlignment="1">
      <alignment horizontal="center" vertical="center"/>
    </xf>
    <xf numFmtId="164" fontId="20" fillId="3" borderId="27" xfId="0" applyNumberFormat="1" applyFont="1" applyFill="1" applyBorder="1" applyAlignment="1">
      <alignment horizontal="center" vertical="center"/>
    </xf>
    <xf numFmtId="1" fontId="2" fillId="0" borderId="32" xfId="0" applyNumberFormat="1" applyFont="1" applyBorder="1" applyAlignment="1">
      <alignment horizontal="center" vertical="center" shrinkToFit="1"/>
    </xf>
    <xf numFmtId="1" fontId="2" fillId="0" borderId="51" xfId="0" applyNumberFormat="1" applyFont="1" applyBorder="1" applyAlignment="1">
      <alignment horizontal="center" vertical="center" shrinkToFit="1"/>
    </xf>
    <xf numFmtId="0" fontId="2" fillId="0" borderId="61" xfId="0" applyFont="1" applyBorder="1" applyAlignment="1">
      <alignment horizontal="center" vertical="center" shrinkToFit="1"/>
    </xf>
    <xf numFmtId="0" fontId="7" fillId="0" borderId="29" xfId="0" applyFont="1" applyFill="1" applyBorder="1" applyAlignment="1">
      <alignment horizontal="center" vertical="center"/>
    </xf>
    <xf numFmtId="1" fontId="43" fillId="10" borderId="42" xfId="0" applyNumberFormat="1" applyFont="1" applyFill="1" applyBorder="1" applyAlignment="1">
      <alignment horizontal="center" vertical="center"/>
    </xf>
    <xf numFmtId="1" fontId="2" fillId="0" borderId="42" xfId="0" applyNumberFormat="1" applyFont="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Fill="1" applyBorder="1" applyAlignment="1">
      <alignment horizontal="center" vertical="center"/>
    </xf>
    <xf numFmtId="1" fontId="2" fillId="11" borderId="51" xfId="0" applyNumberFormat="1" applyFont="1" applyFill="1" applyBorder="1" applyAlignment="1">
      <alignment horizontal="center" vertical="center"/>
    </xf>
    <xf numFmtId="1" fontId="2" fillId="0" borderId="93" xfId="0" applyNumberFormat="1" applyFont="1" applyFill="1" applyBorder="1" applyAlignment="1">
      <alignment horizontal="center" vertical="center"/>
    </xf>
    <xf numFmtId="0" fontId="7" fillId="13" borderId="23" xfId="0" quotePrefix="1" applyNumberFormat="1" applyFont="1" applyFill="1" applyBorder="1" applyAlignment="1">
      <alignment horizontal="center" vertical="center"/>
    </xf>
    <xf numFmtId="0" fontId="7" fillId="6" borderId="23" xfId="0" quotePrefix="1" applyNumberFormat="1" applyFont="1" applyFill="1" applyBorder="1" applyAlignment="1">
      <alignment horizontal="center" vertical="center"/>
    </xf>
    <xf numFmtId="0" fontId="2" fillId="0" borderId="61" xfId="0" applyFont="1" applyBorder="1" applyAlignment="1">
      <alignment horizontal="center" vertical="center"/>
    </xf>
    <xf numFmtId="49" fontId="2" fillId="0" borderId="42" xfId="0" applyNumberFormat="1" applyFont="1" applyBorder="1" applyAlignment="1">
      <alignment horizontal="center" vertical="center"/>
    </xf>
    <xf numFmtId="164" fontId="5" fillId="0" borderId="42" xfId="0" applyNumberFormat="1" applyFont="1" applyBorder="1" applyAlignment="1">
      <alignment horizontal="center" vertical="center"/>
    </xf>
    <xf numFmtId="0" fontId="2" fillId="0" borderId="44" xfId="0" applyFont="1" applyBorder="1" applyAlignment="1">
      <alignment horizontal="center" vertical="center"/>
    </xf>
    <xf numFmtId="0" fontId="2" fillId="0" borderId="83" xfId="0" applyFont="1" applyBorder="1" applyAlignment="1">
      <alignment horizontal="center" vertical="center" shrinkToFit="1"/>
    </xf>
    <xf numFmtId="0" fontId="5" fillId="0" borderId="83" xfId="0" applyFont="1" applyBorder="1" applyAlignment="1">
      <alignment horizontal="center" vertical="center" shrinkToFit="1"/>
    </xf>
    <xf numFmtId="0" fontId="2" fillId="0" borderId="86" xfId="0" applyFont="1" applyBorder="1" applyAlignment="1">
      <alignment horizontal="center" vertical="center" shrinkToFit="1"/>
    </xf>
    <xf numFmtId="1" fontId="7" fillId="0" borderId="22" xfId="0" applyNumberFormat="1" applyFont="1" applyFill="1" applyBorder="1" applyAlignment="1">
      <alignment horizontal="center" vertical="center"/>
    </xf>
    <xf numFmtId="0" fontId="2" fillId="0" borderId="54" xfId="0" applyFont="1" applyFill="1" applyBorder="1" applyAlignment="1">
      <alignment horizontal="centerContinuous" vertical="center"/>
    </xf>
    <xf numFmtId="0" fontId="6" fillId="4" borderId="96" xfId="0" applyFont="1" applyFill="1" applyBorder="1" applyAlignment="1">
      <alignment horizontal="right" vertical="center"/>
    </xf>
    <xf numFmtId="1" fontId="2" fillId="0" borderId="97" xfId="0" applyNumberFormat="1" applyFont="1" applyBorder="1" applyAlignment="1">
      <alignment horizontal="centerContinuous" vertical="center"/>
    </xf>
    <xf numFmtId="0" fontId="21" fillId="13" borderId="1" xfId="0" applyFont="1" applyFill="1" applyBorder="1" applyAlignment="1">
      <alignment vertical="center"/>
    </xf>
    <xf numFmtId="49" fontId="27" fillId="13" borderId="21" xfId="0" applyNumberFormat="1" applyFont="1" applyFill="1" applyBorder="1" applyAlignment="1">
      <alignment horizontal="center" vertical="center"/>
    </xf>
    <xf numFmtId="0" fontId="27" fillId="13" borderId="22" xfId="0" applyNumberFormat="1" applyFont="1" applyFill="1" applyBorder="1" applyAlignment="1">
      <alignment horizontal="center" vertical="center"/>
    </xf>
    <xf numFmtId="0" fontId="7" fillId="0" borderId="99" xfId="0" applyFont="1" applyFill="1" applyBorder="1" applyAlignment="1">
      <alignment horizontal="centerContinuous" vertical="center"/>
    </xf>
    <xf numFmtId="0" fontId="5" fillId="0" borderId="100" xfId="0" applyFont="1" applyBorder="1" applyAlignment="1">
      <alignment horizontal="center" vertical="center" shrinkToFit="1"/>
    </xf>
    <xf numFmtId="0" fontId="5" fillId="0" borderId="75" xfId="0" applyFont="1" applyBorder="1" applyAlignment="1">
      <alignment horizontal="left" vertical="center"/>
    </xf>
    <xf numFmtId="1" fontId="2" fillId="0" borderId="85" xfId="0" applyNumberFormat="1" applyFont="1" applyBorder="1" applyAlignment="1">
      <alignment horizontal="center" vertical="center" shrinkToFit="1"/>
    </xf>
    <xf numFmtId="0" fontId="2" fillId="0" borderId="91" xfId="0" applyFont="1" applyBorder="1" applyAlignment="1">
      <alignment horizontal="center" vertical="center" shrinkToFit="1"/>
    </xf>
    <xf numFmtId="0" fontId="47" fillId="0" borderId="27" xfId="0" applyFont="1" applyBorder="1" applyAlignment="1">
      <alignment horizontal="centerContinuous" vertical="center"/>
    </xf>
    <xf numFmtId="0" fontId="48" fillId="0" borderId="27" xfId="0" applyFont="1" applyBorder="1" applyAlignment="1">
      <alignment horizontal="centerContinuous" vertical="center"/>
    </xf>
    <xf numFmtId="0" fontId="49" fillId="0" borderId="27" xfId="0" applyFont="1" applyBorder="1" applyAlignment="1">
      <alignment horizontal="centerContinuous" vertical="center" wrapText="1"/>
    </xf>
    <xf numFmtId="0" fontId="13" fillId="14" borderId="1" xfId="0" applyFont="1" applyFill="1" applyBorder="1" applyAlignment="1">
      <alignment vertical="center"/>
    </xf>
    <xf numFmtId="0" fontId="7" fillId="14" borderId="21" xfId="0" applyNumberFormat="1" applyFont="1" applyFill="1" applyBorder="1" applyAlignment="1">
      <alignment horizontal="center" vertical="center"/>
    </xf>
    <xf numFmtId="49" fontId="22" fillId="14" borderId="21" xfId="0" applyNumberFormat="1" applyFont="1" applyFill="1" applyBorder="1" applyAlignment="1">
      <alignment horizontal="center" vertical="center"/>
    </xf>
    <xf numFmtId="0" fontId="22" fillId="14" borderId="22" xfId="0" applyNumberFormat="1" applyFont="1" applyFill="1" applyBorder="1" applyAlignment="1">
      <alignment horizontal="center" vertical="center"/>
    </xf>
    <xf numFmtId="0" fontId="13" fillId="14" borderId="22" xfId="0" applyNumberFormat="1" applyFont="1" applyFill="1" applyBorder="1" applyAlignment="1">
      <alignment horizontal="center" vertical="center"/>
    </xf>
    <xf numFmtId="49" fontId="7" fillId="14" borderId="22" xfId="0" applyNumberFormat="1" applyFont="1" applyFill="1" applyBorder="1" applyAlignment="1">
      <alignment horizontal="center" vertical="center"/>
    </xf>
    <xf numFmtId="0" fontId="9" fillId="13" borderId="1" xfId="0" applyFont="1" applyFill="1" applyBorder="1" applyAlignment="1">
      <alignment vertical="center"/>
    </xf>
    <xf numFmtId="49" fontId="26" fillId="13" borderId="21" xfId="0" applyNumberFormat="1" applyFont="1" applyFill="1" applyBorder="1" applyAlignment="1">
      <alignment horizontal="center" vertical="center"/>
    </xf>
    <xf numFmtId="0" fontId="26" fillId="13" borderId="22" xfId="0" applyNumberFormat="1" applyFont="1" applyFill="1" applyBorder="1" applyAlignment="1">
      <alignment horizontal="center" vertical="center"/>
    </xf>
    <xf numFmtId="0" fontId="6" fillId="4" borderId="98" xfId="0" applyFont="1" applyFill="1" applyBorder="1" applyAlignment="1">
      <alignment horizontal="right" vertical="center"/>
    </xf>
    <xf numFmtId="3" fontId="7" fillId="0" borderId="25" xfId="0" applyNumberFormat="1" applyFont="1" applyFill="1" applyBorder="1" applyAlignment="1">
      <alignment horizontal="center" vertical="center"/>
    </xf>
    <xf numFmtId="49" fontId="25" fillId="0" borderId="20" xfId="0" applyNumberFormat="1" applyFont="1" applyFill="1" applyBorder="1" applyAlignment="1">
      <alignment horizontal="center" vertical="center"/>
    </xf>
    <xf numFmtId="0" fontId="7" fillId="0" borderId="67" xfId="0" applyNumberFormat="1" applyFont="1" applyBorder="1" applyAlignment="1">
      <alignment horizontal="center" vertical="center"/>
    </xf>
    <xf numFmtId="0" fontId="50" fillId="2" borderId="65" xfId="0" applyFont="1" applyFill="1" applyBorder="1" applyAlignment="1">
      <alignment horizontal="right" vertical="center"/>
    </xf>
    <xf numFmtId="0" fontId="50" fillId="2" borderId="63" xfId="0" applyFont="1" applyFill="1" applyBorder="1" applyAlignment="1">
      <alignment horizontal="left" vertical="center"/>
    </xf>
    <xf numFmtId="0" fontId="2" fillId="0" borderId="42" xfId="0" quotePrefix="1" applyFont="1" applyFill="1" applyBorder="1" applyAlignment="1">
      <alignment horizontal="left" vertical="center"/>
    </xf>
    <xf numFmtId="1" fontId="7" fillId="0" borderId="24" xfId="0" applyNumberFormat="1" applyFont="1" applyFill="1" applyBorder="1" applyAlignment="1">
      <alignment horizontal="center" vertical="center"/>
    </xf>
    <xf numFmtId="1" fontId="7" fillId="0" borderId="25" xfId="0" applyNumberFormat="1" applyFont="1" applyFill="1" applyBorder="1" applyAlignment="1">
      <alignment horizontal="center" vertical="center"/>
    </xf>
    <xf numFmtId="0" fontId="2" fillId="0" borderId="94" xfId="0" applyFont="1" applyFill="1" applyBorder="1" applyAlignment="1">
      <alignment horizontal="centerContinuous" vertical="center" shrinkToFit="1"/>
    </xf>
    <xf numFmtId="0" fontId="20" fillId="0" borderId="95" xfId="0" applyFont="1" applyFill="1" applyBorder="1" applyAlignment="1">
      <alignment horizontal="centerContinuous" vertical="center"/>
    </xf>
    <xf numFmtId="0" fontId="20" fillId="0" borderId="102" xfId="0" applyFont="1" applyFill="1" applyBorder="1" applyAlignment="1">
      <alignment horizontal="centerContinuous" vertical="center"/>
    </xf>
    <xf numFmtId="0" fontId="2" fillId="0" borderId="103" xfId="0" applyFont="1" applyFill="1" applyBorder="1" applyAlignment="1">
      <alignment horizontal="center" vertical="center"/>
    </xf>
    <xf numFmtId="0" fontId="2" fillId="0" borderId="101" xfId="0" applyFont="1" applyFill="1" applyBorder="1" applyAlignment="1">
      <alignment horizontal="centerContinuous" vertical="center"/>
    </xf>
    <xf numFmtId="1" fontId="7" fillId="0" borderId="20" xfId="0" applyNumberFormat="1" applyFont="1" applyFill="1" applyBorder="1" applyAlignment="1">
      <alignment horizontal="centerContinuous" vertical="center"/>
    </xf>
    <xf numFmtId="0" fontId="7" fillId="0" borderId="3" xfId="0" quotePrefix="1" applyFont="1" applyFill="1" applyBorder="1" applyAlignment="1">
      <alignment horizontal="center" vertical="center"/>
    </xf>
    <xf numFmtId="0" fontId="7" fillId="0" borderId="20" xfId="0" quotePrefix="1" applyFont="1" applyFill="1" applyBorder="1" applyAlignment="1">
      <alignment horizontal="center" vertical="center"/>
    </xf>
    <xf numFmtId="0" fontId="2" fillId="0" borderId="59" xfId="0" applyFont="1" applyBorder="1" applyAlignment="1">
      <alignment horizontal="center" vertical="center" shrinkToFit="1"/>
    </xf>
    <xf numFmtId="0" fontId="2" fillId="0" borderId="60" xfId="0" applyFont="1" applyFill="1" applyBorder="1" applyAlignment="1">
      <alignment horizontal="center" vertical="center"/>
    </xf>
    <xf numFmtId="0" fontId="2" fillId="0" borderId="36" xfId="0" quotePrefix="1" applyFont="1" applyFill="1" applyBorder="1" applyAlignment="1">
      <alignment horizontal="center" vertical="center" wrapText="1"/>
    </xf>
    <xf numFmtId="49" fontId="2" fillId="0" borderId="36" xfId="2" applyNumberFormat="1" applyFont="1" applyFill="1" applyBorder="1" applyAlignment="1">
      <alignment horizontal="center" vertical="center"/>
    </xf>
    <xf numFmtId="0" fontId="2" fillId="0" borderId="36" xfId="0" applyFont="1" applyFill="1" applyBorder="1" applyAlignment="1">
      <alignment horizontal="center" vertical="center" shrinkToFit="1"/>
    </xf>
    <xf numFmtId="164" fontId="5" fillId="0" borderId="36" xfId="0" applyNumberFormat="1" applyFont="1" applyFill="1" applyBorder="1" applyAlignment="1">
      <alignment horizontal="center" vertical="center"/>
    </xf>
    <xf numFmtId="164" fontId="5" fillId="0" borderId="36" xfId="0" applyNumberFormat="1" applyFont="1" applyBorder="1" applyAlignment="1">
      <alignment horizontal="center" vertical="center"/>
    </xf>
    <xf numFmtId="1" fontId="43" fillId="10" borderId="36" xfId="0" applyNumberFormat="1" applyFont="1" applyFill="1" applyBorder="1" applyAlignment="1">
      <alignment horizontal="center" vertical="center"/>
    </xf>
    <xf numFmtId="1" fontId="2" fillId="0" borderId="36" xfId="0" applyNumberFormat="1" applyFont="1" applyBorder="1" applyAlignment="1">
      <alignment horizontal="center" vertical="center"/>
    </xf>
    <xf numFmtId="0" fontId="2" fillId="0" borderId="38" xfId="0" applyFont="1" applyFill="1" applyBorder="1" applyAlignment="1">
      <alignment horizontal="center" vertical="center"/>
    </xf>
    <xf numFmtId="1" fontId="2" fillId="0" borderId="92" xfId="0" applyNumberFormat="1" applyFont="1" applyFill="1" applyBorder="1" applyAlignment="1">
      <alignment horizontal="center" vertical="center"/>
    </xf>
    <xf numFmtId="49" fontId="2" fillId="0" borderId="89" xfId="0" applyNumberFormat="1" applyFont="1" applyFill="1" applyBorder="1" applyAlignment="1">
      <alignment horizontal="center" vertical="center"/>
    </xf>
    <xf numFmtId="164" fontId="2" fillId="0" borderId="89" xfId="0" applyNumberFormat="1" applyFont="1" applyFill="1" applyBorder="1" applyAlignment="1">
      <alignment horizontal="center" vertical="center"/>
    </xf>
    <xf numFmtId="164" fontId="5" fillId="0" borderId="89" xfId="0" applyNumberFormat="1" applyFont="1" applyFill="1" applyBorder="1" applyAlignment="1">
      <alignment horizontal="center" vertical="center"/>
    </xf>
    <xf numFmtId="0" fontId="5" fillId="0" borderId="90" xfId="0" applyFont="1" applyFill="1" applyBorder="1" applyAlignment="1">
      <alignment horizontal="center" vertical="center"/>
    </xf>
    <xf numFmtId="0" fontId="2" fillId="0" borderId="104" xfId="0" applyFont="1" applyBorder="1" applyAlignment="1">
      <alignment horizontal="center" vertical="center"/>
    </xf>
    <xf numFmtId="0" fontId="2" fillId="0" borderId="68" xfId="0" applyFont="1" applyBorder="1" applyAlignment="1">
      <alignment horizontal="center" vertical="center"/>
    </xf>
    <xf numFmtId="0" fontId="2" fillId="0" borderId="68" xfId="0" quotePrefix="1" applyFont="1" applyBorder="1" applyAlignment="1">
      <alignment horizontal="center" vertical="center"/>
    </xf>
    <xf numFmtId="9" fontId="2" fillId="0" borderId="68" xfId="0" applyNumberFormat="1" applyFont="1" applyBorder="1" applyAlignment="1">
      <alignment horizontal="center" vertical="center"/>
    </xf>
    <xf numFmtId="164" fontId="2" fillId="0" borderId="68" xfId="0" applyNumberFormat="1" applyFont="1" applyFill="1" applyBorder="1" applyAlignment="1">
      <alignment horizontal="center" vertical="center"/>
    </xf>
    <xf numFmtId="164" fontId="2" fillId="0" borderId="69" xfId="0" applyNumberFormat="1" applyFont="1" applyFill="1" applyBorder="1" applyAlignment="1">
      <alignment horizontal="centerContinuous" vertical="center"/>
    </xf>
    <xf numFmtId="0" fontId="5" fillId="0" borderId="56" xfId="0" quotePrefix="1" applyFont="1" applyFill="1" applyBorder="1" applyAlignment="1">
      <alignment horizontal="centerContinuous" vertical="center"/>
    </xf>
    <xf numFmtId="0" fontId="2" fillId="0" borderId="105" xfId="0" applyFont="1" applyBorder="1" applyAlignment="1">
      <alignment horizontal="center" vertical="center"/>
    </xf>
    <xf numFmtId="0" fontId="5" fillId="0" borderId="71" xfId="0" applyFont="1" applyBorder="1" applyAlignment="1">
      <alignment horizontal="center" vertical="center"/>
    </xf>
    <xf numFmtId="0" fontId="2" fillId="0" borderId="71" xfId="0" applyFont="1" applyBorder="1" applyAlignment="1">
      <alignment horizontal="center" vertical="center"/>
    </xf>
    <xf numFmtId="164" fontId="2" fillId="0" borderId="70" xfId="0" applyNumberFormat="1" applyFont="1" applyBorder="1" applyAlignment="1">
      <alignment horizontal="centerContinuous" vertical="center"/>
    </xf>
    <xf numFmtId="0" fontId="5" fillId="0" borderId="74" xfId="0" applyFont="1" applyBorder="1" applyAlignment="1">
      <alignment horizontal="centerContinuous" vertical="center"/>
    </xf>
    <xf numFmtId="0" fontId="37" fillId="0" borderId="1" xfId="0" applyFont="1" applyFill="1" applyBorder="1" applyAlignment="1">
      <alignment vertical="center"/>
    </xf>
    <xf numFmtId="0" fontId="38" fillId="0" borderId="28" xfId="0" applyFont="1" applyFill="1" applyBorder="1" applyAlignment="1">
      <alignment vertical="center"/>
    </xf>
    <xf numFmtId="49" fontId="15" fillId="0" borderId="30" xfId="0" applyNumberFormat="1" applyFont="1" applyBorder="1" applyAlignment="1">
      <alignment horizontal="center" shrinkToFit="1"/>
    </xf>
    <xf numFmtId="0" fontId="12" fillId="11" borderId="1" xfId="0" applyFont="1" applyFill="1" applyBorder="1" applyAlignment="1">
      <alignment vertical="center"/>
    </xf>
    <xf numFmtId="0" fontId="7" fillId="11" borderId="21" xfId="0" applyNumberFormat="1" applyFont="1" applyFill="1" applyBorder="1" applyAlignment="1">
      <alignment horizontal="center" vertical="center"/>
    </xf>
    <xf numFmtId="49" fontId="23" fillId="11" borderId="21" xfId="0" applyNumberFormat="1" applyFont="1" applyFill="1" applyBorder="1" applyAlignment="1">
      <alignment horizontal="center" vertical="center"/>
    </xf>
    <xf numFmtId="0" fontId="23" fillId="11" borderId="22" xfId="0" applyNumberFormat="1" applyFont="1" applyFill="1" applyBorder="1" applyAlignment="1">
      <alignment horizontal="center" vertical="center"/>
    </xf>
    <xf numFmtId="0" fontId="12" fillId="11" borderId="22" xfId="0" applyNumberFormat="1" applyFont="1" applyFill="1" applyBorder="1" applyAlignment="1">
      <alignment horizontal="center" vertical="center"/>
    </xf>
    <xf numFmtId="49" fontId="7" fillId="11" borderId="22" xfId="0" applyNumberFormat="1" applyFont="1" applyFill="1" applyBorder="1" applyAlignment="1">
      <alignment horizontal="center" vertical="center"/>
    </xf>
    <xf numFmtId="0" fontId="7" fillId="11" borderId="23" xfId="0" quotePrefix="1" applyNumberFormat="1" applyFont="1" applyFill="1" applyBorder="1" applyAlignment="1">
      <alignment horizontal="center" vertical="center"/>
    </xf>
    <xf numFmtId="1" fontId="7" fillId="13" borderId="22" xfId="0" applyNumberFormat="1" applyFont="1" applyFill="1" applyBorder="1" applyAlignment="1">
      <alignment horizontal="center" vertical="center"/>
    </xf>
    <xf numFmtId="0" fontId="12" fillId="13" borderId="1" xfId="0" applyFont="1" applyFill="1" applyBorder="1" applyAlignment="1">
      <alignment vertical="center"/>
    </xf>
    <xf numFmtId="49" fontId="23" fillId="13" borderId="21" xfId="0" applyNumberFormat="1" applyFont="1" applyFill="1" applyBorder="1" applyAlignment="1">
      <alignment horizontal="center" vertical="center"/>
    </xf>
    <xf numFmtId="0" fontId="23" fillId="13" borderId="22" xfId="0" applyNumberFormat="1" applyFont="1" applyFill="1" applyBorder="1" applyAlignment="1">
      <alignment horizontal="center" vertical="center"/>
    </xf>
    <xf numFmtId="0" fontId="21" fillId="13" borderId="22" xfId="0" applyNumberFormat="1" applyFont="1" applyFill="1" applyBorder="1" applyAlignment="1">
      <alignment horizontal="center" vertical="center"/>
    </xf>
    <xf numFmtId="0" fontId="12" fillId="13" borderId="5" xfId="0" applyFont="1" applyFill="1" applyBorder="1" applyAlignment="1">
      <alignment vertical="center"/>
    </xf>
    <xf numFmtId="0" fontId="7" fillId="13" borderId="47" xfId="0" applyNumberFormat="1" applyFont="1" applyFill="1" applyBorder="1" applyAlignment="1">
      <alignment horizontal="center" vertical="center"/>
    </xf>
    <xf numFmtId="49" fontId="23" fillId="13" borderId="47" xfId="0" applyNumberFormat="1" applyFont="1" applyFill="1" applyBorder="1" applyAlignment="1">
      <alignment horizontal="center" vertical="center"/>
    </xf>
    <xf numFmtId="0" fontId="23" fillId="13" borderId="48" xfId="0" applyNumberFormat="1" applyFont="1" applyFill="1" applyBorder="1" applyAlignment="1">
      <alignment horizontal="center" vertical="center"/>
    </xf>
    <xf numFmtId="49" fontId="7" fillId="13" borderId="48" xfId="0" applyNumberFormat="1" applyFont="1" applyFill="1" applyBorder="1" applyAlignment="1">
      <alignment horizontal="center" vertical="center"/>
    </xf>
    <xf numFmtId="0" fontId="7" fillId="13" borderId="31" xfId="0" applyNumberFormat="1" applyFont="1" applyFill="1" applyBorder="1" applyAlignment="1">
      <alignment horizontal="center" vertical="center"/>
    </xf>
    <xf numFmtId="0" fontId="11" fillId="3" borderId="17" xfId="0" applyFont="1" applyFill="1" applyBorder="1" applyAlignment="1">
      <alignment horizontal="centerContinuous" vertical="center"/>
    </xf>
    <xf numFmtId="0" fontId="11" fillId="3" borderId="18" xfId="0" applyFont="1" applyFill="1" applyBorder="1" applyAlignment="1">
      <alignment horizontal="center" vertical="center"/>
    </xf>
    <xf numFmtId="0" fontId="11" fillId="3" borderId="18" xfId="0" applyNumberFormat="1" applyFont="1" applyFill="1" applyBorder="1" applyAlignment="1">
      <alignment horizontal="center" vertical="center"/>
    </xf>
    <xf numFmtId="0" fontId="41" fillId="10" borderId="33" xfId="0" applyNumberFormat="1" applyFont="1" applyFill="1" applyBorder="1" applyAlignment="1">
      <alignment horizontal="center" vertical="center"/>
    </xf>
    <xf numFmtId="0" fontId="11" fillId="3" borderId="34" xfId="0" applyNumberFormat="1" applyFont="1" applyFill="1" applyBorder="1" applyAlignment="1">
      <alignment horizontal="center" vertical="center"/>
    </xf>
    <xf numFmtId="0" fontId="11" fillId="3" borderId="66" xfId="0" applyFont="1" applyFill="1" applyBorder="1" applyAlignment="1">
      <alignment horizontal="center" vertical="center"/>
    </xf>
    <xf numFmtId="0" fontId="4" fillId="0" borderId="0" xfId="0" applyFont="1" applyBorder="1" applyAlignment="1">
      <alignment vertical="center"/>
    </xf>
    <xf numFmtId="49" fontId="7" fillId="0" borderId="46" xfId="0" applyNumberFormat="1" applyFont="1" applyFill="1" applyBorder="1" applyAlignment="1">
      <alignment horizontal="center" vertical="center"/>
    </xf>
    <xf numFmtId="49" fontId="7" fillId="13" borderId="21" xfId="0" applyNumberFormat="1" applyFont="1" applyFill="1" applyBorder="1" applyAlignment="1">
      <alignment horizontal="center" vertical="center"/>
    </xf>
    <xf numFmtId="2" fontId="2" fillId="0" borderId="32" xfId="0" applyNumberFormat="1" applyFont="1" applyBorder="1" applyAlignment="1">
      <alignment horizontal="center" vertical="center" shrinkToFit="1"/>
    </xf>
    <xf numFmtId="2" fontId="2" fillId="0" borderId="85" xfId="0" applyNumberFormat="1" applyFont="1" applyBorder="1" applyAlignment="1">
      <alignment horizontal="center" vertical="center" shrinkToFit="1"/>
    </xf>
    <xf numFmtId="0" fontId="6" fillId="11" borderId="1" xfId="0" applyFont="1" applyFill="1" applyBorder="1" applyAlignment="1">
      <alignment horizontal="right" vertical="center"/>
    </xf>
    <xf numFmtId="0" fontId="7" fillId="11" borderId="0" xfId="0" applyFont="1" applyFill="1" applyBorder="1" applyAlignment="1">
      <alignment horizontal="centerContinuous" vertical="center"/>
    </xf>
    <xf numFmtId="0" fontId="6" fillId="11" borderId="0" xfId="0" applyFont="1" applyFill="1" applyBorder="1" applyAlignment="1">
      <alignment horizontal="right" vertical="center"/>
    </xf>
    <xf numFmtId="0" fontId="7" fillId="11" borderId="0" xfId="0"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8"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8" applyAlignment="1">
      <alignment horizontal="center" vertical="center"/>
    </xf>
    <xf numFmtId="1" fontId="2" fillId="0" borderId="0" xfId="6" applyNumberFormat="1" applyAlignment="1">
      <alignment horizontal="center" vertical="center"/>
    </xf>
    <xf numFmtId="0" fontId="2" fillId="0" borderId="0" xfId="6" applyAlignment="1">
      <alignment vertical="center"/>
    </xf>
    <xf numFmtId="1" fontId="2" fillId="0" borderId="106" xfId="6" applyNumberFormat="1" applyBorder="1" applyAlignment="1">
      <alignment horizontal="center" vertical="center"/>
    </xf>
    <xf numFmtId="0" fontId="4" fillId="0" borderId="0" xfId="6" applyFont="1" applyAlignment="1">
      <alignment vertical="center"/>
    </xf>
    <xf numFmtId="1" fontId="4" fillId="0" borderId="0" xfId="6"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7" fillId="0" borderId="93" xfId="0" applyFont="1" applyBorder="1" applyAlignment="1">
      <alignment horizontal="centerContinuous" vertical="center"/>
    </xf>
    <xf numFmtId="0" fontId="14" fillId="0" borderId="0" xfId="0" applyFont="1" applyAlignment="1">
      <alignment horizontal="centerContinuous" vertical="center" wrapText="1"/>
    </xf>
    <xf numFmtId="0" fontId="11" fillId="9" borderId="107" xfId="0" applyFont="1" applyFill="1" applyBorder="1" applyAlignment="1">
      <alignment horizontal="centerContinuous" vertical="center" wrapText="1"/>
    </xf>
    <xf numFmtId="0" fontId="11" fillId="9" borderId="108" xfId="0" applyFont="1" applyFill="1" applyBorder="1" applyAlignment="1">
      <alignment horizontal="center" vertical="center" wrapText="1"/>
    </xf>
    <xf numFmtId="0" fontId="7" fillId="0" borderId="109" xfId="0" applyFont="1" applyBorder="1" applyAlignment="1">
      <alignment horizontal="center" vertical="center"/>
    </xf>
    <xf numFmtId="0" fontId="7" fillId="0" borderId="110" xfId="0" applyFont="1" applyBorder="1" applyAlignment="1">
      <alignment horizontal="center" vertical="center"/>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7" fillId="0" borderId="5" xfId="0" applyFont="1" applyBorder="1" applyAlignment="1">
      <alignment horizontal="center" vertical="center"/>
    </xf>
    <xf numFmtId="0" fontId="7" fillId="0" borderId="47" xfId="0" applyFont="1" applyBorder="1" applyAlignment="1">
      <alignment horizontal="center" vertical="center"/>
    </xf>
    <xf numFmtId="0" fontId="5" fillId="0" borderId="1" xfId="0" applyFont="1" applyBorder="1" applyAlignment="1">
      <alignment vertical="center" wrapText="1"/>
    </xf>
    <xf numFmtId="0" fontId="51" fillId="0" borderId="0" xfId="0" applyFont="1" applyBorder="1" applyAlignment="1">
      <alignment horizontal="centerContinuous" vertical="center" wrapText="1"/>
    </xf>
    <xf numFmtId="0" fontId="52" fillId="0" borderId="0" xfId="0" applyFont="1" applyAlignment="1">
      <alignment horizontal="centerContinuous"/>
    </xf>
    <xf numFmtId="1" fontId="2" fillId="0" borderId="42" xfId="0" applyNumberFormat="1" applyFont="1" applyBorder="1" applyAlignment="1">
      <alignment horizontal="center" vertical="center" shrinkToFit="1"/>
    </xf>
    <xf numFmtId="164" fontId="2" fillId="0" borderId="42" xfId="0" applyNumberFormat="1" applyFont="1" applyBorder="1" applyAlignment="1">
      <alignment horizontal="center" vertical="center" shrinkToFit="1"/>
    </xf>
    <xf numFmtId="0" fontId="2" fillId="0" borderId="43" xfId="0" applyFont="1" applyBorder="1" applyAlignment="1">
      <alignment horizontal="left" vertical="center"/>
    </xf>
    <xf numFmtId="0" fontId="2" fillId="0" borderId="44" xfId="0" applyFont="1" applyBorder="1" applyAlignment="1">
      <alignment horizontal="left" vertical="center" shrinkToFit="1"/>
    </xf>
    <xf numFmtId="9" fontId="2" fillId="0" borderId="0" xfId="2" applyFont="1" applyBorder="1" applyAlignment="1">
      <alignment horizontal="center" vertical="center"/>
    </xf>
    <xf numFmtId="164" fontId="2" fillId="0" borderId="0" xfId="0" applyNumberFormat="1" applyFont="1" applyAlignment="1">
      <alignment horizontal="center" vertical="center"/>
    </xf>
    <xf numFmtId="164" fontId="5" fillId="0" borderId="45" xfId="0" applyNumberFormat="1" applyFont="1" applyBorder="1" applyAlignment="1">
      <alignment horizontal="center" vertical="center" shrinkToFit="1"/>
    </xf>
    <xf numFmtId="0" fontId="5" fillId="0" borderId="45" xfId="0" applyFont="1" applyBorder="1" applyAlignment="1">
      <alignment horizontal="left" vertical="center"/>
    </xf>
    <xf numFmtId="0" fontId="5" fillId="0" borderId="111" xfId="0" applyFont="1" applyBorder="1" applyAlignment="1">
      <alignment horizontal="left" vertical="center" shrinkToFit="1"/>
    </xf>
    <xf numFmtId="0" fontId="5" fillId="0" borderId="45" xfId="0" applyFont="1" applyBorder="1" applyAlignment="1">
      <alignment horizontal="center" vertical="center" shrinkToFit="1"/>
    </xf>
    <xf numFmtId="0" fontId="5" fillId="0" borderId="36" xfId="0" applyFont="1" applyBorder="1" applyAlignment="1">
      <alignment horizontal="center" vertical="center" shrinkToFit="1"/>
    </xf>
    <xf numFmtId="1" fontId="2" fillId="11" borderId="0" xfId="0" applyNumberFormat="1" applyFont="1" applyFill="1" applyBorder="1" applyAlignment="1">
      <alignment horizontal="center" vertical="center"/>
    </xf>
    <xf numFmtId="0" fontId="2" fillId="0" borderId="37" xfId="0" applyFont="1" applyBorder="1" applyAlignment="1">
      <alignment horizontal="left" vertical="center"/>
    </xf>
    <xf numFmtId="9" fontId="2" fillId="0" borderId="71" xfId="0" applyNumberFormat="1" applyFont="1" applyBorder="1" applyAlignment="1">
      <alignment horizontal="center" vertical="center"/>
    </xf>
    <xf numFmtId="164" fontId="2" fillId="0" borderId="71" xfId="0" applyNumberFormat="1" applyFont="1" applyBorder="1" applyAlignment="1">
      <alignment horizontal="center" vertical="center"/>
    </xf>
    <xf numFmtId="165" fontId="2" fillId="0" borderId="0" xfId="0" applyNumberFormat="1" applyFont="1" applyAlignment="1">
      <alignment horizontal="center" vertical="center"/>
    </xf>
    <xf numFmtId="0" fontId="5" fillId="0" borderId="0" xfId="0" applyFont="1" applyBorder="1" applyAlignment="1">
      <alignment horizontal="center" vertical="center" wrapText="1"/>
    </xf>
    <xf numFmtId="0" fontId="2" fillId="0" borderId="75" xfId="0" applyFont="1" applyBorder="1" applyAlignment="1">
      <alignment horizontal="left" vertical="center"/>
    </xf>
    <xf numFmtId="0" fontId="2" fillId="0" borderId="89" xfId="0" applyNumberFormat="1" applyFont="1" applyFill="1" applyBorder="1" applyAlignment="1">
      <alignment horizontal="center" vertical="center"/>
    </xf>
    <xf numFmtId="0" fontId="2" fillId="0" borderId="42" xfId="0" applyNumberFormat="1" applyFont="1" applyBorder="1" applyAlignment="1">
      <alignment horizontal="center" vertical="center"/>
    </xf>
    <xf numFmtId="0" fontId="21" fillId="0" borderId="1" xfId="0" applyFont="1" applyFill="1" applyBorder="1" applyAlignment="1">
      <alignment vertical="center"/>
    </xf>
    <xf numFmtId="49" fontId="27" fillId="0" borderId="21" xfId="0" applyNumberFormat="1" applyFont="1" applyFill="1" applyBorder="1" applyAlignment="1">
      <alignment horizontal="center" vertical="center"/>
    </xf>
    <xf numFmtId="0" fontId="27" fillId="0" borderId="22" xfId="0" applyNumberFormat="1" applyFont="1" applyFill="1" applyBorder="1" applyAlignment="1">
      <alignment horizontal="center" vertical="center"/>
    </xf>
    <xf numFmtId="164" fontId="2" fillId="0" borderId="42" xfId="0" applyNumberFormat="1" applyFont="1" applyBorder="1" applyAlignment="1">
      <alignment horizontal="center" vertical="center"/>
    </xf>
    <xf numFmtId="0" fontId="2" fillId="0" borderId="88" xfId="0" applyFont="1" applyBorder="1" applyAlignment="1">
      <alignment horizontal="center" vertical="center" shrinkToFit="1"/>
    </xf>
    <xf numFmtId="164" fontId="2" fillId="0" borderId="36" xfId="0" applyNumberFormat="1" applyFont="1" applyFill="1" applyBorder="1" applyAlignment="1">
      <alignment horizontal="center" vertical="center"/>
    </xf>
    <xf numFmtId="1" fontId="2" fillId="0" borderId="36" xfId="0" applyNumberFormat="1" applyFont="1" applyFill="1" applyBorder="1" applyAlignment="1">
      <alignment horizontal="center" vertical="center"/>
    </xf>
    <xf numFmtId="0" fontId="5" fillId="0" borderId="0" xfId="0" applyFont="1" applyFill="1" applyBorder="1" applyAlignment="1">
      <alignment vertical="center"/>
    </xf>
    <xf numFmtId="0" fontId="11" fillId="9" borderId="112" xfId="0" applyFont="1" applyFill="1" applyBorder="1" applyAlignment="1">
      <alignment horizontal="center" vertical="center" wrapText="1"/>
    </xf>
    <xf numFmtId="49" fontId="7" fillId="0" borderId="113"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7" fillId="0" borderId="31" xfId="0" applyNumberFormat="1" applyFont="1" applyBorder="1" applyAlignment="1">
      <alignment horizontal="center" vertical="center"/>
    </xf>
    <xf numFmtId="49" fontId="2" fillId="0" borderId="70" xfId="0" applyNumberFormat="1" applyFont="1" applyFill="1" applyBorder="1" applyAlignment="1">
      <alignment horizontal="center" vertical="center"/>
    </xf>
    <xf numFmtId="0" fontId="2" fillId="0" borderId="36" xfId="0" applyNumberFormat="1" applyFont="1" applyFill="1" applyBorder="1" applyAlignment="1">
      <alignment horizontal="center" vertical="center"/>
    </xf>
    <xf numFmtId="49" fontId="2" fillId="0" borderId="36" xfId="0" applyNumberFormat="1" applyFont="1" applyFill="1" applyBorder="1" applyAlignment="1">
      <alignment horizontal="center" vertical="center"/>
    </xf>
    <xf numFmtId="0" fontId="5" fillId="0" borderId="38" xfId="0" applyFont="1" applyFill="1" applyBorder="1" applyAlignment="1">
      <alignment horizontal="center" vertical="center"/>
    </xf>
    <xf numFmtId="1" fontId="2" fillId="0" borderId="32" xfId="0" applyNumberFormat="1" applyFont="1" applyFill="1" applyBorder="1" applyAlignment="1">
      <alignment horizontal="center" vertical="center"/>
    </xf>
    <xf numFmtId="0" fontId="2" fillId="0" borderId="59" xfId="0" applyFont="1" applyFill="1" applyBorder="1" applyAlignment="1">
      <alignment horizontal="center" vertical="center"/>
    </xf>
    <xf numFmtId="0" fontId="2" fillId="0" borderId="45" xfId="0" quotePrefix="1" applyFont="1" applyFill="1" applyBorder="1" applyAlignment="1">
      <alignment horizontal="center" vertical="center" wrapText="1"/>
    </xf>
    <xf numFmtId="49" fontId="2" fillId="0" borderId="45" xfId="2" applyNumberFormat="1" applyFont="1" applyFill="1" applyBorder="1" applyAlignment="1">
      <alignment horizontal="center" vertical="center"/>
    </xf>
    <xf numFmtId="0" fontId="2" fillId="0" borderId="45" xfId="0" applyFont="1" applyFill="1" applyBorder="1" applyAlignment="1">
      <alignment horizontal="center" vertical="center" shrinkToFit="1"/>
    </xf>
    <xf numFmtId="164" fontId="2" fillId="0" borderId="45"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 fontId="2" fillId="0" borderId="45" xfId="0" applyNumberFormat="1" applyFont="1" applyFill="1" applyBorder="1" applyAlignment="1">
      <alignment horizontal="center" vertical="center"/>
    </xf>
    <xf numFmtId="0" fontId="2" fillId="0" borderId="111" xfId="0" applyFont="1" applyFill="1" applyBorder="1" applyAlignment="1">
      <alignment horizontal="center" vertical="center"/>
    </xf>
    <xf numFmtId="0" fontId="2" fillId="15" borderId="45" xfId="2" applyNumberFormat="1" applyFont="1" applyFill="1" applyBorder="1" applyAlignment="1">
      <alignment horizontal="center" vertical="center"/>
    </xf>
    <xf numFmtId="0" fontId="2" fillId="15" borderId="36" xfId="2" applyNumberFormat="1" applyFont="1" applyFill="1" applyBorder="1" applyAlignment="1">
      <alignment horizontal="center" vertical="center"/>
    </xf>
    <xf numFmtId="0" fontId="2" fillId="15" borderId="42" xfId="0" applyNumberFormat="1" applyFont="1" applyFill="1" applyBorder="1" applyAlignment="1">
      <alignment horizontal="center" vertical="center"/>
    </xf>
    <xf numFmtId="0" fontId="5" fillId="0" borderId="89" xfId="0" applyFont="1" applyBorder="1" applyAlignment="1">
      <alignment horizontal="center" vertical="center" shrinkToFit="1"/>
    </xf>
    <xf numFmtId="164" fontId="5" fillId="0" borderId="89" xfId="0" applyNumberFormat="1" applyFont="1" applyBorder="1" applyAlignment="1">
      <alignment horizontal="center" vertical="center" shrinkToFit="1"/>
    </xf>
    <xf numFmtId="0" fontId="5" fillId="0" borderId="89" xfId="0" applyFont="1" applyBorder="1" applyAlignment="1">
      <alignment horizontal="left" vertical="center"/>
    </xf>
    <xf numFmtId="0" fontId="5" fillId="0" borderId="90" xfId="0" applyFont="1" applyBorder="1" applyAlignment="1">
      <alignment horizontal="left" vertical="center" shrinkToFit="1"/>
    </xf>
    <xf numFmtId="0" fontId="7" fillId="0" borderId="32" xfId="0" applyFont="1" applyBorder="1" applyAlignment="1">
      <alignment horizontal="centerContinuous" vertical="center"/>
    </xf>
    <xf numFmtId="0" fontId="7" fillId="0" borderId="32" xfId="0" applyFont="1" applyBorder="1" applyAlignment="1">
      <alignment horizontal="centerContinuous"/>
    </xf>
    <xf numFmtId="0" fontId="7" fillId="0" borderId="85" xfId="0" applyFont="1" applyBorder="1" applyAlignment="1">
      <alignment horizontal="centerContinuous"/>
    </xf>
    <xf numFmtId="0" fontId="7" fillId="0" borderId="51" xfId="0" applyFont="1" applyFill="1" applyBorder="1" applyAlignment="1">
      <alignment horizontal="centerContinuous" vertical="center"/>
    </xf>
    <xf numFmtId="0" fontId="7" fillId="0" borderId="32" xfId="0" applyFont="1" applyFill="1" applyBorder="1" applyAlignment="1">
      <alignment horizontal="center" vertical="center" shrinkToFit="1"/>
    </xf>
    <xf numFmtId="0" fontId="7" fillId="0" borderId="51" xfId="0" quotePrefix="1" applyFont="1" applyFill="1" applyBorder="1" applyAlignment="1">
      <alignment horizontal="centerContinuous" vertical="center" shrinkToFit="1"/>
    </xf>
    <xf numFmtId="0" fontId="13" fillId="6" borderId="22" xfId="0" applyNumberFormat="1" applyFont="1" applyFill="1" applyBorder="1" applyAlignment="1">
      <alignment horizontal="center" vertical="center"/>
    </xf>
    <xf numFmtId="0" fontId="2" fillId="0" borderId="114" xfId="0" applyFont="1" applyBorder="1" applyAlignment="1">
      <alignment horizontal="center" vertical="center"/>
    </xf>
    <xf numFmtId="0" fontId="2" fillId="0" borderId="115" xfId="0" applyFont="1" applyBorder="1" applyAlignment="1">
      <alignment horizontal="center" vertical="center"/>
    </xf>
    <xf numFmtId="0" fontId="2" fillId="0" borderId="115" xfId="0" quotePrefix="1" applyFont="1" applyBorder="1" applyAlignment="1">
      <alignment horizontal="center" vertical="center"/>
    </xf>
    <xf numFmtId="9" fontId="2" fillId="0" borderId="115" xfId="0" applyNumberFormat="1" applyFont="1" applyBorder="1" applyAlignment="1">
      <alignment horizontal="center" vertical="center"/>
    </xf>
    <xf numFmtId="164" fontId="2" fillId="0" borderId="115" xfId="0" applyNumberFormat="1" applyFont="1" applyFill="1" applyBorder="1" applyAlignment="1">
      <alignment horizontal="center" vertical="center"/>
    </xf>
    <xf numFmtId="164" fontId="2" fillId="0" borderId="116" xfId="0" applyNumberFormat="1" applyFont="1" applyFill="1" applyBorder="1" applyAlignment="1">
      <alignment horizontal="centerContinuous" vertical="center"/>
    </xf>
    <xf numFmtId="164" fontId="5" fillId="0" borderId="82" xfId="0" applyNumberFormat="1" applyFont="1" applyFill="1" applyBorder="1" applyAlignment="1">
      <alignment horizontal="centerContinuous" vertical="center"/>
    </xf>
    <xf numFmtId="0" fontId="5" fillId="0" borderId="84" xfId="0" quotePrefix="1" applyFont="1" applyFill="1" applyBorder="1" applyAlignment="1">
      <alignment horizontal="centerContinuous" vertical="center"/>
    </xf>
    <xf numFmtId="164" fontId="2" fillId="0" borderId="75" xfId="0" applyNumberFormat="1" applyFont="1" applyBorder="1" applyAlignment="1">
      <alignment horizontal="center" vertical="center" shrinkToFit="1"/>
    </xf>
    <xf numFmtId="1" fontId="7" fillId="16" borderId="21" xfId="0" applyNumberFormat="1" applyFont="1" applyFill="1" applyBorder="1" applyAlignment="1">
      <alignment horizontal="center" vertical="center"/>
    </xf>
    <xf numFmtId="1" fontId="7" fillId="16" borderId="46" xfId="0" applyNumberFormat="1" applyFont="1" applyFill="1" applyBorder="1" applyAlignment="1">
      <alignment horizontal="center" vertical="center"/>
    </xf>
    <xf numFmtId="0" fontId="7" fillId="0" borderId="2" xfId="0" quotePrefix="1" applyFont="1" applyFill="1" applyBorder="1" applyAlignment="1">
      <alignment horizontal="center" vertical="center"/>
    </xf>
    <xf numFmtId="0" fontId="7" fillId="5" borderId="23" xfId="0" quotePrefix="1" applyNumberFormat="1" applyFont="1" applyFill="1" applyBorder="1" applyAlignment="1">
      <alignment horizontal="center" vertical="center"/>
    </xf>
    <xf numFmtId="0" fontId="7" fillId="14" borderId="23" xfId="0" quotePrefix="1" applyNumberFormat="1" applyFont="1" applyFill="1" applyBorder="1" applyAlignment="1">
      <alignment horizontal="center" vertical="center"/>
    </xf>
    <xf numFmtId="0" fontId="2" fillId="0" borderId="0" xfId="0" applyFont="1" applyBorder="1" applyAlignment="1">
      <alignment horizontal="center" vertical="center"/>
    </xf>
    <xf numFmtId="0" fontId="2" fillId="17" borderId="60" xfId="0" applyFont="1" applyFill="1" applyBorder="1" applyAlignment="1">
      <alignment horizontal="center" vertical="center"/>
    </xf>
    <xf numFmtId="0" fontId="2" fillId="17" borderId="36" xfId="0" applyFont="1" applyFill="1" applyBorder="1" applyAlignment="1">
      <alignment horizontal="center" vertical="center"/>
    </xf>
    <xf numFmtId="0" fontId="2" fillId="17" borderId="36" xfId="0" quotePrefix="1" applyFont="1" applyFill="1" applyBorder="1" applyAlignment="1">
      <alignment horizontal="center" vertical="center" wrapText="1"/>
    </xf>
    <xf numFmtId="49" fontId="2" fillId="17" borderId="36" xfId="2" applyNumberFormat="1" applyFont="1" applyFill="1" applyBorder="1" applyAlignment="1">
      <alignment horizontal="center" vertical="center"/>
    </xf>
    <xf numFmtId="0" fontId="2" fillId="17" borderId="36" xfId="0" applyFont="1" applyFill="1" applyBorder="1" applyAlignment="1">
      <alignment horizontal="center" vertical="center" shrinkToFit="1"/>
    </xf>
    <xf numFmtId="164" fontId="5" fillId="17" borderId="36" xfId="0" applyNumberFormat="1" applyFont="1" applyFill="1" applyBorder="1" applyAlignment="1">
      <alignment horizontal="center" vertical="center"/>
    </xf>
    <xf numFmtId="1" fontId="2" fillId="17" borderId="36" xfId="0" applyNumberFormat="1" applyFont="1" applyFill="1" applyBorder="1" applyAlignment="1">
      <alignment horizontal="center" vertical="center"/>
    </xf>
    <xf numFmtId="0" fontId="2" fillId="17" borderId="3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3" xfId="0" quotePrefix="1" applyFont="1" applyFill="1" applyBorder="1" applyAlignment="1">
      <alignment horizontal="center" vertical="center"/>
    </xf>
    <xf numFmtId="0" fontId="7" fillId="0" borderId="50" xfId="0" applyFont="1" applyFill="1" applyBorder="1" applyAlignment="1">
      <alignment horizontal="centerContinuous" vertical="center"/>
    </xf>
    <xf numFmtId="0" fontId="2" fillId="0" borderId="87" xfId="0" applyFont="1" applyFill="1" applyBorder="1" applyAlignment="1">
      <alignment horizontal="centerContinuous" vertical="center"/>
    </xf>
    <xf numFmtId="1" fontId="7" fillId="0" borderId="21" xfId="0" applyNumberFormat="1" applyFont="1" applyFill="1" applyBorder="1" applyAlignment="1">
      <alignment horizontal="center" vertical="center"/>
    </xf>
    <xf numFmtId="1" fontId="7" fillId="0" borderId="46" xfId="0" applyNumberFormat="1" applyFont="1" applyFill="1" applyBorder="1" applyAlignment="1">
      <alignment horizontal="center" vertical="center"/>
    </xf>
  </cellXfs>
  <cellStyles count="11">
    <cellStyle name="Excel Built-in Normal" xfId="4" xr:uid="{00000000-0005-0000-0000-000000000000}"/>
    <cellStyle name="Hyperlink" xfId="1" builtinId="8"/>
    <cellStyle name="Normal" xfId="0" builtinId="0"/>
    <cellStyle name="Normal 2" xfId="5" xr:uid="{00000000-0005-0000-0000-000003000000}"/>
    <cellStyle name="Normal 2 2" xfId="6" xr:uid="{00000000-0005-0000-0000-000004000000}"/>
    <cellStyle name="Normal 3" xfId="9" xr:uid="{00000000-0005-0000-0000-000005000000}"/>
    <cellStyle name="Normal 4" xfId="3" xr:uid="{00000000-0005-0000-0000-000006000000}"/>
    <cellStyle name="Normal 5" xfId="10" xr:uid="{00000000-0005-0000-0000-000007000000}"/>
    <cellStyle name="Percent" xfId="2" builtinId="5"/>
    <cellStyle name="Percent 2" xfId="7" xr:uid="{00000000-0005-0000-0000-000009000000}"/>
    <cellStyle name="Percent 2 2" xfId="8" xr:uid="{00000000-0005-0000-0000-00000A000000}"/>
  </cellStyles>
  <dxfs count="32">
    <dxf>
      <fill>
        <patternFill>
          <bgColor rgb="FFFF0000"/>
        </patternFill>
      </fill>
    </dxf>
    <dxf>
      <font>
        <b val="0"/>
        <i/>
        <color auto="1"/>
      </font>
      <fill>
        <patternFill>
          <bgColor theme="0" tint="-0.24994659260841701"/>
        </patternFill>
      </fill>
    </dxf>
    <dxf>
      <font>
        <b/>
        <i val="0"/>
      </font>
      <fill>
        <patternFill>
          <bgColor rgb="FF00FF00"/>
        </patternFill>
      </fill>
    </dxf>
    <dxf>
      <font>
        <b/>
        <i/>
        <color theme="1"/>
      </font>
      <fill>
        <patternFill>
          <bgColor rgb="FF00FF00"/>
        </patternFill>
      </fill>
    </dxf>
    <dxf>
      <font>
        <b val="0"/>
        <i/>
        <color auto="1"/>
      </font>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i/>
        <color theme="1"/>
      </font>
      <fill>
        <patternFill>
          <bgColor rgb="FF00FF00"/>
        </patternFill>
      </fill>
    </dxf>
    <dxf>
      <font>
        <b val="0"/>
        <i/>
        <color auto="1"/>
      </font>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FF0000"/>
      <color rgb="FFCC99FF"/>
      <color rgb="FF9900FF"/>
      <color rgb="FFCCFFCC"/>
      <color rgb="FF00FF00"/>
      <color rgb="FFFFCCFF"/>
      <color rgb="FF9933FF"/>
      <color rgb="FF99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30480</xdr:rowOff>
    </xdr:from>
    <xdr:to>
      <xdr:col>7</xdr:col>
      <xdr:colOff>0</xdr:colOff>
      <xdr:row>35</xdr:row>
      <xdr:rowOff>15240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8100" y="4251960"/>
          <a:ext cx="6522720" cy="3154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latin typeface="Times New Roman" panose="02020603050405020304" pitchFamily="18" charset="0"/>
              <a:cs typeface="Times New Roman" panose="02020603050405020304" pitchFamily="18" charset="0"/>
            </a:rPr>
            <a:t>Appearance:  </a:t>
          </a:r>
          <a:r>
            <a:rPr lang="en-US" sz="1200">
              <a:latin typeface="Times New Roman" panose="02020603050405020304" pitchFamily="18" charset="0"/>
              <a:cs typeface="Times New Roman" panose="02020603050405020304" pitchFamily="18" charset="0"/>
            </a:rPr>
            <a:t>Bazazath is tall and lean looking.  His body is covered in short black and grey hairs.  His ears stand out to the side from the top of his head and he can turn them 180 degrees.  His nose, in human form, is slightly elongated, ending in a canine looking, black nose that is cold to the touch.  He has two pronounced canine teeth in his upper jaw.  The hair on the top of his head is cut in a mohawk about 3 to 4 inches long.   In canine form, Bazazath prefers to appear as a large schnauzer.</a:t>
          </a:r>
        </a:p>
        <a:p>
          <a:pPr algn="just"/>
          <a:endParaRPr lang="en-US" sz="1200">
            <a:latin typeface="Times New Roman" panose="02020603050405020304" pitchFamily="18" charset="0"/>
            <a:cs typeface="Times New Roman" panose="02020603050405020304" pitchFamily="18" charset="0"/>
          </a:endParaRPr>
        </a:p>
        <a:p>
          <a:r>
            <a:rPr lang="en-US" sz="1100">
              <a:solidFill>
                <a:schemeClr val="dk1"/>
              </a:solidFill>
              <a:effectLst/>
              <a:latin typeface="+mn-lt"/>
              <a:ea typeface="+mn-ea"/>
              <a:cs typeface="+mn-cs"/>
            </a:rPr>
            <a:t>'Barkley' was one of 6 in his parents’ litter when he was born.  Living in the Celestial Plane, life was rather easy.  As 'Barkley' grew, he was bored with what he considered a mundane and routine existence.  He wanted to join the 'Warriors of Light' and fight evil in Tyr's name.  Though his parents told him of the possible dangers, 'Barkley' still wanted to join them and fight.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So, in order for him to gain the appropriate experience and skill, he was told he needed to go to the Prime Material Plane.  There he could serve Tyr and fight evil.  Should he prove himself worthy, he would eventually be returned to the Celestial Plain where he would be able to join Tyr's legions and fight evil across the cosmos.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Upon his arrival on the Prime Material Plane, 'Barkley' has been exploring this strange, new world.  He has also sought out allies in the fight against evil and has become a member of a group known as the 'Fist of Light'!</a:t>
          </a:r>
        </a:p>
      </xdr:txBody>
    </xdr:sp>
    <xdr:clientData/>
  </xdr:twoCellAnchor>
  <xdr:twoCellAnchor>
    <xdr:from>
      <xdr:col>0</xdr:col>
      <xdr:colOff>45720</xdr:colOff>
      <xdr:row>16</xdr:row>
      <xdr:rowOff>45720</xdr:rowOff>
    </xdr:from>
    <xdr:to>
      <xdr:col>6</xdr:col>
      <xdr:colOff>1242060</xdr:colOff>
      <xdr:row>18</xdr:row>
      <xdr:rowOff>175260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720" y="3025140"/>
          <a:ext cx="6705600" cy="335280"/>
        </a:xfrm>
        <a:prstGeom prst="rect">
          <a:avLst/>
        </a:prstGeom>
        <a:solidFill>
          <a:srgbClr val="0000FF">
            <a:alpha val="61000"/>
          </a:srgbClr>
        </a:solidFill>
        <a:ln w="44450" cmpd="dbl">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US" sz="1200" b="1" baseline="0">
              <a:solidFill>
                <a:schemeClr val="bg1"/>
              </a:solidFill>
              <a:latin typeface="Times New Roman" panose="02020603050405020304" pitchFamily="18" charset="0"/>
              <a:cs typeface="Times New Roman" panose="02020603050405020304" pitchFamily="18" charset="0"/>
            </a:rPr>
            <a:t>Current Effects:   </a:t>
          </a:r>
          <a:r>
            <a:rPr lang="en-US" sz="1200" b="0" i="1" baseline="0">
              <a:solidFill>
                <a:schemeClr val="bg1"/>
              </a:solidFill>
              <a:latin typeface="Times New Roman" panose="02020603050405020304" pitchFamily="18" charset="0"/>
              <a:cs typeface="Times New Roman" panose="02020603050405020304" pitchFamily="18" charset="0"/>
            </a:rPr>
            <a:t>Resist Electricity 15      DR 5/+1</a:t>
          </a:r>
        </a:p>
        <a:p>
          <a:pPr algn="ctr" rtl="0"/>
          <a:r>
            <a:rPr lang="en-US" sz="1200" b="0" i="1" baseline="0">
              <a:solidFill>
                <a:schemeClr val="bg1"/>
              </a:solidFill>
              <a:latin typeface="Times New Roman" panose="02020603050405020304" pitchFamily="18" charset="0"/>
              <a:cs typeface="Times New Roman" panose="02020603050405020304" pitchFamily="18" charset="0"/>
            </a:rPr>
            <a:t>Aura of Menace        Scent      Tongues      +4 Save vs Poison</a:t>
          </a:r>
        </a:p>
      </xdr:txBody>
    </xdr:sp>
    <xdr:clientData/>
  </xdr:twoCellAnchor>
  <xdr:twoCellAnchor editAs="oneCell">
    <xdr:from>
      <xdr:col>5</xdr:col>
      <xdr:colOff>206350</xdr:colOff>
      <xdr:row>1</xdr:row>
      <xdr:rowOff>83821</xdr:rowOff>
    </xdr:from>
    <xdr:to>
      <xdr:col>6</xdr:col>
      <xdr:colOff>904638</xdr:colOff>
      <xdr:row>15</xdr:row>
      <xdr:rowOff>182881</xdr:rowOff>
    </xdr:to>
    <xdr:pic>
      <xdr:nvPicPr>
        <xdr:cNvPr id="4" name="Picture 3">
          <a:extLst>
            <a:ext uri="{FF2B5EF4-FFF2-40B4-BE49-F238E27FC236}">
              <a16:creationId xmlns:a16="http://schemas.microsoft.com/office/drawing/2014/main" id="{0B0BA075-0D75-4B1D-A4C2-B8AEE4840F02}"/>
            </a:ext>
          </a:extLst>
        </xdr:cNvPr>
        <xdr:cNvPicPr>
          <a:picLocks noChangeAspect="1"/>
        </xdr:cNvPicPr>
      </xdr:nvPicPr>
      <xdr:blipFill>
        <a:blip xmlns:r="http://schemas.openxmlformats.org/officeDocument/2006/relationships" r:embed="rId1"/>
        <a:stretch>
          <a:fillRect/>
        </a:stretch>
      </xdr:blipFill>
      <xdr:spPr>
        <a:xfrm>
          <a:off x="4709770" y="457201"/>
          <a:ext cx="1726988" cy="3124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a:extLst>
            <a:ext uri="{FF2B5EF4-FFF2-40B4-BE49-F238E27FC236}">
              <a16:creationId xmlns:a16="http://schemas.microsoft.com/office/drawing/2014/main" id="{00000000-0008-0000-0100-000055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839724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144780</xdr:colOff>
      <xdr:row>8</xdr:row>
      <xdr:rowOff>15240</xdr:rowOff>
    </xdr:from>
    <xdr:to>
      <xdr:col>13</xdr:col>
      <xdr:colOff>396240</xdr:colOff>
      <xdr:row>25</xdr:row>
      <xdr:rowOff>175260</xdr:rowOff>
    </xdr:to>
    <xdr:sp macro="" textlink="">
      <xdr:nvSpPr>
        <xdr:cNvPr id="3" name="TextBox 2">
          <a:extLst>
            <a:ext uri="{FF2B5EF4-FFF2-40B4-BE49-F238E27FC236}">
              <a16:creationId xmlns:a16="http://schemas.microsoft.com/office/drawing/2014/main" id="{4C79CDA6-1697-4B3E-956F-C449F5C1F484}"/>
            </a:ext>
          </a:extLst>
        </xdr:cNvPr>
        <xdr:cNvSpPr txBox="1"/>
      </xdr:nvSpPr>
      <xdr:spPr>
        <a:xfrm>
          <a:off x="2186940" y="1844040"/>
          <a:ext cx="9776460" cy="3931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Charmer: </a:t>
          </a:r>
        </a:p>
        <a:p>
          <a:r>
            <a:rPr lang="en-US" sz="1100">
              <a:solidFill>
                <a:schemeClr val="dk1"/>
              </a:solidFill>
              <a:effectLst/>
              <a:latin typeface="+mn-lt"/>
              <a:ea typeface="+mn-ea"/>
              <a:cs typeface="+mn-cs"/>
            </a:rPr>
            <a:t>o   Majestic Argali (Afghan Hound) </a:t>
          </a:r>
        </a:p>
        <a:p>
          <a:r>
            <a:rPr lang="en-US" sz="1100">
              <a:solidFill>
                <a:schemeClr val="dk1"/>
              </a:solidFill>
              <a:effectLst/>
              <a:latin typeface="+mn-lt"/>
              <a:ea typeface="+mn-ea"/>
              <a:cs typeface="+mn-cs"/>
            </a:rPr>
            <a:t>•         Misc. Breeds: </a:t>
          </a:r>
        </a:p>
        <a:p>
          <a:r>
            <a:rPr lang="en-US" sz="1100">
              <a:solidFill>
                <a:schemeClr val="dk1"/>
              </a:solidFill>
              <a:effectLst/>
              <a:latin typeface="+mn-lt"/>
              <a:ea typeface="+mn-ea"/>
              <a:cs typeface="+mn-cs"/>
            </a:rPr>
            <a:t>o   Miniature Short-tailed Zorse (Miniature Schnauzer) – A small but powerful breed the stand 12 inches tall at the shoulders and weigh in at 10-15 pounds.  They are good diggers and are bred to go after rats, mice and other small rodents.  (Possible bonus to digging speed in dirt?)  </a:t>
          </a:r>
        </a:p>
        <a:p>
          <a:r>
            <a:rPr lang="en-US" sz="1100">
              <a:solidFill>
                <a:schemeClr val="dk1"/>
              </a:solidFill>
              <a:effectLst/>
              <a:latin typeface="+mn-lt"/>
              <a:ea typeface="+mn-ea"/>
              <a:cs typeface="+mn-cs"/>
            </a:rPr>
            <a:t>•         Scout Breeds: </a:t>
          </a:r>
        </a:p>
        <a:p>
          <a:r>
            <a:rPr lang="en-US" sz="1100">
              <a:solidFill>
                <a:schemeClr val="dk1"/>
              </a:solidFill>
              <a:effectLst/>
              <a:latin typeface="+mn-lt"/>
              <a:ea typeface="+mn-ea"/>
              <a:cs typeface="+mn-cs"/>
            </a:rPr>
            <a:t>o   Maroon-Spotted Dog (German Short-haired Pointer) </a:t>
          </a:r>
        </a:p>
        <a:p>
          <a:r>
            <a:rPr lang="en-US" sz="1100">
              <a:solidFill>
                <a:schemeClr val="dk1"/>
              </a:solidFill>
              <a:effectLst/>
              <a:latin typeface="+mn-lt"/>
              <a:ea typeface="+mn-ea"/>
              <a:cs typeface="+mn-cs"/>
            </a:rPr>
            <a:t>•         Sneaker:  </a:t>
          </a:r>
        </a:p>
        <a:p>
          <a:r>
            <a:rPr lang="en-US" sz="1100">
              <a:solidFill>
                <a:schemeClr val="dk1"/>
              </a:solidFill>
              <a:effectLst/>
              <a:latin typeface="+mn-lt"/>
              <a:ea typeface="+mn-ea"/>
              <a:cs typeface="+mn-cs"/>
            </a:rPr>
            <a:t>o   Smokey-furred Whippet (Chihuahua) – A very small breed perfect for sneaking in and out of places quietly.  (?? To AC (+? Size +? Agility - ? Natural Armor.  +4 to all Hide and Move Silently checks. Also receives a -5 to all To-Hit and Damage Checks) </a:t>
          </a:r>
        </a:p>
        <a:p>
          <a:r>
            <a:rPr lang="en-US" sz="1100">
              <a:solidFill>
                <a:schemeClr val="dk1"/>
              </a:solidFill>
              <a:effectLst/>
              <a:latin typeface="+mn-lt"/>
              <a:ea typeface="+mn-ea"/>
              <a:cs typeface="+mn-cs"/>
            </a:rPr>
            <a:t>•         Sprinter Breeds: </a:t>
          </a:r>
        </a:p>
        <a:p>
          <a:r>
            <a:rPr lang="en-US" sz="1100">
              <a:solidFill>
                <a:schemeClr val="dk1"/>
              </a:solidFill>
              <a:effectLst/>
              <a:latin typeface="+mn-lt"/>
              <a:ea typeface="+mn-ea"/>
              <a:cs typeface="+mn-cs"/>
            </a:rPr>
            <a:t>o   Zakhara Hound (Pharaoh Hound/Whippet) – Excellent speed over short distances.  (Running speed is x3 instead of x2’.  After 200 yards receives a -2 Penalty to Endurance Checks.  Also, must rest for at least 4 hours and pass a Constitution check or a full 8 hours before sprinting again.) </a:t>
          </a:r>
        </a:p>
        <a:p>
          <a:r>
            <a:rPr lang="en-US" sz="1100">
              <a:solidFill>
                <a:schemeClr val="dk1"/>
              </a:solidFill>
              <a:effectLst/>
              <a:latin typeface="+mn-lt"/>
              <a:ea typeface="+mn-ea"/>
              <a:cs typeface="+mn-cs"/>
            </a:rPr>
            <a:t>o   Greyhound (Greyhound) – Excellent speed over short distances and excellent eye sight.  (Running speed is x3.5 instead of x2.  After 150 yards receives a -2 Penalty to Endurance Checks.  Also, must rest for at least 4 hours and pass a Constitution check or a full 8 hours before sprinting again.)</a:t>
          </a:r>
        </a:p>
        <a:p>
          <a:r>
            <a:rPr lang="en-US" sz="1100">
              <a:solidFill>
                <a:schemeClr val="dk1"/>
              </a:solidFill>
              <a:effectLst/>
              <a:latin typeface="+mn-lt"/>
              <a:ea typeface="+mn-ea"/>
              <a:cs typeface="+mn-cs"/>
            </a:rPr>
            <a:t>•         Warrior Breeds:  </a:t>
          </a:r>
        </a:p>
        <a:p>
          <a:r>
            <a:rPr lang="en-US" sz="1100">
              <a:solidFill>
                <a:schemeClr val="dk1"/>
              </a:solidFill>
              <a:effectLst/>
              <a:latin typeface="+mn-lt"/>
              <a:ea typeface="+mn-ea"/>
              <a:cs typeface="+mn-cs"/>
            </a:rPr>
            <a:t>o   Great Dale Hound (Irish Wolf Hound) – Increase Endurance from its long legs (+2 extra turns before Endurance Check is needed while running &amp; receives a +1 Bonus to those checks.).  Also, due to size and strength it does greater damage (receives a +1 to Damage from Bite and Claw attacks)   </a:t>
          </a:r>
        </a:p>
        <a:p>
          <a:r>
            <a:rPr lang="en-US" sz="1100">
              <a:solidFill>
                <a:schemeClr val="dk1"/>
              </a:solidFill>
              <a:effectLst/>
              <a:latin typeface="+mn-lt"/>
              <a:ea typeface="+mn-ea"/>
              <a:cs typeface="+mn-cs"/>
            </a:rPr>
            <a:t>o   Giant Short-tailed Zorse (Giant Schnauzer) </a:t>
          </a:r>
        </a:p>
        <a:p>
          <a:r>
            <a:rPr lang="en-US" sz="1100">
              <a:solidFill>
                <a:schemeClr val="dk1"/>
              </a:solidFill>
              <a:effectLst/>
              <a:latin typeface="+mn-lt"/>
              <a:ea typeface="+mn-ea"/>
              <a:cs typeface="+mn-cs"/>
            </a:rPr>
            <a:t>•         Working Breeds: </a:t>
          </a:r>
        </a:p>
        <a:p>
          <a:r>
            <a:rPr lang="en-US" sz="1100">
              <a:solidFill>
                <a:schemeClr val="dk1"/>
              </a:solidFill>
              <a:effectLst/>
              <a:latin typeface="+mn-lt"/>
              <a:ea typeface="+mn-ea"/>
              <a:cs typeface="+mn-cs"/>
            </a:rPr>
            <a:t>o   Standard Short-tailed Zorse (Schnauzer) </a:t>
          </a:r>
        </a:p>
        <a:p>
          <a:r>
            <a:rPr lang="en-US" sz="1100">
              <a:solidFill>
                <a:schemeClr val="dk1"/>
              </a:solidFill>
              <a:effectLst/>
              <a:latin typeface="+mn-lt"/>
              <a:ea typeface="+mn-ea"/>
              <a:cs typeface="+mn-cs"/>
            </a:rPr>
            <a:t>o   Icewind Dale Hound (Alaskan Malamute/Siberian Husky) </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428625</xdr:colOff>
      <xdr:row>1</xdr:row>
      <xdr:rowOff>123825</xdr:rowOff>
    </xdr:from>
    <xdr:to>
      <xdr:col>2</xdr:col>
      <xdr:colOff>474345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showGridLines="0" tabSelected="1" zoomScaleNormal="100" workbookViewId="0"/>
  </sheetViews>
  <sheetFormatPr defaultColWidth="13" defaultRowHeight="15.6"/>
  <cols>
    <col min="1" max="1" width="16.296875" style="129" bestFit="1" customWidth="1"/>
    <col min="2" max="2" width="12" style="60" customWidth="1"/>
    <col min="3" max="3" width="4" style="60" customWidth="1"/>
    <col min="4" max="4" width="13.69921875" style="129" bestFit="1" customWidth="1"/>
    <col min="5" max="5" width="13.09765625" style="60" bestFit="1" customWidth="1"/>
    <col min="6" max="6" width="13.5" style="129" customWidth="1"/>
    <col min="7" max="7" width="13.5" style="60" customWidth="1"/>
    <col min="8" max="16384" width="13" style="13"/>
  </cols>
  <sheetData>
    <row r="1" spans="1:7" ht="29.4" thickTop="1" thickBot="1">
      <c r="A1" s="250" t="s">
        <v>87</v>
      </c>
      <c r="B1" s="251" t="s">
        <v>88</v>
      </c>
      <c r="C1" s="130"/>
      <c r="D1" s="131"/>
      <c r="E1" s="131"/>
      <c r="F1" s="131"/>
      <c r="G1" s="132" t="s">
        <v>89</v>
      </c>
    </row>
    <row r="2" spans="1:7" ht="17.399999999999999" thickTop="1">
      <c r="A2" s="133" t="s">
        <v>120</v>
      </c>
      <c r="B2" s="134" t="s">
        <v>90</v>
      </c>
      <c r="C2" s="134"/>
      <c r="D2" s="135" t="s">
        <v>121</v>
      </c>
      <c r="E2" s="136" t="s">
        <v>102</v>
      </c>
      <c r="F2" s="137"/>
      <c r="G2" s="138"/>
    </row>
    <row r="3" spans="1:7" ht="16.8">
      <c r="A3" s="133" t="s">
        <v>122</v>
      </c>
      <c r="B3" s="134" t="s">
        <v>90</v>
      </c>
      <c r="C3" s="134"/>
      <c r="D3" s="135" t="s">
        <v>0</v>
      </c>
      <c r="E3" s="136">
        <v>7</v>
      </c>
      <c r="F3" s="135"/>
      <c r="G3" s="138"/>
    </row>
    <row r="4" spans="1:7" ht="16.8">
      <c r="A4" s="322" t="s">
        <v>122</v>
      </c>
      <c r="B4" s="323" t="s">
        <v>242</v>
      </c>
      <c r="C4" s="323"/>
      <c r="D4" s="324" t="s">
        <v>0</v>
      </c>
      <c r="E4" s="325">
        <v>0</v>
      </c>
      <c r="F4" s="135"/>
      <c r="G4" s="138"/>
    </row>
    <row r="5" spans="1:7" ht="16.8">
      <c r="A5" s="133" t="s">
        <v>123</v>
      </c>
      <c r="B5" s="134" t="s">
        <v>119</v>
      </c>
      <c r="C5" s="134"/>
      <c r="D5" s="135" t="s">
        <v>229</v>
      </c>
      <c r="E5" s="136">
        <f>5+E4</f>
        <v>5</v>
      </c>
      <c r="F5" s="135"/>
      <c r="G5" s="138"/>
    </row>
    <row r="6" spans="1:7" ht="16.8">
      <c r="A6" s="133" t="s">
        <v>125</v>
      </c>
      <c r="B6" s="134" t="s">
        <v>79</v>
      </c>
      <c r="C6" s="134"/>
      <c r="D6" s="135" t="s">
        <v>124</v>
      </c>
      <c r="E6" s="136" t="s">
        <v>92</v>
      </c>
      <c r="F6" s="135"/>
      <c r="G6" s="138"/>
    </row>
    <row r="7" spans="1:7" ht="16.8">
      <c r="A7" s="133" t="s">
        <v>127</v>
      </c>
      <c r="B7" s="134">
        <v>24</v>
      </c>
      <c r="C7" s="134"/>
      <c r="D7" s="135" t="s">
        <v>126</v>
      </c>
      <c r="E7" s="136" t="s">
        <v>108</v>
      </c>
      <c r="F7" s="135"/>
      <c r="G7" s="138"/>
    </row>
    <row r="8" spans="1:7" ht="17.399999999999999" thickBot="1">
      <c r="A8" s="133" t="s">
        <v>128</v>
      </c>
      <c r="B8" s="134" t="s">
        <v>91</v>
      </c>
      <c r="C8" s="134"/>
      <c r="D8" s="135" t="s">
        <v>129</v>
      </c>
      <c r="E8" s="136" t="s">
        <v>93</v>
      </c>
      <c r="F8" s="135"/>
      <c r="G8" s="138"/>
    </row>
    <row r="9" spans="1:7" ht="17.399999999999999" thickTop="1">
      <c r="A9" s="139" t="s">
        <v>130</v>
      </c>
      <c r="B9" s="436">
        <f>5</f>
        <v>5</v>
      </c>
      <c r="C9" s="437"/>
      <c r="D9" s="165" t="s">
        <v>69</v>
      </c>
      <c r="E9" s="249" t="s">
        <v>107</v>
      </c>
      <c r="F9" s="140"/>
      <c r="G9" s="138"/>
    </row>
    <row r="10" spans="1:7" ht="17.399999999999999" thickBot="1">
      <c r="A10" s="224" t="s">
        <v>131</v>
      </c>
      <c r="B10" s="260" t="str">
        <f>C12</f>
        <v>+2</v>
      </c>
      <c r="C10" s="225"/>
      <c r="D10" s="246" t="s">
        <v>132</v>
      </c>
      <c r="E10" s="247">
        <v>30520</v>
      </c>
      <c r="F10" s="140"/>
      <c r="G10" s="138"/>
    </row>
    <row r="11" spans="1:7" ht="17.399999999999999" thickTop="1">
      <c r="A11" s="141" t="s">
        <v>133</v>
      </c>
      <c r="B11" s="434">
        <f>14</f>
        <v>14</v>
      </c>
      <c r="C11" s="142" t="str">
        <f t="shared" ref="C11:C16" si="0">IF(B11&gt;9.9,CONCATENATE("+",ROUNDDOWN((B11-10)/2,0)),ROUNDUP((B11-10)/2,0))</f>
        <v>+2</v>
      </c>
      <c r="D11" s="143" t="s">
        <v>134</v>
      </c>
      <c r="E11" s="292" t="s">
        <v>106</v>
      </c>
      <c r="F11" s="140"/>
      <c r="G11" s="138"/>
    </row>
    <row r="12" spans="1:7" ht="16.8">
      <c r="A12" s="144" t="s">
        <v>135</v>
      </c>
      <c r="B12" s="261">
        <v>15</v>
      </c>
      <c r="C12" s="145" t="str">
        <f t="shared" si="0"/>
        <v>+2</v>
      </c>
      <c r="D12" s="146" t="s">
        <v>136</v>
      </c>
      <c r="E12" s="147">
        <f>SUM(Martial!G6:G28,Equipment!C3:C13)+5</f>
        <v>51</v>
      </c>
      <c r="F12" s="140"/>
      <c r="G12" s="138"/>
    </row>
    <row r="13" spans="1:7" ht="16.8">
      <c r="A13" s="148" t="s">
        <v>137</v>
      </c>
      <c r="B13" s="261">
        <v>16</v>
      </c>
      <c r="C13" s="149" t="str">
        <f t="shared" si="0"/>
        <v>+3</v>
      </c>
      <c r="D13" s="150" t="s">
        <v>138</v>
      </c>
      <c r="E13" s="164">
        <f>ROUNDUP(($E$5*8*0.75)+((E4*10)*0.75)+((E5+E4)*C13),0)</f>
        <v>45</v>
      </c>
      <c r="F13" s="140"/>
      <c r="G13" s="138"/>
    </row>
    <row r="14" spans="1:7" ht="16.8">
      <c r="A14" s="151" t="s">
        <v>139</v>
      </c>
      <c r="B14" s="261">
        <v>10</v>
      </c>
      <c r="C14" s="145" t="str">
        <f t="shared" si="0"/>
        <v>+0</v>
      </c>
      <c r="D14" s="153" t="s">
        <v>140</v>
      </c>
      <c r="E14" s="253">
        <f>10+C12</f>
        <v>12</v>
      </c>
      <c r="F14" s="133"/>
      <c r="G14" s="138"/>
    </row>
    <row r="15" spans="1:7" ht="16.8">
      <c r="A15" s="152" t="s">
        <v>141</v>
      </c>
      <c r="B15" s="261">
        <v>13</v>
      </c>
      <c r="C15" s="145" t="str">
        <f t="shared" si="0"/>
        <v>+1</v>
      </c>
      <c r="D15" s="153" t="s">
        <v>142</v>
      </c>
      <c r="E15" s="253">
        <f>E16-C12</f>
        <v>22</v>
      </c>
      <c r="F15" s="140"/>
      <c r="G15" s="138"/>
    </row>
    <row r="16" spans="1:7" ht="17.399999999999999" thickBot="1">
      <c r="A16" s="154" t="s">
        <v>143</v>
      </c>
      <c r="B16" s="262">
        <v>13</v>
      </c>
      <c r="C16" s="248" t="str">
        <f t="shared" si="0"/>
        <v>+1</v>
      </c>
      <c r="D16" s="155" t="s">
        <v>144</v>
      </c>
      <c r="E16" s="254">
        <f>E14+SUM(Martial!B22:B24)</f>
        <v>24</v>
      </c>
      <c r="F16" s="156"/>
      <c r="G16" s="157"/>
    </row>
    <row r="17" ht="16.2" thickTop="1"/>
  </sheetData>
  <phoneticPr fontId="0" type="noConversion"/>
  <conditionalFormatting sqref="E12">
    <cfRule type="cellIs" dxfId="31" priority="4" stopIfTrue="1" operator="greaterThan">
      <formula>116</formula>
    </cfRule>
    <cfRule type="cellIs" dxfId="30" priority="5" stopIfTrue="1" operator="between">
      <formula>58</formula>
      <formula>116</formula>
    </cfRule>
  </conditionalFormatting>
  <hyperlinks>
    <hyperlink ref="G1" r:id="rId1" xr:uid="{1C41234D-D7DF-45FD-B711-B6D5EF19AA96}"/>
  </hyperlinks>
  <printOptions gridLinesSet="0"/>
  <pageMargins left="0.25" right="0.25"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2"/>
  <sheetViews>
    <sheetView showGridLines="0" workbookViewId="0">
      <pane ySplit="2" topLeftCell="A3" activePane="bottomLeft" state="frozen"/>
      <selection activeCell="A3" sqref="A3"/>
      <selection pane="bottomLeft" activeCell="A3" sqref="A3"/>
    </sheetView>
  </sheetViews>
  <sheetFormatPr defaultColWidth="13" defaultRowHeight="15.6"/>
  <cols>
    <col min="1" max="1" width="28.59765625" style="2" bestFit="1" customWidth="1"/>
    <col min="2" max="2" width="5.8984375" style="2" bestFit="1" customWidth="1"/>
    <col min="3" max="3" width="7.59765625" style="3" hidden="1" customWidth="1"/>
    <col min="4" max="4" width="5.8984375" style="3" hidden="1" customWidth="1"/>
    <col min="5" max="5" width="9.09765625" style="3" bestFit="1" customWidth="1"/>
    <col min="6" max="6" width="6.69921875" style="3" bestFit="1" customWidth="1"/>
    <col min="7" max="7" width="6" style="9" bestFit="1" customWidth="1"/>
    <col min="8" max="8" width="5.19921875" style="9" bestFit="1" customWidth="1"/>
    <col min="9" max="9" width="6.8984375" style="9" bestFit="1" customWidth="1"/>
    <col min="10" max="10" width="37.796875" style="2" customWidth="1"/>
    <col min="11" max="16384" width="13" style="1"/>
  </cols>
  <sheetData>
    <row r="1" spans="1:10" ht="23.4" thickBot="1">
      <c r="A1" s="64" t="s">
        <v>6</v>
      </c>
      <c r="B1" s="65"/>
      <c r="C1" s="65"/>
      <c r="D1" s="65"/>
      <c r="E1" s="65"/>
      <c r="F1" s="65"/>
      <c r="G1" s="66"/>
      <c r="H1" s="66"/>
      <c r="I1" s="66"/>
      <c r="J1" s="65"/>
    </row>
    <row r="2" spans="1:10" s="317" customFormat="1" ht="34.200000000000003" thickBot="1">
      <c r="A2" s="311" t="s">
        <v>84</v>
      </c>
      <c r="B2" s="312" t="s">
        <v>19</v>
      </c>
      <c r="C2" s="312" t="s">
        <v>26</v>
      </c>
      <c r="D2" s="312" t="s">
        <v>18</v>
      </c>
      <c r="E2" s="10" t="s">
        <v>51</v>
      </c>
      <c r="F2" s="10" t="s">
        <v>27</v>
      </c>
      <c r="G2" s="313" t="s">
        <v>53</v>
      </c>
      <c r="H2" s="314" t="s">
        <v>74</v>
      </c>
      <c r="I2" s="315" t="s">
        <v>67</v>
      </c>
      <c r="J2" s="316" t="s">
        <v>65</v>
      </c>
    </row>
    <row r="3" spans="1:10" s="4" customFormat="1" ht="16.8">
      <c r="A3" s="290" t="s">
        <v>55</v>
      </c>
      <c r="B3" s="67">
        <v>4</v>
      </c>
      <c r="C3" s="67" t="s">
        <v>21</v>
      </c>
      <c r="D3" s="68" t="str">
        <f>IF(C3="Str",'Personal File'!$C$11,IF(C3="Dex",'Personal File'!$C$12,IF(C3="Con",'Personal File'!$C$13,IF(C3="Int",'Personal File'!$C$14,IF(C3="Wis",'Personal File'!$C$15,IF(C3="Cha",'Personal File'!$C$16))))))</f>
        <v>+3</v>
      </c>
      <c r="E3" s="68" t="str">
        <f t="shared" ref="E3" si="0">CONCATENATE(C3," (",D3,")")</f>
        <v>Con (+3)</v>
      </c>
      <c r="F3" s="420">
        <v>1</v>
      </c>
      <c r="G3" s="438">
        <f>B3+D3+F3</f>
        <v>8</v>
      </c>
      <c r="H3" s="70">
        <f t="shared" ref="H3:H5" ca="1" si="1">RANDBETWEEN(1,20)</f>
        <v>3</v>
      </c>
      <c r="I3" s="69">
        <f t="shared" ref="I3" ca="1" si="2">SUM(G3:H3)</f>
        <v>11</v>
      </c>
      <c r="J3" s="422" t="s">
        <v>241</v>
      </c>
    </row>
    <row r="4" spans="1:10" s="4" customFormat="1" ht="16.8">
      <c r="A4" s="71" t="s">
        <v>56</v>
      </c>
      <c r="B4" s="67">
        <v>4</v>
      </c>
      <c r="C4" s="67" t="s">
        <v>24</v>
      </c>
      <c r="D4" s="72" t="str">
        <f>IF(C4="Str",'Personal File'!$C$11,IF(C4="Dex",'Personal File'!$C$12,IF(C4="Con",'Personal File'!$C$13,IF(C4="Int",'Personal File'!$C$14,IF(C4="Wis",'Personal File'!$C$15,IF(C4="Cha",'Personal File'!$C$16))))))</f>
        <v>+2</v>
      </c>
      <c r="E4" s="73" t="str">
        <f t="shared" ref="E4:E5" si="3">CONCATENATE(C4," (",D4,")")</f>
        <v>Dex (+2)</v>
      </c>
      <c r="F4" s="420">
        <v>1</v>
      </c>
      <c r="G4" s="438">
        <f>B4+D4+F4</f>
        <v>7</v>
      </c>
      <c r="H4" s="70">
        <f t="shared" ca="1" si="1"/>
        <v>6</v>
      </c>
      <c r="I4" s="69">
        <f t="shared" ref="I4:I44" ca="1" si="4">SUM(G4:H4)</f>
        <v>13</v>
      </c>
      <c r="J4" s="435" t="s">
        <v>250</v>
      </c>
    </row>
    <row r="5" spans="1:10" s="4" customFormat="1" ht="16.8">
      <c r="A5" s="291" t="s">
        <v>57</v>
      </c>
      <c r="B5" s="75">
        <v>4</v>
      </c>
      <c r="C5" s="75" t="s">
        <v>23</v>
      </c>
      <c r="D5" s="76" t="str">
        <f>IF(C5="Str",'Personal File'!$C$11,IF(C5="Dex",'Personal File'!$C$12,IF(C5="Con",'Personal File'!$C$13,IF(C5="Int",'Personal File'!$C$14,IF(C5="Wis",'Personal File'!$C$15,IF(C5="Cha",'Personal File'!$C$16))))))</f>
        <v>+1</v>
      </c>
      <c r="E5" s="77" t="str">
        <f t="shared" si="3"/>
        <v>Wis (+1)</v>
      </c>
      <c r="F5" s="421">
        <v>1</v>
      </c>
      <c r="G5" s="439">
        <f>B5+D5+F5</f>
        <v>6</v>
      </c>
      <c r="H5" s="78">
        <f t="shared" ca="1" si="1"/>
        <v>7</v>
      </c>
      <c r="I5" s="318">
        <f t="shared" ca="1" si="4"/>
        <v>13</v>
      </c>
      <c r="J5" s="206"/>
    </row>
    <row r="6" spans="1:10" s="4" customFormat="1" ht="16.8">
      <c r="A6" s="79" t="s">
        <v>28</v>
      </c>
      <c r="B6" s="80">
        <v>0</v>
      </c>
      <c r="C6" s="81" t="s">
        <v>22</v>
      </c>
      <c r="D6" s="82" t="str">
        <f>IF(C6="Str",'Personal File'!$C$11,IF(C6="Dex",'Personal File'!$C$12,IF(C6="Con",'Personal File'!$C$13,IF(C6="Int",'Personal File'!$C$14,IF(C6="Wis",'Personal File'!$C$15,IF(C6="Cha",'Personal File'!$C$16))))))</f>
        <v>+0</v>
      </c>
      <c r="E6" s="82" t="str">
        <f t="shared" ref="E6" si="5">CONCATENATE(C6," (",D6,")")</f>
        <v>Int (+0)</v>
      </c>
      <c r="F6" s="83">
        <v>0</v>
      </c>
      <c r="G6" s="84">
        <f t="shared" ref="G6:G44" si="6">B6+D6+F6</f>
        <v>0</v>
      </c>
      <c r="H6" s="70">
        <f ca="1">RANDBETWEEN(1,20)</f>
        <v>18</v>
      </c>
      <c r="I6" s="69">
        <f t="shared" ca="1" si="4"/>
        <v>18</v>
      </c>
      <c r="J6" s="121"/>
    </row>
    <row r="7" spans="1:10" s="8" customFormat="1" ht="16.8">
      <c r="A7" s="301" t="s">
        <v>29</v>
      </c>
      <c r="B7" s="91">
        <v>1</v>
      </c>
      <c r="C7" s="302" t="s">
        <v>24</v>
      </c>
      <c r="D7" s="303" t="str">
        <f>IF(C7="Str",'Personal File'!$C$11,IF(C7="Dex",'Personal File'!$C$12,IF(C7="Con",'Personal File'!$C$13,IF(C7="Int",'Personal File'!$C$14,IF(C7="Wis",'Personal File'!$C$15,IF(C7="Cha",'Personal File'!$C$16))))))</f>
        <v>+2</v>
      </c>
      <c r="E7" s="303" t="str">
        <f t="shared" ref="E7:E44" si="7">CONCATENATE(C7," (",D7,")")</f>
        <v>Dex (+2)</v>
      </c>
      <c r="F7" s="300">
        <f>SUM(Martial!$D$22:$D$24)</f>
        <v>0</v>
      </c>
      <c r="G7" s="92">
        <f t="shared" si="6"/>
        <v>3</v>
      </c>
      <c r="H7" s="70">
        <f t="shared" ref="H7:H43" ca="1" si="8">RANDBETWEEN(1,20)</f>
        <v>20</v>
      </c>
      <c r="I7" s="319">
        <f t="shared" ca="1" si="4"/>
        <v>23</v>
      </c>
      <c r="J7" s="213" t="s">
        <v>237</v>
      </c>
    </row>
    <row r="8" spans="1:10" s="6" customFormat="1" ht="16.8">
      <c r="A8" s="87" t="s">
        <v>30</v>
      </c>
      <c r="B8" s="80">
        <v>0</v>
      </c>
      <c r="C8" s="88" t="s">
        <v>20</v>
      </c>
      <c r="D8" s="89" t="str">
        <f>IF(C8="Str",'Personal File'!$C$11,IF(C8="Dex",'Personal File'!$C$12,IF(C8="Con",'Personal File'!$C$13,IF(C8="Int",'Personal File'!$C$14,IF(C8="Wis",'Personal File'!$C$15,IF(C8="Cha",'Personal File'!$C$16))))))</f>
        <v>+1</v>
      </c>
      <c r="E8" s="90" t="str">
        <f t="shared" si="7"/>
        <v>Cha (+1)</v>
      </c>
      <c r="F8" s="84" t="s">
        <v>52</v>
      </c>
      <c r="G8" s="84">
        <f t="shared" si="6"/>
        <v>1</v>
      </c>
      <c r="H8" s="70">
        <f t="shared" ca="1" si="8"/>
        <v>11</v>
      </c>
      <c r="I8" s="69">
        <f t="shared" ca="1" si="4"/>
        <v>12</v>
      </c>
      <c r="J8" s="121"/>
    </row>
    <row r="9" spans="1:10" s="5" customFormat="1" ht="16.8">
      <c r="A9" s="175" t="s">
        <v>31</v>
      </c>
      <c r="B9" s="91">
        <v>2</v>
      </c>
      <c r="C9" s="176" t="s">
        <v>25</v>
      </c>
      <c r="D9" s="177" t="str">
        <f>IF(C9="Str",'Personal File'!$C$11,IF(C9="Dex",'Personal File'!$C$12,IF(C9="Con",'Personal File'!$C$13,IF(C9="Int",'Personal File'!$C$14,IF(C9="Wis",'Personal File'!$C$15,IF(C9="Cha",'Personal File'!$C$16))))))</f>
        <v>+2</v>
      </c>
      <c r="E9" s="177" t="str">
        <f t="shared" si="7"/>
        <v>Str (+2)</v>
      </c>
      <c r="F9" s="300">
        <f>SUM(Martial!$D$22:$D$24)</f>
        <v>0</v>
      </c>
      <c r="G9" s="92">
        <f t="shared" si="6"/>
        <v>4</v>
      </c>
      <c r="H9" s="70">
        <f t="shared" ca="1" si="8"/>
        <v>1</v>
      </c>
      <c r="I9" s="319">
        <f t="shared" ca="1" si="4"/>
        <v>5</v>
      </c>
      <c r="J9" s="213" t="s">
        <v>237</v>
      </c>
    </row>
    <row r="10" spans="1:10" s="5" customFormat="1" ht="16.8">
      <c r="A10" s="243" t="s">
        <v>7</v>
      </c>
      <c r="B10" s="91">
        <v>5</v>
      </c>
      <c r="C10" s="244" t="s">
        <v>21</v>
      </c>
      <c r="D10" s="245" t="str">
        <f>IF(C10="Str",'Personal File'!$C$11,IF(C10="Dex",'Personal File'!$C$12,IF(C10="Con",'Personal File'!$C$13,IF(C10="Int",'Personal File'!$C$14,IF(C10="Wis",'Personal File'!$C$15,IF(C10="Cha",'Personal File'!$C$16))))))</f>
        <v>+3</v>
      </c>
      <c r="E10" s="245" t="str">
        <f t="shared" si="7"/>
        <v>Con (+3)</v>
      </c>
      <c r="F10" s="92" t="s">
        <v>52</v>
      </c>
      <c r="G10" s="92">
        <f t="shared" si="6"/>
        <v>8</v>
      </c>
      <c r="H10" s="70">
        <f t="shared" ca="1" si="8"/>
        <v>9</v>
      </c>
      <c r="I10" s="319">
        <f t="shared" ca="1" si="4"/>
        <v>17</v>
      </c>
      <c r="J10" s="213"/>
    </row>
    <row r="11" spans="1:10" s="4" customFormat="1" ht="16.8">
      <c r="A11" s="109" t="s">
        <v>109</v>
      </c>
      <c r="B11" s="91">
        <v>4</v>
      </c>
      <c r="C11" s="110" t="s">
        <v>22</v>
      </c>
      <c r="D11" s="111" t="str">
        <f>IF(C11="Str",'Personal File'!$C$11,IF(C11="Dex",'Personal File'!$C$12,IF(C11="Con",'Personal File'!$C$13,IF(C11="Int",'Personal File'!$C$14,IF(C11="Wis",'Personal File'!$C$15,IF(C11="Cha",'Personal File'!$C$16))))))</f>
        <v>+0</v>
      </c>
      <c r="E11" s="111" t="str">
        <f t="shared" si="7"/>
        <v>Int (+0)</v>
      </c>
      <c r="F11" s="92" t="s">
        <v>52</v>
      </c>
      <c r="G11" s="92">
        <f t="shared" si="6"/>
        <v>4</v>
      </c>
      <c r="H11" s="70">
        <f t="shared" ca="1" si="8"/>
        <v>4</v>
      </c>
      <c r="I11" s="319">
        <f t="shared" ca="1" si="4"/>
        <v>8</v>
      </c>
      <c r="J11" s="213"/>
    </row>
    <row r="12" spans="1:10" s="7" customFormat="1" ht="16.8">
      <c r="A12" s="94" t="s">
        <v>32</v>
      </c>
      <c r="B12" s="95">
        <v>0</v>
      </c>
      <c r="C12" s="96" t="s">
        <v>22</v>
      </c>
      <c r="D12" s="97" t="str">
        <f>IF(C12="Str",'Personal File'!$C$11,IF(C12="Dex",'Personal File'!$C$12,IF(C12="Con",'Personal File'!$C$13,IF(C12="Int",'Personal File'!$C$14,IF(C12="Wis",'Personal File'!$C$15,IF(C12="Cha",'Personal File'!$C$16))))))</f>
        <v>+0</v>
      </c>
      <c r="E12" s="97" t="str">
        <f t="shared" si="7"/>
        <v>Int (+0)</v>
      </c>
      <c r="F12" s="98" t="s">
        <v>52</v>
      </c>
      <c r="G12" s="98">
        <f t="shared" si="6"/>
        <v>0</v>
      </c>
      <c r="H12" s="70">
        <f t="shared" ca="1" si="8"/>
        <v>19</v>
      </c>
      <c r="I12" s="98">
        <f t="shared" ca="1" si="4"/>
        <v>19</v>
      </c>
      <c r="J12" s="423"/>
    </row>
    <row r="13" spans="1:10" s="8" customFormat="1" ht="16.8">
      <c r="A13" s="237" t="s">
        <v>33</v>
      </c>
      <c r="B13" s="238">
        <v>0</v>
      </c>
      <c r="C13" s="239" t="s">
        <v>20</v>
      </c>
      <c r="D13" s="240" t="str">
        <f>IF(C13="Str",'Personal File'!$C$11,IF(C13="Dex",'Personal File'!$C$12,IF(C13="Con",'Personal File'!$C$13,IF(C13="Int",'Personal File'!$C$14,IF(C13="Wis",'Personal File'!$C$15,IF(C13="Cha",'Personal File'!$C$16))))))</f>
        <v>+1</v>
      </c>
      <c r="E13" s="241" t="str">
        <f t="shared" si="7"/>
        <v>Cha (+1)</v>
      </c>
      <c r="F13" s="242" t="s">
        <v>52</v>
      </c>
      <c r="G13" s="242">
        <f t="shared" si="6"/>
        <v>1</v>
      </c>
      <c r="H13" s="70">
        <f t="shared" ca="1" si="8"/>
        <v>6</v>
      </c>
      <c r="I13" s="242">
        <f t="shared" ca="1" si="4"/>
        <v>7</v>
      </c>
      <c r="J13" s="424"/>
    </row>
    <row r="14" spans="1:10" s="8" customFormat="1" ht="16.8">
      <c r="A14" s="94" t="s">
        <v>34</v>
      </c>
      <c r="B14" s="95">
        <v>0</v>
      </c>
      <c r="C14" s="96" t="s">
        <v>22</v>
      </c>
      <c r="D14" s="97" t="str">
        <f>IF(C14="Str",'Personal File'!$C$11,IF(C14="Dex",'Personal File'!$C$12,IF(C14="Con",'Personal File'!$C$13,IF(C14="Int",'Personal File'!$C$14,IF(C14="Wis",'Personal File'!$C$15,IF(C14="Cha",'Personal File'!$C$16))))))</f>
        <v>+0</v>
      </c>
      <c r="E14" s="97" t="str">
        <f t="shared" si="7"/>
        <v>Int (+0)</v>
      </c>
      <c r="F14" s="98" t="s">
        <v>52</v>
      </c>
      <c r="G14" s="98">
        <f t="shared" si="6"/>
        <v>0</v>
      </c>
      <c r="H14" s="70">
        <f t="shared" ca="1" si="8"/>
        <v>14</v>
      </c>
      <c r="I14" s="98">
        <f t="shared" ca="1" si="4"/>
        <v>14</v>
      </c>
      <c r="J14" s="423"/>
    </row>
    <row r="15" spans="1:10" s="8" customFormat="1" ht="16.8">
      <c r="A15" s="87" t="s">
        <v>35</v>
      </c>
      <c r="B15" s="80">
        <v>0</v>
      </c>
      <c r="C15" s="88" t="s">
        <v>20</v>
      </c>
      <c r="D15" s="89" t="str">
        <f>IF(C15="Str",'Personal File'!$C$11,IF(C15="Dex",'Personal File'!$C$12,IF(C15="Con",'Personal File'!$C$13,IF(C15="Int",'Personal File'!$C$14,IF(C15="Wis",'Personal File'!$C$15,IF(C15="Cha",'Personal File'!$C$16))))))</f>
        <v>+1</v>
      </c>
      <c r="E15" s="90" t="str">
        <f t="shared" si="7"/>
        <v>Cha (+1)</v>
      </c>
      <c r="F15" s="84" t="s">
        <v>52</v>
      </c>
      <c r="G15" s="84">
        <f t="shared" si="6"/>
        <v>1</v>
      </c>
      <c r="H15" s="70">
        <f t="shared" ca="1" si="8"/>
        <v>3</v>
      </c>
      <c r="I15" s="84">
        <f t="shared" ca="1" si="4"/>
        <v>4</v>
      </c>
      <c r="J15" s="121"/>
    </row>
    <row r="16" spans="1:10" s="8" customFormat="1" ht="16.8">
      <c r="A16" s="85" t="s">
        <v>36</v>
      </c>
      <c r="B16" s="80">
        <v>0</v>
      </c>
      <c r="C16" s="86" t="s">
        <v>24</v>
      </c>
      <c r="D16" s="72" t="str">
        <f>IF(C16="Str",'Personal File'!$C$11,IF(C16="Dex",'Personal File'!$C$12,IF(C16="Con",'Personal File'!$C$13,IF(C16="Int",'Personal File'!$C$14,IF(C16="Wis",'Personal File'!$C$15,IF(C16="Cha",'Personal File'!$C$16))))))</f>
        <v>+2</v>
      </c>
      <c r="E16" s="73" t="str">
        <f t="shared" si="7"/>
        <v>Dex (+2)</v>
      </c>
      <c r="F16" s="222">
        <f>SUM(Martial!$D$22:$D$24)</f>
        <v>0</v>
      </c>
      <c r="G16" s="84">
        <f t="shared" si="6"/>
        <v>2</v>
      </c>
      <c r="H16" s="70">
        <f t="shared" ca="1" si="8"/>
        <v>12</v>
      </c>
      <c r="I16" s="84">
        <f t="shared" ca="1" si="4"/>
        <v>14</v>
      </c>
      <c r="J16" s="121"/>
    </row>
    <row r="17" spans="1:10" s="8" customFormat="1" ht="16.8">
      <c r="A17" s="101" t="s">
        <v>37</v>
      </c>
      <c r="B17" s="102">
        <v>0</v>
      </c>
      <c r="C17" s="103" t="s">
        <v>22</v>
      </c>
      <c r="D17" s="104" t="str">
        <f>IF(C17="Str",'Personal File'!$C$11,IF(C17="Dex",'Personal File'!$C$12,IF(C17="Con",'Personal File'!$C$13,IF(C17="Int",'Personal File'!$C$14,IF(C17="Wis",'Personal File'!$C$15,IF(C17="Cha",'Personal File'!$C$16))))))</f>
        <v>+0</v>
      </c>
      <c r="E17" s="104" t="str">
        <f t="shared" si="7"/>
        <v>Int (+0)</v>
      </c>
      <c r="F17" s="105" t="s">
        <v>52</v>
      </c>
      <c r="G17" s="105">
        <f t="shared" si="6"/>
        <v>0</v>
      </c>
      <c r="H17" s="70">
        <f t="shared" ca="1" si="8"/>
        <v>5</v>
      </c>
      <c r="I17" s="105">
        <f t="shared" ca="1" si="4"/>
        <v>5</v>
      </c>
      <c r="J17" s="214"/>
    </row>
    <row r="18" spans="1:10" s="8" customFormat="1" ht="16.8">
      <c r="A18" s="87" t="s">
        <v>38</v>
      </c>
      <c r="B18" s="80">
        <v>0</v>
      </c>
      <c r="C18" s="88" t="s">
        <v>20</v>
      </c>
      <c r="D18" s="89" t="str">
        <f>IF(C18="Str",'Personal File'!$C$11,IF(C18="Dex",'Personal File'!$C$12,IF(C18="Con",'Personal File'!$C$13,IF(C18="Int",'Personal File'!$C$14,IF(C18="Wis",'Personal File'!$C$15,IF(C18="Cha",'Personal File'!$C$16))))))</f>
        <v>+1</v>
      </c>
      <c r="E18" s="90" t="str">
        <f t="shared" si="7"/>
        <v>Cha (+1)</v>
      </c>
      <c r="F18" s="84" t="s">
        <v>52</v>
      </c>
      <c r="G18" s="84">
        <f t="shared" si="6"/>
        <v>1</v>
      </c>
      <c r="H18" s="70">
        <f t="shared" ca="1" si="8"/>
        <v>7</v>
      </c>
      <c r="I18" s="84">
        <f t="shared" ca="1" si="4"/>
        <v>8</v>
      </c>
      <c r="J18" s="121"/>
    </row>
    <row r="19" spans="1:10" s="8" customFormat="1" ht="16.8">
      <c r="A19" s="87" t="s">
        <v>9</v>
      </c>
      <c r="B19" s="80">
        <v>0</v>
      </c>
      <c r="C19" s="88" t="s">
        <v>20</v>
      </c>
      <c r="D19" s="89" t="str">
        <f>IF(C19="Str",'Personal File'!$C$11,IF(C19="Dex",'Personal File'!$C$12,IF(C19="Con",'Personal File'!$C$13,IF(C19="Int",'Personal File'!$C$14,IF(C19="Wis",'Personal File'!$C$15,IF(C19="Cha",'Personal File'!$C$16))))))</f>
        <v>+1</v>
      </c>
      <c r="E19" s="90" t="str">
        <f t="shared" si="7"/>
        <v>Cha (+1)</v>
      </c>
      <c r="F19" s="84" t="s">
        <v>52</v>
      </c>
      <c r="G19" s="84">
        <f t="shared" si="6"/>
        <v>1</v>
      </c>
      <c r="H19" s="70">
        <f t="shared" ca="1" si="8"/>
        <v>20</v>
      </c>
      <c r="I19" s="84">
        <f t="shared" ca="1" si="4"/>
        <v>21</v>
      </c>
      <c r="J19" s="121"/>
    </row>
    <row r="20" spans="1:10" s="8" customFormat="1" ht="16.8">
      <c r="A20" s="372" t="s">
        <v>39</v>
      </c>
      <c r="B20" s="80">
        <v>0</v>
      </c>
      <c r="C20" s="373" t="s">
        <v>23</v>
      </c>
      <c r="D20" s="374" t="str">
        <f>IF(C20="Str",'Personal File'!$C$11,IF(C20="Dex",'Personal File'!$C$12,IF(C20="Con",'Personal File'!$C$13,IF(C20="Int",'Personal File'!$C$14,IF(C20="Wis",'Personal File'!$C$15,IF(C20="Cha",'Personal File'!$C$16))))))</f>
        <v>+1</v>
      </c>
      <c r="E20" s="374" t="str">
        <f t="shared" si="7"/>
        <v>Wis (+1)</v>
      </c>
      <c r="F20" s="222">
        <f>SUM(Martial!$D$22:$D$24)</f>
        <v>0</v>
      </c>
      <c r="G20" s="84">
        <f t="shared" si="6"/>
        <v>1</v>
      </c>
      <c r="H20" s="70">
        <f t="shared" ca="1" si="8"/>
        <v>14</v>
      </c>
      <c r="I20" s="84">
        <f t="shared" ca="1" si="4"/>
        <v>15</v>
      </c>
      <c r="J20" s="121"/>
    </row>
    <row r="21" spans="1:10" s="8" customFormat="1" ht="16.8">
      <c r="A21" s="301" t="s">
        <v>40</v>
      </c>
      <c r="B21" s="91">
        <v>5</v>
      </c>
      <c r="C21" s="302" t="s">
        <v>24</v>
      </c>
      <c r="D21" s="303" t="str">
        <f>IF(C21="Str",'Personal File'!$C$11,IF(C21="Dex",'Personal File'!$C$12,IF(C21="Con",'Personal File'!$C$13,IF(C21="Int",'Personal File'!$C$14,IF(C21="Wis",'Personal File'!$C$15,IF(C21="Cha",'Personal File'!$C$16))))))</f>
        <v>+2</v>
      </c>
      <c r="E21" s="303" t="str">
        <f t="shared" si="7"/>
        <v>Dex (+2)</v>
      </c>
      <c r="F21" s="300">
        <f>SUM(Martial!$D$22:$D$24)</f>
        <v>0</v>
      </c>
      <c r="G21" s="92">
        <f t="shared" si="6"/>
        <v>7</v>
      </c>
      <c r="H21" s="70">
        <f t="shared" ca="1" si="8"/>
        <v>4</v>
      </c>
      <c r="I21" s="92">
        <f t="shared" ca="1" si="4"/>
        <v>11</v>
      </c>
      <c r="J21" s="213"/>
    </row>
    <row r="22" spans="1:10" s="8" customFormat="1" ht="16.8">
      <c r="A22" s="106" t="s">
        <v>41</v>
      </c>
      <c r="B22" s="102">
        <v>0</v>
      </c>
      <c r="C22" s="107" t="s">
        <v>20</v>
      </c>
      <c r="D22" s="108" t="str">
        <f>IF(C22="Str",'Personal File'!$C$11,IF(C22="Dex",'Personal File'!$C$12,IF(C22="Con",'Personal File'!$C$13,IF(C22="Int",'Personal File'!$C$14,IF(C22="Wis",'Personal File'!$C$15,IF(C22="Cha",'Personal File'!$C$16))))))</f>
        <v>+1</v>
      </c>
      <c r="E22" s="410" t="str">
        <f t="shared" si="7"/>
        <v>Cha (+1)</v>
      </c>
      <c r="F22" s="105" t="s">
        <v>52</v>
      </c>
      <c r="G22" s="105">
        <f t="shared" si="6"/>
        <v>1</v>
      </c>
      <c r="H22" s="70">
        <f t="shared" ca="1" si="8"/>
        <v>10</v>
      </c>
      <c r="I22" s="105">
        <f t="shared" ca="1" si="4"/>
        <v>11</v>
      </c>
      <c r="J22" s="214"/>
    </row>
    <row r="23" spans="1:10" s="8" customFormat="1" ht="16.8">
      <c r="A23" s="175" t="s">
        <v>42</v>
      </c>
      <c r="B23" s="91">
        <v>1</v>
      </c>
      <c r="C23" s="176" t="s">
        <v>25</v>
      </c>
      <c r="D23" s="177" t="str">
        <f>IF(C23="Str",'Personal File'!$C$11,IF(C23="Dex",'Personal File'!$C$12,IF(C23="Con",'Personal File'!$C$13,IF(C23="Int",'Personal File'!$C$14,IF(C23="Wis",'Personal File'!$C$15,IF(C23="Cha",'Personal File'!$C$16))))))</f>
        <v>+2</v>
      </c>
      <c r="E23" s="177" t="str">
        <f t="shared" si="7"/>
        <v>Str (+2)</v>
      </c>
      <c r="F23" s="300">
        <f>SUM(Martial!$D$22:$D$24)</f>
        <v>0</v>
      </c>
      <c r="G23" s="92">
        <f t="shared" si="6"/>
        <v>3</v>
      </c>
      <c r="H23" s="70">
        <f t="shared" ca="1" si="8"/>
        <v>12</v>
      </c>
      <c r="I23" s="92">
        <f t="shared" ca="1" si="4"/>
        <v>15</v>
      </c>
      <c r="J23" s="213"/>
    </row>
    <row r="24" spans="1:10" s="8" customFormat="1" ht="16.8">
      <c r="A24" s="109" t="s">
        <v>110</v>
      </c>
      <c r="B24" s="91">
        <v>2</v>
      </c>
      <c r="C24" s="110" t="s">
        <v>22</v>
      </c>
      <c r="D24" s="111" t="str">
        <f>IF(C24="Str",'Personal File'!$C$11,IF(C24="Dex",'Personal File'!$C$12,IF(C24="Con",'Personal File'!$C$13,IF(C24="Int",'Personal File'!$C$14,IF(C24="Wis",'Personal File'!$C$15,IF(C24="Cha",'Personal File'!$C$16))))))</f>
        <v>+0</v>
      </c>
      <c r="E24" s="111" t="str">
        <f>CONCATENATE(C24," (",D24,")")</f>
        <v>Int (+0)</v>
      </c>
      <c r="F24" s="92" t="s">
        <v>52</v>
      </c>
      <c r="G24" s="92">
        <f t="shared" ref="G24" si="9">B24+D24+F24</f>
        <v>2</v>
      </c>
      <c r="H24" s="70">
        <f t="shared" ca="1" si="8"/>
        <v>4</v>
      </c>
      <c r="I24" s="92">
        <f t="shared" ref="I24" ca="1" si="10">SUM(G24:H24)</f>
        <v>6</v>
      </c>
      <c r="J24" s="93" t="s">
        <v>237</v>
      </c>
    </row>
    <row r="25" spans="1:10" s="8" customFormat="1" ht="16.8">
      <c r="A25" s="109" t="s">
        <v>184</v>
      </c>
      <c r="B25" s="91">
        <v>2</v>
      </c>
      <c r="C25" s="110" t="s">
        <v>22</v>
      </c>
      <c r="D25" s="111" t="str">
        <f>IF(C25="Str",'Personal File'!$C$11,IF(C25="Dex",'Personal File'!$C$12,IF(C25="Con",'Personal File'!$C$13,IF(C25="Int",'Personal File'!$C$14,IF(C25="Wis",'Personal File'!$C$15,IF(C25="Cha",'Personal File'!$C$16))))))</f>
        <v>+0</v>
      </c>
      <c r="E25" s="111" t="str">
        <f>CONCATENATE(C25," (",D25,")")</f>
        <v>Int (+0)</v>
      </c>
      <c r="F25" s="92" t="s">
        <v>52</v>
      </c>
      <c r="G25" s="92">
        <f t="shared" ref="G25" si="11">B25+D25+F25</f>
        <v>2</v>
      </c>
      <c r="H25" s="70">
        <f t="shared" ca="1" si="8"/>
        <v>5</v>
      </c>
      <c r="I25" s="92">
        <f t="shared" ref="I25" ca="1" si="12">SUM(G25:H25)</f>
        <v>7</v>
      </c>
      <c r="J25" s="213" t="s">
        <v>237</v>
      </c>
    </row>
    <row r="26" spans="1:10" s="8" customFormat="1" ht="16.8">
      <c r="A26" s="226" t="s">
        <v>43</v>
      </c>
      <c r="B26" s="91">
        <v>4</v>
      </c>
      <c r="C26" s="227" t="s">
        <v>23</v>
      </c>
      <c r="D26" s="228" t="str">
        <f>IF(C26="Str",'Personal File'!$C$11,IF(C26="Dex",'Personal File'!$C$12,IF(C26="Con",'Personal File'!$C$13,IF(C26="Int",'Personal File'!$C$14,IF(C26="Wis",'Personal File'!$C$15,IF(C26="Cha",'Personal File'!$C$16))))))</f>
        <v>+1</v>
      </c>
      <c r="E26" s="304" t="str">
        <f t="shared" si="7"/>
        <v>Wis (+1)</v>
      </c>
      <c r="F26" s="92" t="s">
        <v>52</v>
      </c>
      <c r="G26" s="92">
        <f t="shared" si="6"/>
        <v>5</v>
      </c>
      <c r="H26" s="70">
        <f t="shared" ca="1" si="8"/>
        <v>7</v>
      </c>
      <c r="I26" s="92">
        <f t="shared" ca="1" si="4"/>
        <v>12</v>
      </c>
      <c r="J26" s="93"/>
    </row>
    <row r="27" spans="1:10" s="8" customFormat="1" ht="16.8">
      <c r="A27" s="85" t="s">
        <v>10</v>
      </c>
      <c r="B27" s="80">
        <v>0</v>
      </c>
      <c r="C27" s="86" t="s">
        <v>24</v>
      </c>
      <c r="D27" s="72" t="str">
        <f>IF(C27="Str",'Personal File'!$C$11,IF(C27="Dex",'Personal File'!$C$12,IF(C27="Con",'Personal File'!$C$13,IF(C27="Int",'Personal File'!$C$14,IF(C27="Wis",'Personal File'!$C$15,IF(C27="Cha",'Personal File'!$C$16))))))</f>
        <v>+2</v>
      </c>
      <c r="E27" s="72" t="str">
        <f t="shared" si="7"/>
        <v>Dex (+2)</v>
      </c>
      <c r="F27" s="222">
        <f>SUM(Martial!$D$22:$D$24)</f>
        <v>0</v>
      </c>
      <c r="G27" s="84">
        <f t="shared" si="6"/>
        <v>2</v>
      </c>
      <c r="H27" s="70">
        <f t="shared" ca="1" si="8"/>
        <v>12</v>
      </c>
      <c r="I27" s="84">
        <f t="shared" ca="1" si="4"/>
        <v>14</v>
      </c>
      <c r="J27" s="74"/>
    </row>
    <row r="28" spans="1:10" s="8" customFormat="1" ht="16.8">
      <c r="A28" s="112" t="s">
        <v>44</v>
      </c>
      <c r="B28" s="95">
        <v>0</v>
      </c>
      <c r="C28" s="113" t="s">
        <v>24</v>
      </c>
      <c r="D28" s="114" t="str">
        <f>IF(C28="Str",'Personal File'!$C$11,IF(C28="Dex",'Personal File'!$C$12,IF(C28="Con",'Personal File'!$C$13,IF(C28="Int",'Personal File'!$C$14,IF(C28="Wis",'Personal File'!$C$15,IF(C28="Cha",'Personal File'!$C$16))))))</f>
        <v>+2</v>
      </c>
      <c r="E28" s="114" t="str">
        <f t="shared" si="7"/>
        <v>Dex (+2)</v>
      </c>
      <c r="F28" s="98" t="s">
        <v>52</v>
      </c>
      <c r="G28" s="98">
        <f t="shared" si="6"/>
        <v>2</v>
      </c>
      <c r="H28" s="70">
        <f t="shared" ca="1" si="8"/>
        <v>3</v>
      </c>
      <c r="I28" s="98">
        <f t="shared" ca="1" si="4"/>
        <v>5</v>
      </c>
      <c r="J28" s="99"/>
    </row>
    <row r="29" spans="1:10" ht="16.8">
      <c r="A29" s="87" t="s">
        <v>70</v>
      </c>
      <c r="B29" s="80">
        <v>0</v>
      </c>
      <c r="C29" s="88" t="s">
        <v>20</v>
      </c>
      <c r="D29" s="89" t="str">
        <f>IF(C29="Str",'Personal File'!$C$11,IF(C29="Dex",'Personal File'!$C$12,IF(C29="Con",'Personal File'!$C$13,IF(C29="Int",'Personal File'!$C$14,IF(C29="Wis",'Personal File'!$C$15,IF(C29="Cha",'Personal File'!$C$16))))))</f>
        <v>+1</v>
      </c>
      <c r="E29" s="90" t="str">
        <f t="shared" si="7"/>
        <v>Cha (+1)</v>
      </c>
      <c r="F29" s="84" t="s">
        <v>52</v>
      </c>
      <c r="G29" s="84">
        <f t="shared" si="6"/>
        <v>1</v>
      </c>
      <c r="H29" s="70">
        <f t="shared" ca="1" si="8"/>
        <v>12</v>
      </c>
      <c r="I29" s="84">
        <f t="shared" ca="1" si="4"/>
        <v>13</v>
      </c>
      <c r="J29" s="74"/>
    </row>
    <row r="30" spans="1:10" ht="16.8">
      <c r="A30" s="100" t="s">
        <v>111</v>
      </c>
      <c r="B30" s="91">
        <v>5</v>
      </c>
      <c r="C30" s="227" t="s">
        <v>23</v>
      </c>
      <c r="D30" s="228" t="str">
        <f>IF(C30="Str",'Personal File'!$C$11,IF(C30="Dex",'Personal File'!$C$12,IF(C30="Con",'Personal File'!$C$13,IF(C30="Int",'Personal File'!$C$14,IF(C30="Wis",'Personal File'!$C$15,IF(C30="Cha",'Personal File'!$C$16))))))</f>
        <v>+1</v>
      </c>
      <c r="E30" s="228" t="str">
        <f t="shared" si="7"/>
        <v>Wis (+1)</v>
      </c>
      <c r="F30" s="92" t="s">
        <v>52</v>
      </c>
      <c r="G30" s="92">
        <f t="shared" si="6"/>
        <v>6</v>
      </c>
      <c r="H30" s="70">
        <f t="shared" ca="1" si="8"/>
        <v>20</v>
      </c>
      <c r="I30" s="92">
        <f t="shared" ca="1" si="4"/>
        <v>26</v>
      </c>
      <c r="J30" s="93"/>
    </row>
    <row r="31" spans="1:10" ht="16.8">
      <c r="A31" s="100" t="s">
        <v>186</v>
      </c>
      <c r="B31" s="91">
        <v>2</v>
      </c>
      <c r="C31" s="227" t="s">
        <v>23</v>
      </c>
      <c r="D31" s="228" t="str">
        <f>IF(C31="Str",'Personal File'!$C$11,IF(C31="Dex",'Personal File'!$C$12,IF(C31="Con",'Personal File'!$C$13,IF(C31="Int",'Personal File'!$C$14,IF(C31="Wis",'Personal File'!$C$15,IF(C31="Cha",'Personal File'!$C$16))))))</f>
        <v>+1</v>
      </c>
      <c r="E31" s="228" t="str">
        <f t="shared" ref="E31" si="13">CONCATENATE(C31," (",D31,")")</f>
        <v>Wis (+1)</v>
      </c>
      <c r="F31" s="92" t="s">
        <v>52</v>
      </c>
      <c r="G31" s="92">
        <f t="shared" ref="G31" si="14">B31+D31+F31</f>
        <v>3</v>
      </c>
      <c r="H31" s="70">
        <f t="shared" ca="1" si="8"/>
        <v>11</v>
      </c>
      <c r="I31" s="92">
        <f t="shared" ref="I31" ca="1" si="15">SUM(G31:H31)</f>
        <v>14</v>
      </c>
      <c r="J31" s="93"/>
    </row>
    <row r="32" spans="1:10" ht="16.8">
      <c r="A32" s="100" t="s">
        <v>185</v>
      </c>
      <c r="B32" s="91">
        <v>2</v>
      </c>
      <c r="C32" s="227" t="s">
        <v>23</v>
      </c>
      <c r="D32" s="228" t="str">
        <f>IF(C32="Str",'Personal File'!$C$11,IF(C32="Dex",'Personal File'!$C$12,IF(C32="Con",'Personal File'!$C$13,IF(C32="Int",'Personal File'!$C$14,IF(C32="Wis",'Personal File'!$C$15,IF(C32="Cha",'Personal File'!$C$16))))))</f>
        <v>+1</v>
      </c>
      <c r="E32" s="228" t="str">
        <f t="shared" ref="E32" si="16">CONCATENATE(C32," (",D32,")")</f>
        <v>Wis (+1)</v>
      </c>
      <c r="F32" s="92" t="s">
        <v>52</v>
      </c>
      <c r="G32" s="92">
        <f t="shared" ref="G32" si="17">B32+D32+F32</f>
        <v>3</v>
      </c>
      <c r="H32" s="70">
        <f t="shared" ca="1" si="8"/>
        <v>9</v>
      </c>
      <c r="I32" s="92">
        <f t="shared" ref="I32" ca="1" si="18">SUM(G32:H32)</f>
        <v>12</v>
      </c>
      <c r="J32" s="93"/>
    </row>
    <row r="33" spans="1:10" ht="16.8">
      <c r="A33" s="293" t="s">
        <v>11</v>
      </c>
      <c r="B33" s="294">
        <v>0</v>
      </c>
      <c r="C33" s="295" t="s">
        <v>24</v>
      </c>
      <c r="D33" s="296" t="str">
        <f>IF(C33="Str",'Personal File'!$C$11,IF(C33="Dex",'Personal File'!$C$12,IF(C33="Con",'Personal File'!$C$13,IF(C33="Int",'Personal File'!$C$14,IF(C33="Wis",'Personal File'!$C$15,IF(C33="Cha",'Personal File'!$C$16))))))</f>
        <v>+2</v>
      </c>
      <c r="E33" s="297" t="str">
        <f t="shared" si="7"/>
        <v>Dex (+2)</v>
      </c>
      <c r="F33" s="298" t="s">
        <v>52</v>
      </c>
      <c r="G33" s="298">
        <f t="shared" si="6"/>
        <v>2</v>
      </c>
      <c r="H33" s="70">
        <f t="shared" ca="1" si="8"/>
        <v>14</v>
      </c>
      <c r="I33" s="298">
        <f t="shared" ca="1" si="4"/>
        <v>16</v>
      </c>
      <c r="J33" s="299"/>
    </row>
    <row r="34" spans="1:10" ht="16.8">
      <c r="A34" s="109" t="s">
        <v>12</v>
      </c>
      <c r="B34" s="91">
        <v>1</v>
      </c>
      <c r="C34" s="110" t="s">
        <v>22</v>
      </c>
      <c r="D34" s="111" t="str">
        <f>IF(C34="Str",'Personal File'!$C$11,IF(C34="Dex",'Personal File'!$C$12,IF(C34="Con",'Personal File'!$C$13,IF(C34="Int",'Personal File'!$C$14,IF(C34="Wis",'Personal File'!$C$15,IF(C34="Cha",'Personal File'!$C$16))))))</f>
        <v>+0</v>
      </c>
      <c r="E34" s="111" t="str">
        <f t="shared" si="7"/>
        <v>Int (+0)</v>
      </c>
      <c r="F34" s="92" t="s">
        <v>52</v>
      </c>
      <c r="G34" s="92">
        <f t="shared" si="6"/>
        <v>1</v>
      </c>
      <c r="H34" s="70">
        <f t="shared" ca="1" si="8"/>
        <v>3</v>
      </c>
      <c r="I34" s="92">
        <f t="shared" ca="1" si="4"/>
        <v>4</v>
      </c>
      <c r="J34" s="213" t="s">
        <v>237</v>
      </c>
    </row>
    <row r="35" spans="1:10" ht="16.8">
      <c r="A35" s="226" t="s">
        <v>45</v>
      </c>
      <c r="B35" s="91">
        <v>1</v>
      </c>
      <c r="C35" s="227" t="s">
        <v>23</v>
      </c>
      <c r="D35" s="228" t="str">
        <f>IF(C35="Str",'Personal File'!$C$11,IF(C35="Dex",'Personal File'!$C$12,IF(C35="Con",'Personal File'!$C$13,IF(C35="Int",'Personal File'!$C$14,IF(C35="Wis",'Personal File'!$C$15,IF(C35="Cha",'Personal File'!$C$16))))))</f>
        <v>+1</v>
      </c>
      <c r="E35" s="228" t="str">
        <f t="shared" si="7"/>
        <v>Wis (+1)</v>
      </c>
      <c r="F35" s="92" t="s">
        <v>52</v>
      </c>
      <c r="G35" s="92">
        <f t="shared" si="6"/>
        <v>2</v>
      </c>
      <c r="H35" s="70">
        <f t="shared" ca="1" si="8"/>
        <v>20</v>
      </c>
      <c r="I35" s="92">
        <f t="shared" ca="1" si="4"/>
        <v>22</v>
      </c>
      <c r="J35" s="93"/>
    </row>
    <row r="36" spans="1:10" ht="16.8">
      <c r="A36" s="112" t="s">
        <v>71</v>
      </c>
      <c r="B36" s="95">
        <v>0</v>
      </c>
      <c r="C36" s="113" t="s">
        <v>24</v>
      </c>
      <c r="D36" s="114" t="str">
        <f>IF(C36="Str",'Personal File'!$C$11,IF(C36="Dex",'Personal File'!$C$12,IF(C36="Con",'Personal File'!$C$13,IF(C36="Int",'Personal File'!$C$14,IF(C36="Wis",'Personal File'!$C$15,IF(C36="Cha",'Personal File'!$C$16))))))</f>
        <v>+2</v>
      </c>
      <c r="E36" s="114" t="str">
        <f t="shared" si="7"/>
        <v>Dex (+2)</v>
      </c>
      <c r="F36" s="119">
        <f>SUM(Martial!$D$22:$D$24)</f>
        <v>0</v>
      </c>
      <c r="G36" s="98">
        <f t="shared" si="6"/>
        <v>2</v>
      </c>
      <c r="H36" s="70">
        <f t="shared" ca="1" si="8"/>
        <v>4</v>
      </c>
      <c r="I36" s="98">
        <f t="shared" ca="1" si="4"/>
        <v>6</v>
      </c>
      <c r="J36" s="99"/>
    </row>
    <row r="37" spans="1:10" ht="16.8">
      <c r="A37" s="115" t="s">
        <v>207</v>
      </c>
      <c r="B37" s="116">
        <v>0</v>
      </c>
      <c r="C37" s="117" t="s">
        <v>22</v>
      </c>
      <c r="D37" s="118" t="str">
        <f>IF(C37="Str",'Personal File'!$C$11,IF(C37="Dex",'Personal File'!$C$12,IF(C37="Con",'Personal File'!$C$13,IF(C37="Int",'Personal File'!$C$14,IF(C37="Wis",'Personal File'!$C$15,IF(C37="Cha",'Personal File'!$C$16))))))</f>
        <v>+0</v>
      </c>
      <c r="E37" s="118" t="str">
        <f t="shared" ref="E37" si="19">CONCATENATE(C37," (",D37,")")</f>
        <v>Int (+0)</v>
      </c>
      <c r="F37" s="119" t="s">
        <v>52</v>
      </c>
      <c r="G37" s="119">
        <f t="shared" ref="G37" si="20">B37+D37+F37</f>
        <v>0</v>
      </c>
      <c r="H37" s="70">
        <f t="shared" ca="1" si="8"/>
        <v>17</v>
      </c>
      <c r="I37" s="119">
        <f t="shared" ref="I37" ca="1" si="21">SUM(G37:H37)</f>
        <v>17</v>
      </c>
      <c r="J37" s="120"/>
    </row>
    <row r="38" spans="1:10" ht="16.8">
      <c r="A38" s="115" t="s">
        <v>46</v>
      </c>
      <c r="B38" s="116">
        <v>0</v>
      </c>
      <c r="C38" s="117" t="s">
        <v>22</v>
      </c>
      <c r="D38" s="118" t="str">
        <f>IF(C38="Str",'Personal File'!$C$11,IF(C38="Dex",'Personal File'!$C$12,IF(C38="Con",'Personal File'!$C$13,IF(C38="Int",'Personal File'!$C$14,IF(C38="Wis",'Personal File'!$C$15,IF(C38="Cha",'Personal File'!$C$16))))))</f>
        <v>+0</v>
      </c>
      <c r="E38" s="118" t="str">
        <f t="shared" si="7"/>
        <v>Int (+0)</v>
      </c>
      <c r="F38" s="119" t="s">
        <v>52</v>
      </c>
      <c r="G38" s="119">
        <f t="shared" si="6"/>
        <v>0</v>
      </c>
      <c r="H38" s="70">
        <f t="shared" ca="1" si="8"/>
        <v>10</v>
      </c>
      <c r="I38" s="119">
        <f t="shared" ca="1" si="4"/>
        <v>10</v>
      </c>
      <c r="J38" s="120"/>
    </row>
    <row r="39" spans="1:10" ht="16.8">
      <c r="A39" s="226" t="s">
        <v>47</v>
      </c>
      <c r="B39" s="91">
        <v>6</v>
      </c>
      <c r="C39" s="227" t="s">
        <v>23</v>
      </c>
      <c r="D39" s="228" t="str">
        <f>IF(C39="Str",'Personal File'!$C$11,IF(C39="Dex",'Personal File'!$C$12,IF(C39="Con",'Personal File'!$C$13,IF(C39="Int",'Personal File'!$C$14,IF(C39="Wis",'Personal File'!$C$15,IF(C39="Cha",'Personal File'!$C$16))))))</f>
        <v>+1</v>
      </c>
      <c r="E39" s="228" t="str">
        <f t="shared" si="7"/>
        <v>Wis (+1)</v>
      </c>
      <c r="F39" s="92" t="s">
        <v>52</v>
      </c>
      <c r="G39" s="92">
        <f t="shared" si="6"/>
        <v>7</v>
      </c>
      <c r="H39" s="70">
        <f t="shared" ca="1" si="8"/>
        <v>10</v>
      </c>
      <c r="I39" s="92">
        <f t="shared" ca="1" si="4"/>
        <v>17</v>
      </c>
      <c r="J39" s="93"/>
    </row>
    <row r="40" spans="1:10" ht="16.8">
      <c r="A40" s="226" t="s">
        <v>72</v>
      </c>
      <c r="B40" s="91">
        <v>7</v>
      </c>
      <c r="C40" s="227" t="s">
        <v>23</v>
      </c>
      <c r="D40" s="228" t="str">
        <f>IF(C40="Str",'Personal File'!$C$11,IF(C40="Dex",'Personal File'!$C$12,IF(C40="Con",'Personal File'!$C$13,IF(C40="Int",'Personal File'!$C$14,IF(C40="Wis",'Personal File'!$C$15,IF(C40="Cha",'Personal File'!$C$16))))))</f>
        <v>+1</v>
      </c>
      <c r="E40" s="228" t="str">
        <f t="shared" si="7"/>
        <v>Wis (+1)</v>
      </c>
      <c r="F40" s="92" t="s">
        <v>52</v>
      </c>
      <c r="G40" s="92">
        <f t="shared" si="6"/>
        <v>8</v>
      </c>
      <c r="H40" s="70">
        <f t="shared" ca="1" si="8"/>
        <v>14</v>
      </c>
      <c r="I40" s="92">
        <f t="shared" ca="1" si="4"/>
        <v>22</v>
      </c>
      <c r="J40" s="213"/>
    </row>
    <row r="41" spans="1:10" ht="16.8">
      <c r="A41" s="175" t="s">
        <v>13</v>
      </c>
      <c r="B41" s="91">
        <v>2</v>
      </c>
      <c r="C41" s="176" t="s">
        <v>25</v>
      </c>
      <c r="D41" s="177" t="str">
        <f>IF(C41="Str",'Personal File'!$C$11,IF(C41="Dex",'Personal File'!$C$12,IF(C41="Con",'Personal File'!$C$13,IF(C41="Int",'Personal File'!$C$14,IF(C41="Wis",'Personal File'!$C$15,IF(C41="Cha",'Personal File'!$C$16))))))</f>
        <v>+2</v>
      </c>
      <c r="E41" s="177" t="str">
        <f t="shared" si="7"/>
        <v>Str (+2)</v>
      </c>
      <c r="F41" s="92" t="s">
        <v>52</v>
      </c>
      <c r="G41" s="92">
        <f t="shared" si="6"/>
        <v>4</v>
      </c>
      <c r="H41" s="70">
        <f t="shared" ca="1" si="8"/>
        <v>7</v>
      </c>
      <c r="I41" s="92">
        <f t="shared" ca="1" si="4"/>
        <v>11</v>
      </c>
      <c r="J41" s="213" t="s">
        <v>237</v>
      </c>
    </row>
    <row r="42" spans="1:10" ht="16.8">
      <c r="A42" s="122" t="s">
        <v>48</v>
      </c>
      <c r="B42" s="116">
        <v>0</v>
      </c>
      <c r="C42" s="123" t="s">
        <v>24</v>
      </c>
      <c r="D42" s="124" t="str">
        <f>IF(C42="Str",'Personal File'!$C$11,IF(C42="Dex",'Personal File'!$C$12,IF(C42="Con",'Personal File'!$C$13,IF(C42="Int",'Personal File'!$C$14,IF(C42="Wis",'Personal File'!$C$15,IF(C42="Cha",'Personal File'!$C$16))))))</f>
        <v>+2</v>
      </c>
      <c r="E42" s="124" t="str">
        <f t="shared" si="7"/>
        <v>Dex (+2)</v>
      </c>
      <c r="F42" s="119">
        <f>SUM(Martial!$D$22:$D$24)</f>
        <v>0</v>
      </c>
      <c r="G42" s="119">
        <f t="shared" si="6"/>
        <v>2</v>
      </c>
      <c r="H42" s="70">
        <f t="shared" ca="1" si="8"/>
        <v>12</v>
      </c>
      <c r="I42" s="119">
        <f t="shared" ca="1" si="4"/>
        <v>14</v>
      </c>
      <c r="J42" s="120"/>
    </row>
    <row r="43" spans="1:10" ht="16.8">
      <c r="A43" s="125" t="s">
        <v>49</v>
      </c>
      <c r="B43" s="95">
        <v>0</v>
      </c>
      <c r="C43" s="126" t="s">
        <v>20</v>
      </c>
      <c r="D43" s="127" t="str">
        <f>IF(C43="Str",'Personal File'!$C$11,IF(C43="Dex",'Personal File'!$C$12,IF(C43="Con",'Personal File'!$C$13,IF(C43="Int",'Personal File'!$C$14,IF(C43="Wis",'Personal File'!$C$15,IF(C43="Cha",'Personal File'!$C$16))))))</f>
        <v>+1</v>
      </c>
      <c r="E43" s="127" t="str">
        <f t="shared" si="7"/>
        <v>Cha (+1)</v>
      </c>
      <c r="F43" s="98" t="s">
        <v>52</v>
      </c>
      <c r="G43" s="98">
        <f t="shared" si="6"/>
        <v>1</v>
      </c>
      <c r="H43" s="70">
        <f t="shared" ca="1" si="8"/>
        <v>11</v>
      </c>
      <c r="I43" s="98">
        <f t="shared" ca="1" si="4"/>
        <v>12</v>
      </c>
      <c r="J43" s="99"/>
    </row>
    <row r="44" spans="1:10" ht="17.399999999999999" thickBot="1">
      <c r="A44" s="305" t="s">
        <v>50</v>
      </c>
      <c r="B44" s="306">
        <v>1</v>
      </c>
      <c r="C44" s="307" t="s">
        <v>24</v>
      </c>
      <c r="D44" s="308" t="str">
        <f>IF(C44="Str",'Personal File'!$C$11,IF(C44="Dex",'Personal File'!$C$12,IF(C44="Con",'Personal File'!$C$13,IF(C44="Int",'Personal File'!$C$14,IF(C44="Wis",'Personal File'!$C$15,IF(C44="Cha",'Personal File'!$C$16))))))</f>
        <v>+2</v>
      </c>
      <c r="E44" s="308" t="str">
        <f t="shared" si="7"/>
        <v>Dex (+2)</v>
      </c>
      <c r="F44" s="309" t="s">
        <v>52</v>
      </c>
      <c r="G44" s="309">
        <f t="shared" si="6"/>
        <v>3</v>
      </c>
      <c r="H44" s="128">
        <f t="shared" ref="H44" ca="1" si="22">RANDBETWEEN(1,20)</f>
        <v>6</v>
      </c>
      <c r="I44" s="309">
        <f t="shared" ca="1" si="4"/>
        <v>9</v>
      </c>
      <c r="J44" s="310" t="s">
        <v>237</v>
      </c>
    </row>
    <row r="45" spans="1:10" ht="16.2" thickTop="1">
      <c r="A45" s="166"/>
      <c r="B45" s="167">
        <f>SUM(B6:B44)+B7+B9+B24+B25+B34+B41+B44</f>
        <v>64</v>
      </c>
      <c r="C45" s="168"/>
      <c r="D45" s="168"/>
      <c r="E45" s="167">
        <f>SUM(E46:E52)</f>
        <v>64</v>
      </c>
      <c r="F45" s="170" t="s">
        <v>53</v>
      </c>
      <c r="G45" s="168"/>
      <c r="H45" s="168"/>
      <c r="I45" s="168"/>
      <c r="J45" s="166"/>
    </row>
    <row r="46" spans="1:10">
      <c r="A46" s="166"/>
      <c r="B46" s="167"/>
      <c r="C46" s="168"/>
      <c r="D46" s="168"/>
      <c r="E46" s="172">
        <f>4*(8+'Personal File'!$C$14)</f>
        <v>32</v>
      </c>
      <c r="F46" s="170" t="s">
        <v>101</v>
      </c>
      <c r="G46" s="168"/>
      <c r="H46" s="168"/>
      <c r="I46" s="168"/>
      <c r="J46" s="166"/>
    </row>
    <row r="47" spans="1:10">
      <c r="A47" s="166"/>
      <c r="B47" s="167"/>
      <c r="C47" s="168"/>
      <c r="D47" s="168"/>
      <c r="E47" s="172">
        <f>8+'Personal File'!$C$14</f>
        <v>8</v>
      </c>
      <c r="F47" s="170" t="s">
        <v>160</v>
      </c>
      <c r="G47" s="168"/>
      <c r="H47" s="168"/>
      <c r="I47" s="168"/>
      <c r="J47" s="166"/>
    </row>
    <row r="48" spans="1:10">
      <c r="A48" s="166"/>
      <c r="B48" s="167"/>
      <c r="C48" s="168"/>
      <c r="D48" s="168"/>
      <c r="E48" s="172">
        <f>8+'Personal File'!$C$14</f>
        <v>8</v>
      </c>
      <c r="F48" s="170" t="s">
        <v>161</v>
      </c>
      <c r="G48" s="168"/>
      <c r="H48" s="168"/>
      <c r="I48" s="168"/>
      <c r="J48" s="166"/>
    </row>
    <row r="49" spans="1:10">
      <c r="A49" s="166"/>
      <c r="B49" s="167"/>
      <c r="C49" s="168"/>
      <c r="D49" s="168"/>
      <c r="E49" s="363">
        <v>0</v>
      </c>
      <c r="F49" s="170" t="s">
        <v>180</v>
      </c>
      <c r="G49" s="168"/>
      <c r="H49" s="168"/>
      <c r="I49" s="168"/>
      <c r="J49" s="166"/>
    </row>
    <row r="50" spans="1:10">
      <c r="A50" s="166"/>
      <c r="B50" s="167"/>
      <c r="C50" s="168"/>
      <c r="D50" s="168"/>
      <c r="E50" s="172">
        <f>8+'Personal File'!$C$14</f>
        <v>8</v>
      </c>
      <c r="F50" s="170" t="s">
        <v>181</v>
      </c>
      <c r="G50" s="168"/>
      <c r="H50" s="168"/>
      <c r="I50" s="168"/>
      <c r="J50" s="166"/>
    </row>
    <row r="51" spans="1:10">
      <c r="A51" s="166"/>
      <c r="B51" s="167"/>
      <c r="C51" s="168"/>
      <c r="D51" s="168"/>
      <c r="E51" s="363">
        <v>0</v>
      </c>
      <c r="F51" s="170" t="s">
        <v>183</v>
      </c>
      <c r="G51" s="168"/>
      <c r="H51" s="168"/>
      <c r="I51" s="168"/>
      <c r="J51" s="166"/>
    </row>
    <row r="52" spans="1:10">
      <c r="A52" s="166"/>
      <c r="B52" s="167"/>
      <c r="C52" s="168"/>
      <c r="D52" s="168"/>
      <c r="E52" s="172">
        <f>8+'Personal File'!$C$14</f>
        <v>8</v>
      </c>
      <c r="F52" s="170" t="s">
        <v>230</v>
      </c>
      <c r="G52" s="168"/>
      <c r="H52" s="168"/>
      <c r="I52" s="168"/>
      <c r="J52" s="166"/>
    </row>
    <row r="53" spans="1:10">
      <c r="A53" s="166"/>
      <c r="B53" s="167"/>
      <c r="C53" s="168"/>
      <c r="D53" s="168"/>
      <c r="E53" s="172"/>
      <c r="F53" s="171"/>
      <c r="G53" s="168"/>
      <c r="H53" s="168"/>
      <c r="I53" s="168"/>
      <c r="J53" s="166"/>
    </row>
    <row r="54" spans="1:10">
      <c r="A54" s="166"/>
      <c r="B54" s="167"/>
      <c r="C54" s="168"/>
      <c r="D54" s="168"/>
      <c r="E54" s="172"/>
      <c r="F54" s="171"/>
      <c r="G54" s="168"/>
      <c r="H54" s="168"/>
      <c r="I54" s="168"/>
      <c r="J54" s="166"/>
    </row>
    <row r="55" spans="1:10">
      <c r="A55" s="166"/>
      <c r="B55" s="167"/>
      <c r="C55" s="168"/>
      <c r="D55" s="168"/>
      <c r="E55" s="172"/>
      <c r="F55" s="171"/>
      <c r="G55" s="168"/>
      <c r="H55" s="168"/>
      <c r="I55" s="168"/>
      <c r="J55" s="166"/>
    </row>
    <row r="56" spans="1:10">
      <c r="A56" s="166"/>
      <c r="B56" s="167"/>
      <c r="C56" s="168"/>
      <c r="D56" s="168"/>
      <c r="E56" s="172"/>
      <c r="F56" s="171"/>
      <c r="G56" s="168"/>
      <c r="H56" s="168"/>
      <c r="I56" s="168"/>
      <c r="J56" s="166"/>
    </row>
    <row r="57" spans="1:10">
      <c r="A57" s="166"/>
      <c r="B57" s="167"/>
      <c r="C57" s="168"/>
      <c r="D57" s="168"/>
      <c r="E57" s="172"/>
      <c r="F57" s="171"/>
      <c r="G57" s="168"/>
      <c r="H57" s="168"/>
      <c r="I57" s="168"/>
      <c r="J57" s="166"/>
    </row>
    <row r="58" spans="1:10">
      <c r="A58" s="166"/>
      <c r="B58" s="167"/>
      <c r="C58" s="168"/>
      <c r="D58" s="168"/>
      <c r="E58" s="172"/>
      <c r="F58" s="171"/>
      <c r="G58" s="168"/>
      <c r="H58" s="168"/>
      <c r="I58" s="168"/>
      <c r="J58" s="166"/>
    </row>
    <row r="59" spans="1:10">
      <c r="A59" s="166"/>
      <c r="B59" s="167"/>
      <c r="C59" s="168"/>
      <c r="D59" s="168"/>
      <c r="E59" s="172"/>
      <c r="F59" s="171"/>
      <c r="G59" s="168"/>
      <c r="H59" s="168"/>
      <c r="I59" s="168"/>
      <c r="J59" s="166"/>
    </row>
    <row r="60" spans="1:10">
      <c r="A60" s="166"/>
      <c r="B60" s="166"/>
      <c r="C60" s="168"/>
      <c r="D60" s="168"/>
      <c r="E60" s="169"/>
      <c r="F60" s="171"/>
      <c r="G60" s="168"/>
      <c r="H60" s="168"/>
      <c r="I60" s="168"/>
      <c r="J60" s="166"/>
    </row>
    <row r="61" spans="1:10">
      <c r="A61" s="173"/>
      <c r="B61" s="173"/>
      <c r="C61" s="174"/>
      <c r="D61" s="174"/>
      <c r="E61" s="174"/>
      <c r="F61" s="174"/>
      <c r="G61" s="174"/>
      <c r="H61" s="174"/>
      <c r="I61" s="174"/>
      <c r="J61" s="173"/>
    </row>
    <row r="62" spans="1:10">
      <c r="A62" s="173"/>
      <c r="B62" s="173"/>
      <c r="C62" s="174"/>
      <c r="D62" s="174"/>
      <c r="E62" s="174"/>
      <c r="F62" s="174"/>
      <c r="G62" s="174"/>
      <c r="H62" s="174"/>
      <c r="I62" s="174"/>
      <c r="J62" s="173"/>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0"/>
  <sheetViews>
    <sheetView showGridLines="0" workbookViewId="0"/>
  </sheetViews>
  <sheetFormatPr defaultColWidth="13" defaultRowHeight="15.6"/>
  <cols>
    <col min="1" max="1" width="26.796875" style="61" bestFit="1" customWidth="1"/>
    <col min="2" max="2" width="2.09765625" style="59" customWidth="1"/>
    <col min="3" max="3" width="15.296875" style="59" bestFit="1" customWidth="1"/>
    <col min="4" max="4" width="6.19921875" style="59" bestFit="1" customWidth="1"/>
    <col min="5" max="5" width="4.09765625" style="59" bestFit="1" customWidth="1"/>
    <col min="6" max="6" width="6.296875" style="59" bestFit="1" customWidth="1"/>
    <col min="7" max="16384" width="13" style="59"/>
  </cols>
  <sheetData>
    <row r="1" spans="1:6" ht="24" thickTop="1" thickBot="1">
      <c r="A1" s="235" t="s">
        <v>105</v>
      </c>
      <c r="B1" s="349"/>
      <c r="C1" s="350" t="s">
        <v>222</v>
      </c>
      <c r="D1" s="340"/>
      <c r="E1" s="340"/>
      <c r="F1" s="351"/>
    </row>
    <row r="2" spans="1:6" ht="17.399999999999999" thickTop="1">
      <c r="A2" s="404" t="s">
        <v>154</v>
      </c>
      <c r="C2" s="341" t="s">
        <v>60</v>
      </c>
      <c r="D2" s="342" t="s">
        <v>0</v>
      </c>
      <c r="E2" s="380" t="s">
        <v>167</v>
      </c>
    </row>
    <row r="3" spans="1:6" ht="16.8">
      <c r="A3" s="404" t="s">
        <v>231</v>
      </c>
      <c r="C3" s="343" t="s">
        <v>169</v>
      </c>
      <c r="D3" s="344">
        <v>0</v>
      </c>
      <c r="E3" s="381">
        <f>D3+'Personal File'!$C$15</f>
        <v>1</v>
      </c>
    </row>
    <row r="4" spans="1:6" ht="16.8">
      <c r="A4" s="404" t="str">
        <f>CONCATENATE("Aura of Menace DC ",'Personal File'!E3+10)</f>
        <v>Aura of Menace DC 17</v>
      </c>
      <c r="C4" s="345" t="s">
        <v>170</v>
      </c>
      <c r="D4" s="346">
        <v>0</v>
      </c>
      <c r="E4" s="382">
        <f>D4+'Personal File'!$C$15</f>
        <v>1</v>
      </c>
    </row>
    <row r="5" spans="1:6" ht="16.8">
      <c r="A5" s="404" t="s">
        <v>182</v>
      </c>
      <c r="C5" s="345" t="s">
        <v>171</v>
      </c>
      <c r="D5" s="346">
        <v>0</v>
      </c>
      <c r="E5" s="382">
        <f>D5+'Personal File'!$C$15</f>
        <v>1</v>
      </c>
    </row>
    <row r="6" spans="1:6" ht="17.399999999999999" thickBot="1">
      <c r="A6" s="405" t="s">
        <v>199</v>
      </c>
      <c r="C6" s="347" t="s">
        <v>168</v>
      </c>
      <c r="D6" s="348">
        <v>0</v>
      </c>
      <c r="E6" s="383">
        <f>D6+'Personal File'!$C$15</f>
        <v>1</v>
      </c>
    </row>
    <row r="7" spans="1:6" ht="17.399999999999999" thickTop="1">
      <c r="A7" s="406" t="str">
        <f>CONCATENATE("Tongues, CL ",8+'Personal File'!E3)</f>
        <v>Tongues, CL 15</v>
      </c>
    </row>
    <row r="8" spans="1:6" ht="17.399999999999999" thickBot="1">
      <c r="A8" s="407" t="s">
        <v>162</v>
      </c>
      <c r="D8" s="62" t="s">
        <v>197</v>
      </c>
      <c r="E8" s="368">
        <f>'Personal File'!$E$5</f>
        <v>5</v>
      </c>
    </row>
    <row r="9" spans="1:6" ht="16.8" thickTop="1" thickBot="1">
      <c r="F9" s="129"/>
    </row>
    <row r="10" spans="1:6" ht="22.2" thickTop="1" thickBot="1">
      <c r="A10" s="236" t="s">
        <v>86</v>
      </c>
    </row>
    <row r="11" spans="1:6" ht="17.399999999999999" thickBot="1">
      <c r="A11" s="229" t="s">
        <v>75</v>
      </c>
    </row>
    <row r="12" spans="1:6" ht="16.8" thickTop="1" thickBot="1"/>
    <row r="13" spans="1:6" ht="22.2" thickTop="1" thickBot="1">
      <c r="A13" s="235" t="s">
        <v>220</v>
      </c>
    </row>
    <row r="14" spans="1:6" ht="16.8">
      <c r="A14" s="408" t="s">
        <v>232</v>
      </c>
    </row>
    <row r="15" spans="1:6" ht="17.399999999999999" thickBot="1">
      <c r="A15" s="409" t="s">
        <v>233</v>
      </c>
    </row>
    <row r="16" spans="1:6" ht="16.8" thickTop="1" thickBot="1"/>
    <row r="17" spans="1:1" ht="22.2" thickTop="1" thickBot="1">
      <c r="A17" s="234" t="s">
        <v>61</v>
      </c>
    </row>
    <row r="18" spans="1:1" ht="16.8">
      <c r="A18" s="339" t="s">
        <v>214</v>
      </c>
    </row>
    <row r="19" spans="1:1" ht="17.399999999999999" thickBot="1">
      <c r="A19" s="63" t="s">
        <v>174</v>
      </c>
    </row>
    <row r="20" spans="1:1" ht="16.2" thickTop="1"/>
  </sheetData>
  <conditionalFormatting sqref="F1">
    <cfRule type="cellIs" dxfId="29"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5"/>
  <sheetViews>
    <sheetView showGridLines="0" zoomScaleNormal="100" workbookViewId="0"/>
  </sheetViews>
  <sheetFormatPr defaultColWidth="13" defaultRowHeight="15.6"/>
  <cols>
    <col min="1" max="1" width="26.8984375" style="26" bestFit="1" customWidth="1"/>
    <col min="2" max="2" width="8.5" style="26" bestFit="1" customWidth="1"/>
    <col min="3" max="3" width="6.8984375" style="26" bestFit="1" customWidth="1"/>
    <col min="4" max="4" width="6.296875" style="26" bestFit="1" customWidth="1"/>
    <col min="5" max="5" width="8.09765625" style="26" bestFit="1" customWidth="1"/>
    <col min="6" max="6" width="8.3984375" style="26" bestFit="1" customWidth="1"/>
    <col min="7" max="7" width="4.3984375" style="26" bestFit="1" customWidth="1"/>
    <col min="8" max="8" width="4.69921875" style="26" bestFit="1" customWidth="1"/>
    <col min="9" max="9" width="5.69921875" style="26" bestFit="1" customWidth="1"/>
    <col min="10" max="10" width="6.296875" style="26" bestFit="1" customWidth="1"/>
    <col min="11" max="11" width="9.69921875" style="26" bestFit="1" customWidth="1"/>
    <col min="12" max="12" width="2" style="13" customWidth="1"/>
    <col min="13" max="13" width="5.796875" style="13" bestFit="1" customWidth="1"/>
    <col min="14" max="16384" width="13" style="13"/>
  </cols>
  <sheetData>
    <row r="1" spans="1:13" ht="23.4" thickBot="1">
      <c r="A1" s="12" t="s">
        <v>85</v>
      </c>
      <c r="B1" s="12"/>
      <c r="C1" s="12"/>
      <c r="D1" s="12"/>
      <c r="E1" s="12"/>
      <c r="F1" s="12"/>
      <c r="G1" s="12"/>
      <c r="H1" s="12"/>
      <c r="I1" s="12"/>
      <c r="J1" s="12"/>
      <c r="K1" s="12"/>
      <c r="M1" s="425"/>
    </row>
    <row r="2" spans="1:13" ht="16.8" thickTop="1" thickBot="1">
      <c r="A2" s="14" t="s">
        <v>2</v>
      </c>
      <c r="B2" s="15" t="s">
        <v>100</v>
      </c>
      <c r="C2" s="15" t="s">
        <v>15</v>
      </c>
      <c r="D2" s="15" t="s">
        <v>16</v>
      </c>
      <c r="E2" s="16" t="s">
        <v>54</v>
      </c>
      <c r="F2" s="15" t="s">
        <v>14</v>
      </c>
      <c r="G2" s="15" t="s">
        <v>17</v>
      </c>
      <c r="H2" s="17" t="s">
        <v>73</v>
      </c>
      <c r="I2" s="18" t="s">
        <v>74</v>
      </c>
      <c r="J2" s="17" t="s">
        <v>67</v>
      </c>
      <c r="K2" s="19" t="s">
        <v>1</v>
      </c>
      <c r="M2" s="182" t="s">
        <v>78</v>
      </c>
    </row>
    <row r="3" spans="1:13">
      <c r="A3" s="389" t="s">
        <v>103</v>
      </c>
      <c r="B3" s="187" t="s">
        <v>198</v>
      </c>
      <c r="C3" s="390">
        <f>'Personal File'!$C$11+0</f>
        <v>2</v>
      </c>
      <c r="D3" s="397">
        <v>0</v>
      </c>
      <c r="E3" s="391" t="s">
        <v>104</v>
      </c>
      <c r="F3" s="392" t="s">
        <v>81</v>
      </c>
      <c r="G3" s="393" t="s">
        <v>83</v>
      </c>
      <c r="H3" s="394" t="str">
        <f>CONCATENATE("+",'Personal File'!$B$9+'Personal File'!$C$11+D3)</f>
        <v>+7</v>
      </c>
      <c r="I3" s="270">
        <f t="shared" ref="I3:I14" ca="1" si="0">RANDBETWEEN(1,20)</f>
        <v>16</v>
      </c>
      <c r="J3" s="395">
        <f t="shared" ref="J3:J5" ca="1" si="1">I3+RIGHT(H3,2)</f>
        <v>23</v>
      </c>
      <c r="K3" s="396"/>
      <c r="L3" s="379"/>
      <c r="M3" s="273" t="s">
        <v>83</v>
      </c>
    </row>
    <row r="4" spans="1:13">
      <c r="A4" s="264" t="s">
        <v>163</v>
      </c>
      <c r="B4" s="11" t="s">
        <v>117</v>
      </c>
      <c r="C4" s="265">
        <f>'Personal File'!$C$11/2</f>
        <v>1</v>
      </c>
      <c r="D4" s="398">
        <v>0</v>
      </c>
      <c r="E4" s="266" t="s">
        <v>104</v>
      </c>
      <c r="F4" s="267" t="s">
        <v>165</v>
      </c>
      <c r="G4" s="377" t="s">
        <v>83</v>
      </c>
      <c r="H4" s="268" t="str">
        <f>CONCATENATE("+",'Personal File'!$B$9+'Personal File'!$C$11+D4-1)</f>
        <v>+6</v>
      </c>
      <c r="I4" s="270">
        <f t="shared" ca="1" si="0"/>
        <v>18</v>
      </c>
      <c r="J4" s="378">
        <f t="shared" ca="1" si="1"/>
        <v>24</v>
      </c>
      <c r="K4" s="272"/>
      <c r="L4" s="379"/>
      <c r="M4" s="273" t="s">
        <v>83</v>
      </c>
    </row>
    <row r="5" spans="1:13">
      <c r="A5" s="264" t="s">
        <v>164</v>
      </c>
      <c r="B5" s="11" t="s">
        <v>117</v>
      </c>
      <c r="C5" s="265">
        <f>'Personal File'!$C$11/2</f>
        <v>1</v>
      </c>
      <c r="D5" s="398">
        <v>0</v>
      </c>
      <c r="E5" s="266" t="s">
        <v>104</v>
      </c>
      <c r="F5" s="267" t="s">
        <v>165</v>
      </c>
      <c r="G5" s="377" t="s">
        <v>83</v>
      </c>
      <c r="H5" s="268" t="str">
        <f>CONCATENATE("+",'Personal File'!$B$9+'Personal File'!$C$11+D5-1)</f>
        <v>+6</v>
      </c>
      <c r="I5" s="270">
        <f t="shared" ca="1" si="0"/>
        <v>2</v>
      </c>
      <c r="J5" s="378">
        <f t="shared" ca="1" si="1"/>
        <v>8</v>
      </c>
      <c r="K5" s="272"/>
      <c r="L5" s="379"/>
      <c r="M5" s="273" t="s">
        <v>83</v>
      </c>
    </row>
    <row r="6" spans="1:13">
      <c r="A6" s="264" t="s">
        <v>240</v>
      </c>
      <c r="B6" s="11" t="s">
        <v>198</v>
      </c>
      <c r="C6" s="265">
        <f>'Personal File'!$C$11+1</f>
        <v>3</v>
      </c>
      <c r="D6" s="398">
        <v>0</v>
      </c>
      <c r="E6" s="266" t="s">
        <v>114</v>
      </c>
      <c r="F6" s="267" t="s">
        <v>115</v>
      </c>
      <c r="G6" s="268">
        <v>4</v>
      </c>
      <c r="H6" s="269" t="str">
        <f>CONCATENATE("+",'Personal File'!$B$9+'Personal File'!$C$11+D6)</f>
        <v>+7</v>
      </c>
      <c r="I6" s="270">
        <f t="shared" ca="1" si="0"/>
        <v>18</v>
      </c>
      <c r="J6" s="271">
        <f t="shared" ref="J6:J14" ca="1" si="2">I6+RIGHT(H6,2)</f>
        <v>25</v>
      </c>
      <c r="K6" s="272"/>
      <c r="M6" s="273">
        <v>2015</v>
      </c>
    </row>
    <row r="7" spans="1:13">
      <c r="A7" s="426" t="s">
        <v>244</v>
      </c>
      <c r="B7" s="427" t="s">
        <v>117</v>
      </c>
      <c r="C7" s="428">
        <f>'Personal File'!$C$11+1</f>
        <v>3</v>
      </c>
      <c r="D7" s="398">
        <v>0</v>
      </c>
      <c r="E7" s="429" t="s">
        <v>245</v>
      </c>
      <c r="F7" s="430" t="s">
        <v>115</v>
      </c>
      <c r="G7" s="431">
        <v>2</v>
      </c>
      <c r="H7" s="431" t="str">
        <f>CONCATENATE("+",'Personal File'!$B$9+'Personal File'!$C$11+D7)</f>
        <v>+7</v>
      </c>
      <c r="I7" s="270">
        <f t="shared" ca="1" si="0"/>
        <v>11</v>
      </c>
      <c r="J7" s="432">
        <f t="shared" ref="J7:J8" ca="1" si="3">I7+RIGHT(H7,2)</f>
        <v>18</v>
      </c>
      <c r="K7" s="433" t="s">
        <v>249</v>
      </c>
      <c r="M7" s="273" t="s">
        <v>83</v>
      </c>
    </row>
    <row r="8" spans="1:13">
      <c r="A8" s="426" t="s">
        <v>246</v>
      </c>
      <c r="B8" s="427" t="s">
        <v>198</v>
      </c>
      <c r="C8" s="428" t="str">
        <f>'Personal File'!$C$11</f>
        <v>+2</v>
      </c>
      <c r="D8" s="398">
        <v>0</v>
      </c>
      <c r="E8" s="429" t="s">
        <v>247</v>
      </c>
      <c r="F8" s="430" t="s">
        <v>248</v>
      </c>
      <c r="G8" s="431">
        <v>6</v>
      </c>
      <c r="H8" s="431" t="str">
        <f>CONCATENATE("+",'Personal File'!$B$9+'Personal File'!$C$11+D8)</f>
        <v>+7</v>
      </c>
      <c r="I8" s="270">
        <f t="shared" ca="1" si="0"/>
        <v>13</v>
      </c>
      <c r="J8" s="432">
        <f t="shared" ca="1" si="3"/>
        <v>20</v>
      </c>
      <c r="K8" s="433" t="s">
        <v>249</v>
      </c>
      <c r="M8" s="273" t="s">
        <v>83</v>
      </c>
    </row>
    <row r="9" spans="1:13">
      <c r="A9" s="264" t="s">
        <v>243</v>
      </c>
      <c r="B9" s="11" t="s">
        <v>227</v>
      </c>
      <c r="C9" s="265" t="str">
        <f>'Personal File'!$C$11</f>
        <v>+2</v>
      </c>
      <c r="D9" s="398">
        <v>0</v>
      </c>
      <c r="E9" s="266" t="s">
        <v>114</v>
      </c>
      <c r="F9" s="267" t="s">
        <v>81</v>
      </c>
      <c r="G9" s="268">
        <v>2</v>
      </c>
      <c r="H9" s="269" t="str">
        <f>CONCATENATE("+",'Personal File'!$B$9+'Personal File'!$C$11+D9)</f>
        <v>+7</v>
      </c>
      <c r="I9" s="270">
        <f t="shared" ca="1" si="0"/>
        <v>5</v>
      </c>
      <c r="J9" s="271">
        <f t="shared" ref="J9" ca="1" si="4">I9+RIGHT(H9,2)</f>
        <v>12</v>
      </c>
      <c r="K9" s="272"/>
      <c r="M9" s="273">
        <v>300</v>
      </c>
    </row>
    <row r="10" spans="1:13">
      <c r="A10" s="264" t="s">
        <v>112</v>
      </c>
      <c r="B10" s="11" t="s">
        <v>117</v>
      </c>
      <c r="C10" s="265">
        <f>'Personal File'!$C$11+0</f>
        <v>2</v>
      </c>
      <c r="D10" s="398">
        <v>0</v>
      </c>
      <c r="E10" s="266" t="s">
        <v>114</v>
      </c>
      <c r="F10" s="267" t="s">
        <v>116</v>
      </c>
      <c r="G10" s="268">
        <v>1</v>
      </c>
      <c r="H10" s="269" t="str">
        <f>CONCATENATE("+",'Personal File'!$B$9+'Personal File'!$C$11+D10)</f>
        <v>+7</v>
      </c>
      <c r="I10" s="270">
        <f t="shared" ca="1" si="0"/>
        <v>7</v>
      </c>
      <c r="J10" s="271">
        <f t="shared" ca="1" si="2"/>
        <v>14</v>
      </c>
      <c r="K10" s="272"/>
      <c r="M10" s="388">
        <v>2</v>
      </c>
    </row>
    <row r="11" spans="1:13">
      <c r="A11" s="264" t="s">
        <v>113</v>
      </c>
      <c r="B11" s="11" t="s">
        <v>117</v>
      </c>
      <c r="C11" s="265">
        <f>'Personal File'!$C$11+0</f>
        <v>2</v>
      </c>
      <c r="D11" s="398">
        <v>0</v>
      </c>
      <c r="E11" s="266" t="s">
        <v>114</v>
      </c>
      <c r="F11" s="267" t="s">
        <v>116</v>
      </c>
      <c r="G11" s="268">
        <v>1</v>
      </c>
      <c r="H11" s="269" t="str">
        <f>CONCATENATE("+",'Personal File'!$B$9+'Personal File'!$C$11+D11)</f>
        <v>+7</v>
      </c>
      <c r="I11" s="270">
        <f t="shared" ca="1" si="0"/>
        <v>6</v>
      </c>
      <c r="J11" s="271">
        <f t="shared" ref="J11" ca="1" si="5">I11+RIGHT(H11,2)</f>
        <v>13</v>
      </c>
      <c r="K11" s="272"/>
      <c r="M11" s="388">
        <v>2</v>
      </c>
    </row>
    <row r="12" spans="1:13">
      <c r="A12" s="264" t="s">
        <v>225</v>
      </c>
      <c r="B12" s="11" t="s">
        <v>227</v>
      </c>
      <c r="C12" s="265">
        <f>'Personal File'!$C$11+0</f>
        <v>2</v>
      </c>
      <c r="D12" s="398">
        <v>0</v>
      </c>
      <c r="E12" s="266" t="s">
        <v>205</v>
      </c>
      <c r="F12" s="267" t="s">
        <v>115</v>
      </c>
      <c r="G12" s="268">
        <v>3</v>
      </c>
      <c r="H12" s="269" t="str">
        <f>CONCATENATE("+",'Personal File'!$B$9+'Personal File'!$C$11+D12)</f>
        <v>+7</v>
      </c>
      <c r="I12" s="270">
        <f t="shared" ca="1" si="0"/>
        <v>15</v>
      </c>
      <c r="J12" s="271">
        <f t="shared" ref="J12:J13" ca="1" si="6">I12+RIGHT(H12,2)</f>
        <v>22</v>
      </c>
      <c r="K12" s="272"/>
      <c r="M12" s="388">
        <v>6</v>
      </c>
    </row>
    <row r="13" spans="1:13">
      <c r="A13" s="264" t="s">
        <v>226</v>
      </c>
      <c r="B13" s="11" t="s">
        <v>227</v>
      </c>
      <c r="C13" s="265">
        <f>'Personal File'!$C$11-1</f>
        <v>1</v>
      </c>
      <c r="D13" s="398">
        <v>0</v>
      </c>
      <c r="E13" s="266" t="s">
        <v>205</v>
      </c>
      <c r="F13" s="267" t="s">
        <v>115</v>
      </c>
      <c r="G13" s="268">
        <v>3</v>
      </c>
      <c r="H13" s="269" t="str">
        <f>CONCATENATE("+",'Personal File'!$B$9+'Personal File'!$C$11+D13)</f>
        <v>+7</v>
      </c>
      <c r="I13" s="270">
        <f t="shared" ca="1" si="0"/>
        <v>16</v>
      </c>
      <c r="J13" s="271">
        <f t="shared" ca="1" si="6"/>
        <v>23</v>
      </c>
      <c r="K13" s="272"/>
      <c r="M13" s="388">
        <v>26</v>
      </c>
    </row>
    <row r="14" spans="1:13" ht="16.2" thickBot="1">
      <c r="A14" s="178" t="s">
        <v>223</v>
      </c>
      <c r="B14" s="20" t="s">
        <v>83</v>
      </c>
      <c r="C14" s="21" t="s">
        <v>83</v>
      </c>
      <c r="D14" s="399">
        <v>0</v>
      </c>
      <c r="E14" s="22" t="s">
        <v>83</v>
      </c>
      <c r="F14" s="20" t="s">
        <v>83</v>
      </c>
      <c r="G14" s="23" t="s">
        <v>83</v>
      </c>
      <c r="H14" s="24" t="str">
        <f>CONCATENATE("+",'Personal File'!$B$9+'Personal File'!$C$11+D14)</f>
        <v>+7</v>
      </c>
      <c r="I14" s="207">
        <f t="shared" ca="1" si="0"/>
        <v>6</v>
      </c>
      <c r="J14" s="208">
        <f t="shared" ca="1" si="2"/>
        <v>13</v>
      </c>
      <c r="K14" s="25"/>
      <c r="M14" s="211" t="s">
        <v>83</v>
      </c>
    </row>
    <row r="15" spans="1:13" ht="16.8" thickTop="1" thickBot="1"/>
    <row r="16" spans="1:13" ht="16.8" thickTop="1" thickBot="1">
      <c r="A16" s="14" t="s">
        <v>4</v>
      </c>
      <c r="B16" s="15" t="s">
        <v>100</v>
      </c>
      <c r="C16" s="15" t="s">
        <v>15</v>
      </c>
      <c r="D16" s="15" t="s">
        <v>16</v>
      </c>
      <c r="E16" s="16" t="s">
        <v>54</v>
      </c>
      <c r="F16" s="15" t="s">
        <v>5</v>
      </c>
      <c r="G16" s="15" t="s">
        <v>17</v>
      </c>
      <c r="H16" s="17" t="s">
        <v>73</v>
      </c>
      <c r="I16" s="18" t="s">
        <v>74</v>
      </c>
      <c r="J16" s="17" t="s">
        <v>67</v>
      </c>
      <c r="K16" s="19" t="s">
        <v>1</v>
      </c>
      <c r="M16" s="182" t="s">
        <v>78</v>
      </c>
    </row>
    <row r="17" spans="1:13">
      <c r="A17" s="209" t="s">
        <v>236</v>
      </c>
      <c r="B17" s="210" t="s">
        <v>198</v>
      </c>
      <c r="C17" s="370">
        <f>'Personal File'!$C$11+1</f>
        <v>3</v>
      </c>
      <c r="D17" s="274" t="s">
        <v>204</v>
      </c>
      <c r="E17" s="210" t="s">
        <v>205</v>
      </c>
      <c r="F17" s="275" t="s">
        <v>206</v>
      </c>
      <c r="G17" s="276">
        <v>3</v>
      </c>
      <c r="H17" s="269" t="str">
        <f>CONCATENATE("+",'Personal File'!$B$9+'Personal File'!$C$12+D17)</f>
        <v>+8</v>
      </c>
      <c r="I17" s="270">
        <f t="shared" ref="I17:I18" ca="1" si="7">RANDBETWEEN(1,20)</f>
        <v>19</v>
      </c>
      <c r="J17" s="271">
        <f t="shared" ref="J17:J18" ca="1" si="8">I17+RIGHT(H17,2)</f>
        <v>27</v>
      </c>
      <c r="K17" s="277"/>
      <c r="M17" s="273">
        <f>100+300+2000+200</f>
        <v>2600</v>
      </c>
    </row>
    <row r="18" spans="1:13">
      <c r="A18" s="264" t="s">
        <v>210</v>
      </c>
      <c r="B18" s="11" t="s">
        <v>211</v>
      </c>
      <c r="C18" s="385">
        <v>0</v>
      </c>
      <c r="D18" s="386" t="s">
        <v>52</v>
      </c>
      <c r="E18" s="11" t="s">
        <v>83</v>
      </c>
      <c r="F18" s="377" t="s">
        <v>212</v>
      </c>
      <c r="G18" s="268" t="s">
        <v>83</v>
      </c>
      <c r="H18" s="269" t="str">
        <f>CONCATENATE("+",'Personal File'!$B$9+'Personal File'!$C$12+D18)</f>
        <v>+7</v>
      </c>
      <c r="I18" s="270">
        <f t="shared" ca="1" si="7"/>
        <v>3</v>
      </c>
      <c r="J18" s="271">
        <f t="shared" ca="1" si="8"/>
        <v>10</v>
      </c>
      <c r="K18" s="387"/>
      <c r="M18" s="388" t="s">
        <v>83</v>
      </c>
    </row>
    <row r="19" spans="1:13" ht="16.2" thickBot="1">
      <c r="A19" s="215" t="s">
        <v>213</v>
      </c>
      <c r="B19" s="22" t="s">
        <v>211</v>
      </c>
      <c r="C19" s="371">
        <v>0</v>
      </c>
      <c r="D19" s="216" t="s">
        <v>52</v>
      </c>
      <c r="E19" s="22" t="s">
        <v>83</v>
      </c>
      <c r="F19" s="216" t="s">
        <v>212</v>
      </c>
      <c r="G19" s="375" t="s">
        <v>83</v>
      </c>
      <c r="H19" s="217" t="str">
        <f>CONCATENATE("+",'Personal File'!$B$9+'Personal File'!$C$12+D19-5)</f>
        <v>+2</v>
      </c>
      <c r="I19" s="207">
        <f t="shared" ref="I19" ca="1" si="9">RANDBETWEEN(1,20)</f>
        <v>11</v>
      </c>
      <c r="J19" s="208">
        <f t="shared" ref="J19" ca="1" si="10">I19+RIGHT(H19,2)</f>
        <v>13</v>
      </c>
      <c r="K19" s="218"/>
      <c r="M19" s="201" t="s">
        <v>83</v>
      </c>
    </row>
    <row r="20" spans="1:13" ht="16.8" thickTop="1" thickBot="1">
      <c r="D20" s="27"/>
      <c r="E20" s="27"/>
      <c r="G20" s="28"/>
      <c r="H20" s="28"/>
      <c r="I20" s="28"/>
      <c r="J20" s="28"/>
    </row>
    <row r="21" spans="1:13" ht="16.8" thickTop="1" thickBot="1">
      <c r="A21" s="14" t="s">
        <v>58</v>
      </c>
      <c r="B21" s="15" t="s">
        <v>8</v>
      </c>
      <c r="C21" s="15" t="s">
        <v>24</v>
      </c>
      <c r="D21" s="15" t="s">
        <v>67</v>
      </c>
      <c r="E21" s="15" t="s">
        <v>68</v>
      </c>
      <c r="F21" s="15" t="s">
        <v>69</v>
      </c>
      <c r="G21" s="15" t="s">
        <v>17</v>
      </c>
      <c r="H21" s="29" t="s">
        <v>1</v>
      </c>
      <c r="I21" s="30"/>
      <c r="J21" s="30"/>
      <c r="K21" s="31"/>
      <c r="M21" s="182" t="s">
        <v>78</v>
      </c>
    </row>
    <row r="22" spans="1:13">
      <c r="A22" s="278" t="s">
        <v>166</v>
      </c>
      <c r="B22" s="279">
        <v>6</v>
      </c>
      <c r="C22" s="280" t="s">
        <v>83</v>
      </c>
      <c r="D22" s="279" t="s">
        <v>83</v>
      </c>
      <c r="E22" s="281" t="s">
        <v>83</v>
      </c>
      <c r="F22" s="279" t="s">
        <v>83</v>
      </c>
      <c r="G22" s="282" t="s">
        <v>83</v>
      </c>
      <c r="H22" s="283"/>
      <c r="I22" s="32"/>
      <c r="J22" s="32"/>
      <c r="K22" s="284"/>
      <c r="M22" s="189" t="s">
        <v>83</v>
      </c>
    </row>
    <row r="23" spans="1:13">
      <c r="A23" s="411" t="s">
        <v>239</v>
      </c>
      <c r="B23" s="412">
        <v>5</v>
      </c>
      <c r="C23" s="413">
        <v>6</v>
      </c>
      <c r="D23" s="412">
        <v>0</v>
      </c>
      <c r="E23" s="414">
        <v>0.1</v>
      </c>
      <c r="F23" s="412" t="s">
        <v>80</v>
      </c>
      <c r="G23" s="415">
        <v>12.5</v>
      </c>
      <c r="H23" s="416"/>
      <c r="I23" s="417"/>
      <c r="J23" s="417"/>
      <c r="K23" s="418"/>
      <c r="M23" s="388">
        <v>3300</v>
      </c>
    </row>
    <row r="24" spans="1:13" ht="16.2" thickBot="1">
      <c r="A24" s="285" t="s">
        <v>193</v>
      </c>
      <c r="B24" s="286">
        <v>1</v>
      </c>
      <c r="C24" s="287" t="s">
        <v>83</v>
      </c>
      <c r="D24" s="287" t="s">
        <v>83</v>
      </c>
      <c r="E24" s="365" t="s">
        <v>83</v>
      </c>
      <c r="F24" s="287" t="s">
        <v>83</v>
      </c>
      <c r="G24" s="366">
        <v>0</v>
      </c>
      <c r="H24" s="288"/>
      <c r="I24" s="45"/>
      <c r="J24" s="45"/>
      <c r="K24" s="289"/>
      <c r="M24" s="201">
        <v>2000</v>
      </c>
    </row>
    <row r="25" spans="1:13" ht="16.8" thickTop="1" thickBot="1"/>
    <row r="26" spans="1:13" ht="16.8" thickTop="1" thickBot="1">
      <c r="A26" s="33"/>
      <c r="B26" s="28"/>
      <c r="D26" s="34" t="s">
        <v>59</v>
      </c>
      <c r="E26" s="35"/>
      <c r="F26" s="29" t="s">
        <v>3</v>
      </c>
      <c r="G26" s="15" t="s">
        <v>17</v>
      </c>
      <c r="H26" s="17" t="s">
        <v>73</v>
      </c>
      <c r="I26" s="29" t="s">
        <v>1</v>
      </c>
      <c r="J26" s="30"/>
      <c r="K26" s="31"/>
      <c r="M26" s="182" t="s">
        <v>78</v>
      </c>
    </row>
    <row r="27" spans="1:13">
      <c r="A27" s="33"/>
      <c r="B27" s="28"/>
      <c r="D27" s="223" t="s">
        <v>208</v>
      </c>
      <c r="E27" s="36"/>
      <c r="F27" s="37">
        <v>40</v>
      </c>
      <c r="G27" s="38">
        <f>F27/20</f>
        <v>2</v>
      </c>
      <c r="H27" s="39" t="s">
        <v>209</v>
      </c>
      <c r="I27" s="39"/>
      <c r="J27" s="32"/>
      <c r="K27" s="40"/>
      <c r="M27" s="189">
        <f>F27/20</f>
        <v>2</v>
      </c>
    </row>
    <row r="28" spans="1:13" ht="16.2" thickBot="1">
      <c r="D28" s="41" t="s">
        <v>224</v>
      </c>
      <c r="E28" s="42"/>
      <c r="F28" s="43">
        <v>20</v>
      </c>
      <c r="G28" s="366">
        <f t="shared" ref="G28" si="11">F28*3/20</f>
        <v>3</v>
      </c>
      <c r="H28" s="384" t="s">
        <v>209</v>
      </c>
      <c r="I28" s="44"/>
      <c r="J28" s="45"/>
      <c r="K28" s="46"/>
      <c r="M28" s="201">
        <v>41</v>
      </c>
    </row>
    <row r="29" spans="1:13" ht="16.8" thickTop="1" thickBot="1"/>
    <row r="30" spans="1:13" ht="16.8" thickTop="1" thickBot="1">
      <c r="D30" s="34" t="s">
        <v>76</v>
      </c>
      <c r="E30" s="30"/>
      <c r="F30" s="30"/>
      <c r="G30" s="30"/>
      <c r="H30" s="180" t="s">
        <v>3</v>
      </c>
      <c r="I30" s="180" t="s">
        <v>0</v>
      </c>
      <c r="J30" s="180" t="s">
        <v>77</v>
      </c>
      <c r="K30" s="31" t="s">
        <v>65</v>
      </c>
      <c r="L30" s="181"/>
      <c r="M30" s="182" t="s">
        <v>78</v>
      </c>
    </row>
    <row r="31" spans="1:13">
      <c r="D31" s="183"/>
      <c r="E31" s="184"/>
      <c r="F31" s="184"/>
      <c r="G31" s="185"/>
      <c r="H31" s="186"/>
      <c r="I31" s="187"/>
      <c r="J31" s="187"/>
      <c r="K31" s="188"/>
      <c r="L31" s="181"/>
      <c r="M31" s="189"/>
    </row>
    <row r="32" spans="1:13">
      <c r="D32" s="255"/>
      <c r="E32" s="256"/>
      <c r="F32" s="256"/>
      <c r="G32" s="257"/>
      <c r="H32" s="258"/>
      <c r="I32" s="210"/>
      <c r="J32" s="210"/>
      <c r="K32" s="259"/>
      <c r="L32" s="181"/>
      <c r="M32" s="212"/>
    </row>
    <row r="33" spans="4:13">
      <c r="D33" s="190"/>
      <c r="E33" s="191"/>
      <c r="F33" s="191"/>
      <c r="G33" s="192"/>
      <c r="H33" s="193"/>
      <c r="I33" s="11"/>
      <c r="J33" s="11"/>
      <c r="K33" s="194"/>
      <c r="L33" s="181"/>
      <c r="M33" s="212"/>
    </row>
    <row r="34" spans="4:13" ht="16.2" thickBot="1">
      <c r="D34" s="195"/>
      <c r="E34" s="196"/>
      <c r="F34" s="196"/>
      <c r="G34" s="197"/>
      <c r="H34" s="198"/>
      <c r="I34" s="199"/>
      <c r="J34" s="199"/>
      <c r="K34" s="200"/>
      <c r="L34" s="181"/>
      <c r="M34" s="201"/>
    </row>
    <row r="35" spans="4:13" ht="16.2" thickTop="1"/>
  </sheetData>
  <phoneticPr fontId="0" type="noConversion"/>
  <conditionalFormatting sqref="I14">
    <cfRule type="cellIs" dxfId="28" priority="69" operator="equal">
      <formula>20</formula>
    </cfRule>
    <cfRule type="cellIs" dxfId="27" priority="70" operator="equal">
      <formula>1</formula>
    </cfRule>
  </conditionalFormatting>
  <conditionalFormatting sqref="I3:I5">
    <cfRule type="cellIs" dxfId="26" priority="29" operator="equal">
      <formula>20</formula>
    </cfRule>
    <cfRule type="cellIs" dxfId="25" priority="30" operator="equal">
      <formula>1</formula>
    </cfRule>
  </conditionalFormatting>
  <conditionalFormatting sqref="I10:I11">
    <cfRule type="cellIs" dxfId="24" priority="27" operator="equal">
      <formula>1</formula>
    </cfRule>
    <cfRule type="cellIs" dxfId="23" priority="28" operator="greaterThanOrEqual">
      <formula>19</formula>
    </cfRule>
  </conditionalFormatting>
  <conditionalFormatting sqref="I12:I13">
    <cfRule type="cellIs" dxfId="22" priority="21" operator="equal">
      <formula>1</formula>
    </cfRule>
    <cfRule type="cellIs" dxfId="21" priority="22" operator="greaterThanOrEqual">
      <formula>19</formula>
    </cfRule>
  </conditionalFormatting>
  <conditionalFormatting sqref="I3:I6 I10:I14">
    <cfRule type="cellIs" dxfId="20" priority="19" operator="equal">
      <formula>1</formula>
    </cfRule>
    <cfRule type="cellIs" dxfId="19" priority="20" operator="greaterThanOrEqual">
      <formula>19</formula>
    </cfRule>
  </conditionalFormatting>
  <conditionalFormatting sqref="I19">
    <cfRule type="cellIs" dxfId="18" priority="17" operator="equal">
      <formula>20</formula>
    </cfRule>
    <cfRule type="cellIs" dxfId="17" priority="18" operator="equal">
      <formula>1</formula>
    </cfRule>
  </conditionalFormatting>
  <conditionalFormatting sqref="I19">
    <cfRule type="cellIs" dxfId="16" priority="15" operator="equal">
      <formula>1</formula>
    </cfRule>
    <cfRule type="cellIs" dxfId="15" priority="16" operator="greaterThanOrEqual">
      <formula>19</formula>
    </cfRule>
  </conditionalFormatting>
  <conditionalFormatting sqref="I17:I18">
    <cfRule type="cellIs" dxfId="14" priority="13" operator="equal">
      <formula>1</formula>
    </cfRule>
    <cfRule type="cellIs" dxfId="13" priority="14" operator="greaterThanOrEqual">
      <formula>19</formula>
    </cfRule>
  </conditionalFormatting>
  <conditionalFormatting sqref="I17:I18">
    <cfRule type="cellIs" dxfId="12" priority="11" operator="equal">
      <formula>1</formula>
    </cfRule>
    <cfRule type="cellIs" dxfId="11" priority="12" operator="greaterThanOrEqual">
      <formula>19</formula>
    </cfRule>
  </conditionalFormatting>
  <conditionalFormatting sqref="I6">
    <cfRule type="cellIs" dxfId="10" priority="9" operator="equal">
      <formula>20</formula>
    </cfRule>
    <cfRule type="cellIs" dxfId="9" priority="10" operator="equal">
      <formula>1</formula>
    </cfRule>
  </conditionalFormatting>
  <conditionalFormatting sqref="I9">
    <cfRule type="cellIs" dxfId="8" priority="7" operator="equal">
      <formula>1</formula>
    </cfRule>
    <cfRule type="cellIs" dxfId="7" priority="8" operator="greaterThanOrEqual">
      <formula>19</formula>
    </cfRule>
  </conditionalFormatting>
  <conditionalFormatting sqref="I9">
    <cfRule type="cellIs" dxfId="6" priority="5" operator="equal">
      <formula>20</formula>
    </cfRule>
    <cfRule type="cellIs" dxfId="5" priority="6" operator="equal">
      <formula>1</formula>
    </cfRule>
  </conditionalFormatting>
  <conditionalFormatting sqref="I7:I8">
    <cfRule type="cellIs" dxfId="4" priority="3" operator="equal">
      <formula>1</formula>
    </cfRule>
    <cfRule type="cellIs" dxfId="3" priority="4" operator="greaterThanOrEqual">
      <formula>19</formula>
    </cfRule>
  </conditionalFormatting>
  <conditionalFormatting sqref="I7:I8">
    <cfRule type="cellIs" dxfId="2" priority="1" operator="equal">
      <formula>20</formula>
    </cfRule>
    <cfRule type="cellIs" dxfId="1"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3"/>
  <sheetViews>
    <sheetView showGridLines="0" workbookViewId="0"/>
  </sheetViews>
  <sheetFormatPr defaultColWidth="13" defaultRowHeight="15.6"/>
  <cols>
    <col min="1" max="1" width="24.296875" style="26" bestFit="1" customWidth="1"/>
    <col min="2" max="2" width="4.69921875" style="26" bestFit="1" customWidth="1"/>
    <col min="3" max="3" width="4.3984375" style="28" bestFit="1" customWidth="1"/>
    <col min="4" max="5" width="17.09765625" style="13" customWidth="1"/>
    <col min="6" max="6" width="2.69921875" style="13" customWidth="1"/>
    <col min="7" max="7" width="8.296875" style="13" bestFit="1" customWidth="1"/>
    <col min="8" max="16384" width="13" style="13"/>
  </cols>
  <sheetData>
    <row r="1" spans="1:7" ht="23.4" thickBot="1">
      <c r="A1" s="12" t="s">
        <v>62</v>
      </c>
      <c r="B1" s="12"/>
      <c r="C1" s="47"/>
      <c r="D1" s="12"/>
      <c r="E1" s="12"/>
    </row>
    <row r="2" spans="1:7" s="26" customFormat="1" ht="16.8" thickTop="1" thickBot="1">
      <c r="A2" s="48" t="s">
        <v>63</v>
      </c>
      <c r="B2" s="48" t="s">
        <v>3</v>
      </c>
      <c r="C2" s="49" t="s">
        <v>17</v>
      </c>
      <c r="D2" s="50" t="s">
        <v>64</v>
      </c>
      <c r="E2" s="51" t="s">
        <v>65</v>
      </c>
      <c r="G2" s="202" t="s">
        <v>78</v>
      </c>
    </row>
    <row r="3" spans="1:7">
      <c r="A3" s="52" t="s">
        <v>238</v>
      </c>
      <c r="B3" s="220">
        <v>1</v>
      </c>
      <c r="C3" s="419">
        <v>1</v>
      </c>
      <c r="D3" s="57"/>
      <c r="E3" s="58"/>
      <c r="G3" s="203">
        <v>1000</v>
      </c>
    </row>
    <row r="4" spans="1:7">
      <c r="A4" s="52" t="s">
        <v>219</v>
      </c>
      <c r="B4" s="219">
        <v>1</v>
      </c>
      <c r="C4" s="179">
        <v>1</v>
      </c>
      <c r="D4" s="57"/>
      <c r="E4" s="58"/>
      <c r="G4" s="203">
        <v>1</v>
      </c>
    </row>
    <row r="5" spans="1:7">
      <c r="A5" s="52" t="s">
        <v>234</v>
      </c>
      <c r="B5" s="220">
        <v>1</v>
      </c>
      <c r="C5" s="56" t="s">
        <v>235</v>
      </c>
      <c r="D5" s="54"/>
      <c r="E5" s="55"/>
      <c r="G5" s="320">
        <v>0.05</v>
      </c>
    </row>
    <row r="6" spans="1:7">
      <c r="A6" s="52" t="s">
        <v>200</v>
      </c>
      <c r="B6" s="219">
        <v>1</v>
      </c>
      <c r="C6" s="179">
        <v>1</v>
      </c>
      <c r="D6" s="57"/>
      <c r="E6" s="58"/>
      <c r="G6" s="203">
        <v>25</v>
      </c>
    </row>
    <row r="7" spans="1:7" ht="16.2" thickBot="1">
      <c r="A7" s="205"/>
      <c r="B7" s="221"/>
      <c r="C7" s="158"/>
      <c r="D7" s="159"/>
      <c r="E7" s="160"/>
      <c r="G7" s="204"/>
    </row>
    <row r="8" spans="1:7" ht="24" thickTop="1" thickBot="1">
      <c r="A8" s="12" t="s">
        <v>66</v>
      </c>
      <c r="B8" s="12"/>
      <c r="C8" s="161"/>
      <c r="D8" s="12"/>
      <c r="E8" s="162"/>
    </row>
    <row r="9" spans="1:7" ht="16.8" thickTop="1" thickBot="1">
      <c r="A9" s="48" t="s">
        <v>63</v>
      </c>
      <c r="B9" s="48" t="s">
        <v>3</v>
      </c>
      <c r="C9" s="49" t="s">
        <v>17</v>
      </c>
      <c r="D9" s="50" t="s">
        <v>64</v>
      </c>
      <c r="E9" s="51" t="s">
        <v>65</v>
      </c>
      <c r="G9" s="202" t="s">
        <v>78</v>
      </c>
    </row>
    <row r="10" spans="1:7">
      <c r="A10" s="233" t="s">
        <v>215</v>
      </c>
      <c r="B10" s="230">
        <v>25</v>
      </c>
      <c r="C10" s="179">
        <f>B10/100</f>
        <v>0.25</v>
      </c>
      <c r="D10" s="231"/>
      <c r="E10" s="58"/>
      <c r="G10" s="232">
        <f>B10</f>
        <v>25</v>
      </c>
    </row>
    <row r="11" spans="1:7">
      <c r="A11" s="233" t="s">
        <v>216</v>
      </c>
      <c r="B11" s="230">
        <v>25</v>
      </c>
      <c r="C11" s="179">
        <f>B11/100</f>
        <v>0.25</v>
      </c>
      <c r="D11" s="231"/>
      <c r="E11" s="58"/>
      <c r="G11" s="232">
        <f>B11*5</f>
        <v>125</v>
      </c>
    </row>
    <row r="12" spans="1:7">
      <c r="A12" s="233"/>
      <c r="B12" s="230"/>
      <c r="C12" s="179"/>
      <c r="D12" s="231"/>
      <c r="E12" s="58"/>
      <c r="G12" s="232"/>
    </row>
    <row r="13" spans="1:7" ht="16.2" thickBot="1">
      <c r="A13" s="205"/>
      <c r="B13" s="221"/>
      <c r="C13" s="158"/>
      <c r="D13" s="252"/>
      <c r="E13" s="160"/>
      <c r="G13" s="204"/>
    </row>
    <row r="14" spans="1:7" ht="24" thickTop="1" thickBot="1">
      <c r="A14" s="12" t="s">
        <v>172</v>
      </c>
      <c r="B14" s="12"/>
      <c r="C14" s="161"/>
      <c r="D14" s="12"/>
      <c r="E14" s="162"/>
      <c r="G14" s="330">
        <v>2000</v>
      </c>
    </row>
    <row r="15" spans="1:7" ht="16.8" thickTop="1" thickBot="1">
      <c r="A15" s="48" t="s">
        <v>63</v>
      </c>
      <c r="B15" s="48" t="s">
        <v>3</v>
      </c>
      <c r="C15" s="49" t="s">
        <v>17</v>
      </c>
      <c r="D15" s="50" t="s">
        <v>64</v>
      </c>
      <c r="E15" s="51" t="s">
        <v>65</v>
      </c>
      <c r="F15" s="330"/>
      <c r="G15" s="202" t="s">
        <v>78</v>
      </c>
    </row>
    <row r="16" spans="1:7">
      <c r="A16" s="263" t="s">
        <v>118</v>
      </c>
      <c r="B16" s="361">
        <v>1</v>
      </c>
      <c r="C16" s="358">
        <v>0</v>
      </c>
      <c r="D16" s="359"/>
      <c r="E16" s="360"/>
      <c r="G16" s="232">
        <v>1</v>
      </c>
    </row>
    <row r="17" spans="1:7">
      <c r="A17" s="376" t="s">
        <v>215</v>
      </c>
      <c r="B17" s="400">
        <v>1617</v>
      </c>
      <c r="C17" s="401">
        <f>B17/100</f>
        <v>16.170000000000002</v>
      </c>
      <c r="D17" s="402"/>
      <c r="E17" s="403"/>
      <c r="G17" s="232">
        <f>B17</f>
        <v>1617</v>
      </c>
    </row>
    <row r="18" spans="1:7">
      <c r="A18" s="376" t="s">
        <v>216</v>
      </c>
      <c r="B18" s="400">
        <v>750</v>
      </c>
      <c r="C18" s="401">
        <f>B18/100</f>
        <v>7.5</v>
      </c>
      <c r="D18" s="402"/>
      <c r="E18" s="403"/>
      <c r="G18" s="232">
        <f>B18*5</f>
        <v>3750</v>
      </c>
    </row>
    <row r="19" spans="1:7">
      <c r="A19" s="376" t="s">
        <v>98</v>
      </c>
      <c r="B19" s="400">
        <v>3</v>
      </c>
      <c r="C19" s="401">
        <f>B19</f>
        <v>3</v>
      </c>
      <c r="D19" s="402"/>
      <c r="E19" s="403"/>
      <c r="G19" s="232">
        <f>0.05*B19</f>
        <v>0.15000000000000002</v>
      </c>
    </row>
    <row r="20" spans="1:7">
      <c r="A20" s="376" t="s">
        <v>99</v>
      </c>
      <c r="B20" s="400">
        <v>1</v>
      </c>
      <c r="C20" s="401">
        <v>4</v>
      </c>
      <c r="D20" s="402"/>
      <c r="E20" s="403"/>
      <c r="G20" s="232">
        <v>1</v>
      </c>
    </row>
    <row r="21" spans="1:7">
      <c r="A21" s="52" t="s">
        <v>95</v>
      </c>
      <c r="B21" s="362">
        <v>1</v>
      </c>
      <c r="C21" s="53">
        <v>0</v>
      </c>
      <c r="D21" s="163"/>
      <c r="E21" s="55"/>
      <c r="G21" s="232">
        <v>1</v>
      </c>
    </row>
    <row r="22" spans="1:7">
      <c r="A22" s="52" t="s">
        <v>97</v>
      </c>
      <c r="B22" s="362">
        <v>1</v>
      </c>
      <c r="C22" s="53">
        <v>5</v>
      </c>
      <c r="D22" s="163"/>
      <c r="E22" s="55"/>
      <c r="G22" s="232">
        <v>80</v>
      </c>
    </row>
    <row r="23" spans="1:7">
      <c r="A23" s="233" t="s">
        <v>201</v>
      </c>
      <c r="B23" s="230">
        <v>1</v>
      </c>
      <c r="C23" s="179">
        <v>1</v>
      </c>
      <c r="D23" s="369" t="s">
        <v>202</v>
      </c>
      <c r="E23" s="58"/>
      <c r="G23" s="232">
        <v>35</v>
      </c>
    </row>
    <row r="24" spans="1:7">
      <c r="A24" s="233" t="s">
        <v>217</v>
      </c>
      <c r="B24" s="230">
        <v>1</v>
      </c>
      <c r="C24" s="179">
        <v>0.5</v>
      </c>
      <c r="D24" s="369"/>
      <c r="E24" s="58"/>
      <c r="G24" s="232">
        <v>1</v>
      </c>
    </row>
    <row r="25" spans="1:7">
      <c r="A25" s="233" t="s">
        <v>218</v>
      </c>
      <c r="B25" s="230">
        <v>6</v>
      </c>
      <c r="C25" s="179">
        <f>B25/12</f>
        <v>0.5</v>
      </c>
      <c r="D25" s="369"/>
      <c r="E25" s="58"/>
      <c r="G25" s="232">
        <f>B25/12</f>
        <v>0.5</v>
      </c>
    </row>
    <row r="26" spans="1:7">
      <c r="A26" s="233" t="s">
        <v>203</v>
      </c>
      <c r="B26" s="230">
        <v>6</v>
      </c>
      <c r="C26" s="179">
        <f>B26*0.5</f>
        <v>3</v>
      </c>
      <c r="D26" s="369" t="s">
        <v>202</v>
      </c>
      <c r="E26" s="58"/>
      <c r="G26" s="232">
        <f>40*B26</f>
        <v>240</v>
      </c>
    </row>
    <row r="27" spans="1:7">
      <c r="A27" s="233" t="s">
        <v>194</v>
      </c>
      <c r="B27" s="230">
        <v>1</v>
      </c>
      <c r="C27" s="179">
        <v>20</v>
      </c>
      <c r="D27" s="231"/>
      <c r="E27" s="58"/>
      <c r="G27" s="321">
        <v>0.1</v>
      </c>
    </row>
    <row r="28" spans="1:7">
      <c r="A28" s="233" t="s">
        <v>196</v>
      </c>
      <c r="B28" s="230">
        <v>1</v>
      </c>
      <c r="C28" s="179">
        <v>0.5</v>
      </c>
      <c r="D28" s="231"/>
      <c r="E28" s="58"/>
      <c r="G28" s="321">
        <v>0.05</v>
      </c>
    </row>
    <row r="29" spans="1:7">
      <c r="A29" s="233" t="s">
        <v>195</v>
      </c>
      <c r="B29" s="230">
        <v>3</v>
      </c>
      <c r="C29" s="179">
        <f>B29</f>
        <v>3</v>
      </c>
      <c r="D29" s="231"/>
      <c r="E29" s="58"/>
      <c r="G29" s="321">
        <f>B29/10</f>
        <v>0.3</v>
      </c>
    </row>
    <row r="30" spans="1:7">
      <c r="A30" s="233" t="s">
        <v>96</v>
      </c>
      <c r="B30" s="230">
        <v>1</v>
      </c>
      <c r="C30" s="179">
        <v>1</v>
      </c>
      <c r="D30" s="231"/>
      <c r="E30" s="58"/>
      <c r="G30" s="232">
        <v>50</v>
      </c>
    </row>
    <row r="31" spans="1:7">
      <c r="A31" s="52" t="s">
        <v>177</v>
      </c>
      <c r="B31" s="362">
        <v>2</v>
      </c>
      <c r="C31" s="53">
        <v>10</v>
      </c>
      <c r="D31" s="54"/>
      <c r="E31" s="55"/>
      <c r="G31" s="232">
        <v>10</v>
      </c>
    </row>
    <row r="32" spans="1:7">
      <c r="A32" s="52" t="s">
        <v>190</v>
      </c>
      <c r="B32" s="362">
        <v>1</v>
      </c>
      <c r="C32" s="53">
        <v>1</v>
      </c>
      <c r="D32" s="364" t="s">
        <v>189</v>
      </c>
      <c r="E32" s="55"/>
      <c r="G32" s="232">
        <v>1</v>
      </c>
    </row>
    <row r="33" spans="1:7">
      <c r="A33" s="52" t="s">
        <v>191</v>
      </c>
      <c r="B33" s="362">
        <v>1</v>
      </c>
      <c r="C33" s="53">
        <v>1</v>
      </c>
      <c r="D33" s="364" t="s">
        <v>189</v>
      </c>
      <c r="E33" s="55"/>
      <c r="G33" s="232">
        <v>1</v>
      </c>
    </row>
    <row r="34" spans="1:7">
      <c r="A34" s="52" t="s">
        <v>192</v>
      </c>
      <c r="B34" s="362">
        <v>1</v>
      </c>
      <c r="C34" s="53">
        <v>1</v>
      </c>
      <c r="D34" s="364" t="s">
        <v>189</v>
      </c>
      <c r="E34" s="55"/>
      <c r="G34" s="232">
        <v>1</v>
      </c>
    </row>
    <row r="35" spans="1:7">
      <c r="A35" s="52" t="s">
        <v>188</v>
      </c>
      <c r="B35" s="362">
        <v>1</v>
      </c>
      <c r="C35" s="53">
        <v>0.5</v>
      </c>
      <c r="D35" s="54"/>
      <c r="E35" s="55"/>
      <c r="G35" s="232">
        <v>1</v>
      </c>
    </row>
    <row r="36" spans="1:7">
      <c r="A36" s="52" t="s">
        <v>187</v>
      </c>
      <c r="B36" s="362">
        <v>1</v>
      </c>
      <c r="C36" s="53">
        <v>1</v>
      </c>
      <c r="D36" s="54"/>
      <c r="E36" s="55"/>
      <c r="G36" s="232">
        <v>10</v>
      </c>
    </row>
    <row r="37" spans="1:7">
      <c r="A37" s="52" t="s">
        <v>178</v>
      </c>
      <c r="B37" s="362">
        <v>2</v>
      </c>
      <c r="C37" s="53">
        <v>0</v>
      </c>
      <c r="D37" s="54"/>
      <c r="E37" s="55"/>
      <c r="G37" s="232">
        <f>B37</f>
        <v>2</v>
      </c>
    </row>
    <row r="38" spans="1:7">
      <c r="A38" s="52" t="s">
        <v>176</v>
      </c>
      <c r="B38" s="362">
        <v>2</v>
      </c>
      <c r="C38" s="53">
        <f>5*B38</f>
        <v>10</v>
      </c>
      <c r="D38" s="54"/>
      <c r="E38" s="55"/>
      <c r="G38" s="232">
        <f>10*B38</f>
        <v>20</v>
      </c>
    </row>
    <row r="39" spans="1:7">
      <c r="A39" s="52" t="s">
        <v>94</v>
      </c>
      <c r="B39" s="362">
        <v>1</v>
      </c>
      <c r="C39" s="53">
        <v>0</v>
      </c>
      <c r="D39" s="54"/>
      <c r="E39" s="55"/>
      <c r="G39" s="232">
        <v>0</v>
      </c>
    </row>
    <row r="40" spans="1:7" ht="16.2" thickBot="1">
      <c r="A40" s="205" t="s">
        <v>175</v>
      </c>
      <c r="B40" s="352">
        <v>5</v>
      </c>
      <c r="C40" s="353">
        <v>0</v>
      </c>
      <c r="D40" s="354"/>
      <c r="E40" s="355"/>
      <c r="F40" s="330"/>
      <c r="G40" s="204">
        <f>B40</f>
        <v>5</v>
      </c>
    </row>
    <row r="41" spans="1:7" ht="16.2" thickTop="1">
      <c r="A41" s="326" t="s">
        <v>173</v>
      </c>
      <c r="B41" s="356">
        <f>C41/120</f>
        <v>0.74724999999999997</v>
      </c>
      <c r="C41" s="357">
        <f>SUM(C16:C40)</f>
        <v>89.67</v>
      </c>
      <c r="D41" s="337"/>
      <c r="E41" s="337"/>
      <c r="F41" s="337"/>
      <c r="G41" s="337"/>
    </row>
    <row r="42" spans="1:7">
      <c r="E42" s="129" t="s">
        <v>82</v>
      </c>
      <c r="G42" s="367">
        <f>SUM(Martial!M6:M34,Equipment!G3:G40)</f>
        <v>19298.149999999998</v>
      </c>
    </row>
    <row r="43" spans="1:7">
      <c r="E43" s="326" t="s">
        <v>179</v>
      </c>
      <c r="F43" s="330"/>
      <c r="G43" s="367">
        <v>27000</v>
      </c>
    </row>
  </sheetData>
  <phoneticPr fontId="0" type="noConversion"/>
  <conditionalFormatting sqref="B41">
    <cfRule type="cellIs" dxfId="0" priority="1" operator="greaterThan">
      <formula>0.99</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7210A-7FE2-4A5F-A2C7-EE06781CA8FC}">
  <dimension ref="A1:C19"/>
  <sheetViews>
    <sheetView showGridLines="0" workbookViewId="0"/>
  </sheetViews>
  <sheetFormatPr defaultColWidth="9" defaultRowHeight="15.6"/>
  <cols>
    <col min="1" max="1" width="62.3984375" style="137" bestFit="1" customWidth="1"/>
    <col min="2" max="2" width="9.5" style="338" customWidth="1"/>
    <col min="3" max="3" width="6.3984375" style="137" customWidth="1"/>
    <col min="4" max="16384" width="9" style="137"/>
  </cols>
  <sheetData>
    <row r="1" spans="1:3">
      <c r="A1" s="326" t="s">
        <v>145</v>
      </c>
      <c r="B1" s="327" t="str">
        <f>'Personal File'!A1</f>
        <v>Bazazath</v>
      </c>
      <c r="C1" s="328" t="s">
        <v>146</v>
      </c>
    </row>
    <row r="2" spans="1:3">
      <c r="A2" s="329" t="s">
        <v>221</v>
      </c>
      <c r="B2" s="330" t="s">
        <v>251</v>
      </c>
      <c r="C2" s="331">
        <v>0.04</v>
      </c>
    </row>
    <row r="3" spans="1:3">
      <c r="A3" s="329" t="s">
        <v>156</v>
      </c>
      <c r="B3" s="330" t="s">
        <v>155</v>
      </c>
      <c r="C3" s="331">
        <v>0.16</v>
      </c>
    </row>
    <row r="4" spans="1:3">
      <c r="A4" s="329" t="s">
        <v>159</v>
      </c>
      <c r="B4" s="330" t="s">
        <v>147</v>
      </c>
      <c r="C4" s="331">
        <v>0.2</v>
      </c>
    </row>
    <row r="5" spans="1:3">
      <c r="A5" s="329" t="s">
        <v>158</v>
      </c>
      <c r="B5" s="330" t="s">
        <v>155</v>
      </c>
      <c r="C5" s="331">
        <v>0.16</v>
      </c>
    </row>
    <row r="6" spans="1:3">
      <c r="A6" s="329" t="s">
        <v>157</v>
      </c>
      <c r="B6" s="330" t="s">
        <v>147</v>
      </c>
      <c r="C6" s="331">
        <v>0.2</v>
      </c>
    </row>
    <row r="7" spans="1:3">
      <c r="A7" s="326" t="s">
        <v>53</v>
      </c>
      <c r="B7" s="327"/>
      <c r="C7" s="328">
        <f>SUM(C2:C6)</f>
        <v>0.76</v>
      </c>
    </row>
    <row r="8" spans="1:3">
      <c r="A8" s="326"/>
      <c r="B8" s="327"/>
      <c r="C8" s="328"/>
    </row>
    <row r="9" spans="1:3">
      <c r="A9" s="326" t="s">
        <v>148</v>
      </c>
      <c r="B9" s="332">
        <v>0</v>
      </c>
      <c r="C9" s="333"/>
    </row>
    <row r="10" spans="1:3">
      <c r="A10" s="326" t="s">
        <v>149</v>
      </c>
      <c r="B10" s="332">
        <v>5000</v>
      </c>
      <c r="C10" s="333"/>
    </row>
    <row r="11" spans="1:3">
      <c r="A11" s="326" t="s">
        <v>150</v>
      </c>
      <c r="B11" s="332">
        <f>IF(B9=0,B10*C7,(B10*C7*(1-(B9/4))))</f>
        <v>3800</v>
      </c>
      <c r="C11" s="333"/>
    </row>
    <row r="12" spans="1:3">
      <c r="A12" s="326" t="s">
        <v>151</v>
      </c>
      <c r="B12" s="334">
        <v>0</v>
      </c>
      <c r="C12" s="335"/>
    </row>
    <row r="13" spans="1:3">
      <c r="A13" s="326" t="s">
        <v>53</v>
      </c>
      <c r="B13" s="336">
        <f>SUM(B11:B12)</f>
        <v>3800</v>
      </c>
      <c r="C13" s="333"/>
    </row>
    <row r="14" spans="1:3">
      <c r="A14" s="326" t="s">
        <v>152</v>
      </c>
      <c r="B14" s="332">
        <v>26720</v>
      </c>
      <c r="C14" s="333"/>
    </row>
    <row r="15" spans="1:3">
      <c r="A15" s="326" t="s">
        <v>153</v>
      </c>
      <c r="B15" s="336">
        <f>SUM(B13:B14)</f>
        <v>30520</v>
      </c>
      <c r="C15" s="333"/>
    </row>
    <row r="17" spans="1:2">
      <c r="A17" s="326" t="s">
        <v>228</v>
      </c>
      <c r="B17" s="137"/>
    </row>
    <row r="18" spans="1:2">
      <c r="A18" s="337"/>
      <c r="B18" s="137"/>
    </row>
    <row r="19" spans="1:2">
      <c r="B19" s="137"/>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Feats</vt:lpstr>
      <vt:lpstr>Martial</vt:lpstr>
      <vt:lpstr>Equipment</vt:lpstr>
      <vt:lpstr>XP Awards</vt:lpstr>
      <vt:lpstr>Feats!OLE_LINK1</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Character Sheet</dc:title>
  <dc:creator>© Alexis A. Álvarez 2007</dc:creator>
  <cp:lastModifiedBy>Alexis Álvarez</cp:lastModifiedBy>
  <cp:lastPrinted>2007-10-12T15:52:45Z</cp:lastPrinted>
  <dcterms:created xsi:type="dcterms:W3CDTF">2000-10-24T15:39:59Z</dcterms:created>
  <dcterms:modified xsi:type="dcterms:W3CDTF">2021-05-09T13:01:43Z</dcterms:modified>
</cp:coreProperties>
</file>