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6AEA8048-70C7-4A71-99FA-F405CADBB00C}"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6" r:id="rId4"/>
    <sheet name="Martial" sheetId="6" r:id="rId5"/>
    <sheet name="Equipment" sheetId="19" r:id="rId6"/>
    <sheet name="Animal" sheetId="27" r:id="rId7"/>
    <sheet name="XP Awards" sheetId="28" r:id="rId8"/>
  </sheets>
  <externalReferences>
    <externalReference r:id="rId9"/>
  </externalReferences>
  <definedNames>
    <definedName name="NoShade">'[1]Spell Sheet'!$FH$1</definedName>
    <definedName name="OLE_LINK1" localSheetId="3">Feats!#REF!</definedName>
    <definedName name="_xlnm.Print_Area" localSheetId="6">Animal!$A$1:$H$13</definedName>
    <definedName name="_xlnm.Print_Area" localSheetId="5">Equipment!#REF!</definedName>
    <definedName name="_xlnm.Print_Area" localSheetId="3">Feats!#REF!</definedName>
    <definedName name="_xlnm.Print_Area" localSheetId="4">Martial!#REF!</definedName>
    <definedName name="_xlnm.Print_Area" localSheetId="0">'Personal File'!$A$1:$H$40</definedName>
    <definedName name="_xlnm.Print_Area" localSheetId="1">Skills!$A$1:$K$28</definedName>
    <definedName name="_xlnm.Print_Area" localSheetId="2">Spells!$A$1:$H$8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26" l="1"/>
  <c r="J7" i="26"/>
  <c r="I7" i="26"/>
  <c r="H7" i="26"/>
  <c r="G7" i="26"/>
  <c r="F7" i="26"/>
  <c r="E7" i="26"/>
  <c r="D7" i="26"/>
  <c r="C7" i="26"/>
  <c r="B7" i="26"/>
  <c r="C7" i="28" l="1"/>
  <c r="B11" i="28" s="1"/>
  <c r="B13" i="28" s="1"/>
  <c r="B15" i="28" s="1"/>
  <c r="B1" i="28" l="1"/>
  <c r="M23" i="6" l="1"/>
  <c r="G23" i="6"/>
  <c r="C4" i="27"/>
  <c r="C5" i="27"/>
  <c r="C6" i="27"/>
  <c r="C7" i="27"/>
  <c r="C8" i="27"/>
  <c r="C9" i="27"/>
  <c r="F27" i="15" l="1"/>
  <c r="F34" i="15"/>
  <c r="F40" i="15"/>
  <c r="F23" i="15"/>
  <c r="F21" i="15"/>
  <c r="F16" i="15"/>
  <c r="F9" i="15"/>
  <c r="F7" i="15"/>
  <c r="G33" i="19" l="1"/>
  <c r="C33" i="19"/>
  <c r="C25" i="19"/>
  <c r="G25" i="19"/>
  <c r="G24" i="19"/>
  <c r="C24" i="19"/>
  <c r="G23" i="19"/>
  <c r="C23" i="19"/>
  <c r="G21" i="19"/>
  <c r="C21" i="19"/>
  <c r="C34" i="19" s="1"/>
  <c r="G10" i="19"/>
  <c r="G11" i="19"/>
  <c r="C11" i="19"/>
  <c r="C10" i="19"/>
  <c r="C9" i="19"/>
  <c r="G9" i="19"/>
  <c r="I15" i="6"/>
  <c r="I14" i="6"/>
  <c r="I7" i="6"/>
  <c r="I6" i="6"/>
  <c r="I5" i="6"/>
  <c r="I4" i="6"/>
  <c r="G35" i="19"/>
  <c r="E11" i="4"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J6" i="26" l="1"/>
  <c r="I6" i="26"/>
  <c r="I3" i="6" l="1"/>
  <c r="D10" i="26"/>
  <c r="H7" i="15" l="1"/>
  <c r="H6" i="26" l="1"/>
  <c r="G6" i="26"/>
  <c r="E45" i="15" l="1"/>
  <c r="H3" i="15" l="1"/>
  <c r="H4" i="15"/>
  <c r="H5" i="15"/>
  <c r="I13" i="6" l="1"/>
  <c r="I16" i="6" l="1"/>
  <c r="I12" i="6"/>
  <c r="I9" i="6"/>
  <c r="H12" i="6" l="1"/>
  <c r="J12" i="6" s="1"/>
  <c r="F6" i="26" l="1"/>
  <c r="I8" i="6" l="1"/>
  <c r="E6" i="26" l="1"/>
  <c r="D6" i="26" l="1"/>
  <c r="B6" i="26"/>
  <c r="C6" i="26"/>
  <c r="K6" i="26"/>
  <c r="B43" i="15" l="1"/>
  <c r="C15" i="4" l="1"/>
  <c r="C14" i="4"/>
  <c r="C13" i="4"/>
  <c r="C12" i="4"/>
  <c r="E12" i="4" s="1"/>
  <c r="C11" i="4"/>
  <c r="C10" i="4"/>
  <c r="C7" i="6" l="1"/>
  <c r="C4" i="6"/>
  <c r="C6" i="6"/>
  <c r="C5" i="6"/>
  <c r="C3" i="6"/>
  <c r="H6" i="6"/>
  <c r="J6" i="6" s="1"/>
  <c r="H5" i="6"/>
  <c r="J5" i="6" s="1"/>
  <c r="H4" i="6"/>
  <c r="J4" i="6" s="1"/>
  <c r="H7" i="6"/>
  <c r="J7" i="6" s="1"/>
  <c r="H8" i="6"/>
  <c r="H3" i="6"/>
  <c r="J3" i="6" s="1"/>
  <c r="B9" i="4"/>
  <c r="H15" i="6"/>
  <c r="J15" i="6" s="1"/>
  <c r="H14" i="6"/>
  <c r="J14" i="6" s="1"/>
  <c r="E13" i="4"/>
  <c r="E15" i="4" s="1"/>
  <c r="E14" i="4" s="1"/>
  <c r="D3" i="15"/>
  <c r="D10" i="15"/>
  <c r="E10" i="15" s="1"/>
  <c r="D4" i="15"/>
  <c r="D21" i="15"/>
  <c r="E21" i="15" s="1"/>
  <c r="D34" i="15"/>
  <c r="E34" i="15" s="1"/>
  <c r="D7" i="15"/>
  <c r="E7" i="15" s="1"/>
  <c r="D27" i="15"/>
  <c r="E27" i="15" s="1"/>
  <c r="D40" i="15"/>
  <c r="E40" i="15" s="1"/>
  <c r="D28" i="15"/>
  <c r="E28" i="15" s="1"/>
  <c r="D42" i="15"/>
  <c r="E42" i="15" s="1"/>
  <c r="D16" i="15"/>
  <c r="E16" i="15" s="1"/>
  <c r="D31" i="15"/>
  <c r="E31" i="15" s="1"/>
  <c r="D8" i="15"/>
  <c r="E8" i="15" s="1"/>
  <c r="D22" i="15"/>
  <c r="E22" i="15" s="1"/>
  <c r="D18" i="15"/>
  <c r="E18" i="15" s="1"/>
  <c r="D15" i="15"/>
  <c r="E15" i="15" s="1"/>
  <c r="D13" i="15"/>
  <c r="E13" i="15" s="1"/>
  <c r="D19" i="15"/>
  <c r="E19" i="15" s="1"/>
  <c r="D29" i="15"/>
  <c r="E29" i="15" s="1"/>
  <c r="D41" i="15"/>
  <c r="E41" i="15" s="1"/>
  <c r="J9" i="6"/>
  <c r="D33" i="15"/>
  <c r="E33" i="15" s="1"/>
  <c r="D5" i="15"/>
  <c r="D30" i="15"/>
  <c r="E30" i="15" s="1"/>
  <c r="D20" i="15"/>
  <c r="E20" i="15" s="1"/>
  <c r="D38" i="15"/>
  <c r="E38" i="15" s="1"/>
  <c r="D26" i="15"/>
  <c r="E26" i="15" s="1"/>
  <c r="D37" i="15"/>
  <c r="E37" i="15" s="1"/>
  <c r="D23" i="15"/>
  <c r="E23" i="15" s="1"/>
  <c r="D39" i="15"/>
  <c r="E39" i="15" s="1"/>
  <c r="D9" i="15"/>
  <c r="E9" i="15" s="1"/>
  <c r="E44" i="15"/>
  <c r="D6" i="15"/>
  <c r="E6" i="15" s="1"/>
  <c r="D14" i="15"/>
  <c r="E14" i="15" s="1"/>
  <c r="D25" i="15"/>
  <c r="E25" i="15" s="1"/>
  <c r="D11" i="15"/>
  <c r="E11" i="15" s="1"/>
  <c r="D24" i="15"/>
  <c r="E24" i="15" s="1"/>
  <c r="D17" i="15"/>
  <c r="E17" i="15" s="1"/>
  <c r="D36" i="15"/>
  <c r="E36" i="15" s="1"/>
  <c r="D12" i="15"/>
  <c r="E12" i="15" s="1"/>
  <c r="D35" i="15"/>
  <c r="E35" i="15" s="1"/>
  <c r="D32" i="15"/>
  <c r="E32" i="15" s="1"/>
  <c r="C8" i="6"/>
  <c r="H13" i="6"/>
  <c r="J13" i="6" s="1"/>
  <c r="H16" i="6"/>
  <c r="J16" i="6" s="1"/>
  <c r="J8" i="6"/>
  <c r="H42" i="15"/>
  <c r="H6" i="15"/>
  <c r="E3" i="15" l="1"/>
  <c r="G3" i="15"/>
  <c r="I3" i="15" s="1"/>
  <c r="E4" i="15"/>
  <c r="G4" i="15"/>
  <c r="I4" i="15" s="1"/>
  <c r="E43" i="15"/>
  <c r="E5" i="15"/>
  <c r="G5" i="15"/>
  <c r="I5" i="15" s="1"/>
  <c r="G25" i="15"/>
  <c r="I25" i="15" s="1"/>
  <c r="G24" i="15" l="1"/>
  <c r="I24" i="15" l="1"/>
  <c r="G30" i="15" l="1"/>
  <c r="G8" i="15" l="1"/>
  <c r="G6" i="15"/>
  <c r="I6" i="15" s="1"/>
  <c r="G10" i="15"/>
  <c r="G16" i="15"/>
  <c r="G21" i="15"/>
  <c r="G27" i="15"/>
  <c r="I27" i="15" s="1"/>
  <c r="G42" i="15"/>
  <c r="G28" i="15"/>
  <c r="I28" i="15" s="1"/>
  <c r="G37" i="15"/>
  <c r="G19" i="15"/>
  <c r="G7" i="15"/>
  <c r="G17" i="15"/>
  <c r="G22" i="15"/>
  <c r="I30" i="15"/>
  <c r="G29" i="15"/>
  <c r="I29" i="15" s="1"/>
  <c r="G12" i="15"/>
  <c r="G41" i="15"/>
  <c r="G40" i="15"/>
  <c r="G36" i="15"/>
  <c r="G13" i="15"/>
  <c r="I13" i="15" s="1"/>
  <c r="G18" i="15"/>
  <c r="G23" i="15"/>
  <c r="G31" i="15"/>
  <c r="G14" i="15"/>
  <c r="G32" i="15"/>
  <c r="G35" i="15"/>
  <c r="G11" i="15"/>
  <c r="I11" i="15" s="1"/>
  <c r="G9" i="15"/>
  <c r="G15" i="15"/>
  <c r="G20" i="15"/>
  <c r="G26" i="15"/>
  <c r="G33" i="15"/>
  <c r="I33" i="15" s="1"/>
  <c r="G34" i="15"/>
  <c r="G39" i="15"/>
  <c r="I39" i="15" s="1"/>
  <c r="G38" i="15"/>
  <c r="I35" i="15" l="1"/>
  <c r="I12" i="15"/>
  <c r="I40" i="15"/>
  <c r="I9" i="15"/>
  <c r="I23" i="15"/>
  <c r="I7" i="15"/>
  <c r="I26" i="15"/>
  <c r="I15" i="15"/>
  <c r="I31" i="15"/>
  <c r="I18" i="15"/>
  <c r="I17" i="15"/>
  <c r="I19" i="15"/>
  <c r="I16" i="15"/>
  <c r="I38" i="15"/>
  <c r="I34" i="15"/>
  <c r="I14" i="15"/>
  <c r="I41" i="15"/>
  <c r="I42" i="15"/>
  <c r="I21" i="15"/>
  <c r="I32" i="15"/>
  <c r="I36" i="15"/>
  <c r="I20" i="15"/>
  <c r="I37"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23C0A8AD-8B24-4DB4-98ED-1E592103C21C}">
      <text>
        <r>
          <rPr>
            <sz val="12"/>
            <color indexed="81"/>
            <rFont val="Times New Roman"/>
            <family val="1"/>
          </rPr>
          <t>Blooded +2</t>
        </r>
      </text>
    </comment>
    <comment ref="E9" authorId="0" shapeId="0" xr:uid="{F6CD3205-9B2F-4E49-A765-1F66A1ACAB40}">
      <text>
        <r>
          <rPr>
            <sz val="12"/>
            <color indexed="81"/>
            <rFont val="Times New Roman"/>
            <family val="1"/>
          </rPr>
          <t>Next level at 1000 XPs</t>
        </r>
      </text>
    </comment>
    <comment ref="E10" authorId="0" shapeId="0" xr:uid="{3324F809-5ADA-43FE-9A0F-B1F163200CC0}">
      <text>
        <r>
          <rPr>
            <sz val="12"/>
            <color indexed="81"/>
            <rFont val="Times New Roman"/>
            <family val="1"/>
          </rPr>
          <t>See PHB 162</t>
        </r>
      </text>
    </comment>
    <comment ref="E12" authorId="0" shapeId="0" xr:uid="{00000000-0006-0000-0000-000004000000}">
      <text>
        <r>
          <rPr>
            <sz val="12"/>
            <color indexed="81"/>
            <rFont val="Times New Roman"/>
            <family val="1"/>
          </rPr>
          <t>[(1 * 8 Favored Soul) * 75%]
+ (1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1" authorId="0" shapeId="0" xr:uid="{4F04DBCE-3573-4A4D-9BE7-C773AED1580B}">
      <text>
        <r>
          <rPr>
            <sz val="12"/>
            <color indexed="81"/>
            <rFont val="Times New Roman"/>
            <family val="1"/>
          </rPr>
          <t>MW Kit +2</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7" authorId="0" shapeId="0" xr:uid="{FEAABE47-FE22-4571-B027-838DB519F77D}">
      <text>
        <r>
          <rPr>
            <sz val="12"/>
            <color indexed="81"/>
            <rFont val="Times New Roman"/>
            <family val="1"/>
          </rPr>
          <t>Armor penalty</t>
        </r>
      </text>
    </comment>
    <comment ref="F34" authorId="0" shapeId="0" xr:uid="{590B8E20-33CF-45A1-9151-6E34B1F8BCD7}">
      <text>
        <r>
          <rPr>
            <sz val="12"/>
            <color indexed="81"/>
            <rFont val="Times New Roman"/>
            <family val="1"/>
          </rPr>
          <t>Armor penalty</t>
        </r>
      </text>
    </comment>
    <comment ref="F37" authorId="0" shapeId="0" xr:uid="{1B300C74-5518-4AD7-8064-C7E1B016C7B1}">
      <text>
        <r>
          <rPr>
            <sz val="12"/>
            <color indexed="81"/>
            <rFont val="Times New Roman"/>
            <family val="1"/>
          </rPr>
          <t>Blooded +2</t>
        </r>
      </text>
    </comment>
    <comment ref="F40" authorId="0" shapeId="0" xr:uid="{9B6B967C-7166-4A3D-A949-9124D3193379}">
      <text>
        <r>
          <rPr>
            <sz val="12"/>
            <color indexed="81"/>
            <rFont val="Times New Roman"/>
            <family val="1"/>
          </rPr>
          <t>Armor penalty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Phosphorescent moss</t>
        </r>
      </text>
    </comment>
    <comment ref="D6" authorId="0" shapeId="0" xr:uid="{00000000-0006-0000-0200-000003000000}">
      <text>
        <r>
          <rPr>
            <sz val="12"/>
            <color indexed="81"/>
            <rFont val="Times New Roman"/>
            <family val="1"/>
          </rPr>
          <t>Prism, lens, or monocle</t>
        </r>
      </text>
    </comment>
    <comment ref="D9" authorId="0" shapeId="0" xr:uid="{00000000-0006-0000-0200-00000E000000}">
      <text>
        <r>
          <rPr>
            <sz val="12"/>
            <color indexed="81"/>
            <rFont val="Times New Roman"/>
            <family val="1"/>
          </rPr>
          <t>Powdered silver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M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8"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<sst xmlns="http://schemas.openxmlformats.org/spreadsheetml/2006/main" count="471" uniqueCount="289">
  <si>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</si>
  <si>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</si>
  <si>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</si>
  <si>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</si>
  <si>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</si>
  <si>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</si>
  <si>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</si>
  <si>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</si>
  <si>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</si>
  <si>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</si>
  <si>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</si>
  <si>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</si>
  <si>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</si>
  <si>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</si>
  <si>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</si>
  <si>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</si>
  <si>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</si>
  <si>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</si>
  <si>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</si>
  <si>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</si>
  <si>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</si>
  <si>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</si>
  <si>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</si>
  <si>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</si>
  <si>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</si>
  <si>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</si>
  <si>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</si>
  <si>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</si>
  <si>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</si>
  <si>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</si>
  <si>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</si>
  <si>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</si>
  <si>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</si>
  <si>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</si>
  <si>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</si>
  <si>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</si>
  <si>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</si>
  <si>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</si>
  <si>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</si>
  <si>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</si>
  <si>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</si>
  <si>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</si>
  <si>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</si>
  <si>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</si>
  <si>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</si>
  <si>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</si>
  <si>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</si>
  <si>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</si>
  <si>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</si>
  <si>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</si>
  <si>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</si>
  <si>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</si>
  <si>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</si>
  <si>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</si>
  <si>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</si>
  <si>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</si>
  <si>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</si>
  <si>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</si>
  <si>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</si>
  <si>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</si>
  <si>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</si>
  <si>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</si>
  <si>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</si>
  <si>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</si>
  <si>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</si>
  <si>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</si>
  <si>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</si>
  <si>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</si>
  <si>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</si>
  <si>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</si>
  <si>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</si>
  <si>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</si>
  <si>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</si>
  <si>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</si>
  <si>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</si>
  <si>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</si>
  <si>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</si>
  <si>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</si>
  <si>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</si>
  <si>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</si>
  <si>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Speak Language</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</si>
  <si>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</si>
  <si>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</si>
  <si>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</si>
  <si>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</si>
  <si>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</si>
  <si>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</si>
  <si>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</si>
  <si>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</si>
  <si>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</si>
  <si>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</si>
  <si>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</si>
  <si>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</si>
  <si>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</si>
  <si>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</si>
  <si>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</si>
  <si>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</si>
  <si>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</si>
  <si>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</si>
  <si>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</si>
  <si>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</si>
  <si>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</si>
  <si>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</si>
  <si>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</si>
  <si>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</si>
  <si>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Spells per Day</t>
  </si>
  <si>
    <t>Spell Level</t>
  </si>
  <si>
    <t>0th</t>
  </si>
  <si>
    <t>7th</t>
  </si>
  <si>
    <t>Total Divine</t>
  </si>
  <si>
    <t>Feats</t>
  </si>
  <si>
    <t>Roll</t>
  </si>
  <si>
    <t>Skill/Save</t>
  </si>
  <si>
    <t>30’</t>
  </si>
  <si>
    <t>Human</t>
  </si>
  <si>
    <t>Divine Favor</t>
  </si>
  <si>
    <t>V M/DF</t>
  </si>
  <si>
    <t>Protection from Evil</t>
  </si>
  <si>
    <t>Knowledge:  Religion</t>
  </si>
  <si>
    <t>Simple Weapons</t>
  </si>
  <si>
    <t>Perform:  [type]</t>
  </si>
  <si>
    <t>Knowledge:  Arcana</t>
  </si>
  <si>
    <t>human</t>
  </si>
  <si>
    <t>Bolts</t>
  </si>
  <si>
    <t>+0</t>
  </si>
  <si>
    <t>Light Crossbow</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</si>
  <si>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</si>
  <si>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</si>
  <si>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</si>
  <si>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</si>
  <si>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</si>
  <si>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</si>
  <si>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</si>
  <si>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</si>
  <si>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</si>
  <si>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</si>
  <si>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</si>
  <si>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</si>
  <si>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</si>
  <si>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</si>
  <si>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</si>
  <si>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</si>
  <si>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</si>
  <si>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</si>
  <si>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</si>
  <si>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</si>
  <si>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</si>
  <si>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</si>
  <si>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</si>
  <si>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</si>
  <si>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</si>
  <si>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</si>
  <si>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</si>
  <si>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</si>
  <si>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</si>
  <si>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</si>
  <si>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</si>
  <si>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</si>
  <si>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</si>
  <si>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</si>
  <si>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</si>
  <si>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</si>
  <si>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</si>
  <si>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</si>
  <si>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</si>
  <si>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</si>
  <si>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</si>
  <si>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</si>
  <si>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</si>
  <si>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</si>
  <si>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</si>
  <si>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</si>
  <si>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</si>
  <si>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</si>
  <si>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</si>
  <si>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</si>
  <si>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</si>
  <si>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</si>
  <si>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</si>
  <si>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</si>
  <si>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</si>
  <si>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1st:  Protection Devotion</t>
  </si>
  <si>
    <t>Human:  Fey Heritage</t>
  </si>
  <si>
    <t>Light and Medium Armor</t>
  </si>
  <si>
    <t>Common, Goblin, Sylvan</t>
  </si>
  <si>
    <t>Charisma Bonus</t>
  </si>
  <si>
    <t>Favored Soul Spells</t>
  </si>
  <si>
    <t>8th</t>
  </si>
  <si>
    <t>9th</t>
  </si>
  <si>
    <t>DC</t>
  </si>
  <si>
    <t>Cast?</t>
  </si>
  <si>
    <t>Profession:  [type]</t>
  </si>
  <si>
    <t>Bastard Sword</t>
  </si>
  <si>
    <t>1d10</t>
  </si>
  <si>
    <t>Slashing</t>
  </si>
  <si>
    <t>AC</t>
  </si>
  <si>
    <t>The Dale</t>
  </si>
  <si>
    <t>MW Chain Shirt</t>
  </si>
  <si>
    <t>Morningstar</t>
  </si>
  <si>
    <t>Dagger</t>
  </si>
  <si>
    <t>Cold Iron Spiked Gauntlet</t>
  </si>
  <si>
    <t>Silver Spiked Gauntlet</t>
  </si>
  <si>
    <t>Right Hand</t>
  </si>
  <si>
    <t>Left Hand</t>
  </si>
  <si>
    <t xml:space="preserve">Silver Holy Symbol of Mayaheine </t>
  </si>
  <si>
    <t>Backpack</t>
  </si>
  <si>
    <t>Flask of Acid</t>
  </si>
  <si>
    <t>Flask of Alchemist’s Fire</t>
  </si>
  <si>
    <t>Wizard’s Spellbook</t>
  </si>
  <si>
    <t>Used as a journal</t>
  </si>
  <si>
    <t>Gold Coins</t>
  </si>
  <si>
    <t>Vials of Ink</t>
  </si>
  <si>
    <t>Equipment Carried by “Sandy” (Mule)</t>
  </si>
  <si>
    <t>Quills</t>
  </si>
  <si>
    <t>Vials of Antitoxin</t>
  </si>
  <si>
    <t>Pack Saddle</t>
  </si>
  <si>
    <t>Bit &amp; Bridle</t>
  </si>
  <si>
    <t>Bedroll</t>
  </si>
  <si>
    <t>Winter Blanket</t>
  </si>
  <si>
    <t>Waterskin</t>
  </si>
  <si>
    <t>Masterwork Weaponsmith’s Tools</t>
  </si>
  <si>
    <t>Feed For Mule, Day’s Supply</t>
  </si>
  <si>
    <t>Trail Rations, Day’s Supply</t>
  </si>
  <si>
    <t>Torches</t>
  </si>
  <si>
    <t>Flint &amp; Steel</t>
  </si>
  <si>
    <t>Iron Pot</t>
  </si>
  <si>
    <t>Sledge</t>
  </si>
  <si>
    <t>Spade</t>
  </si>
  <si>
    <t>Cold Weather Outfit</t>
  </si>
  <si>
    <t>seven</t>
  </si>
  <si>
    <t>Weaponsmith’s (Artisan’s) Outfit</t>
  </si>
  <si>
    <t>Brown &amp; Green</t>
  </si>
  <si>
    <t>Red &amp; Blue</t>
  </si>
  <si>
    <t>Soap</t>
  </si>
  <si>
    <t>Total Weight</t>
  </si>
  <si>
    <t>10’</t>
  </si>
  <si>
    <t>1d4</t>
  </si>
  <si>
    <t>Prc/Slsh</t>
  </si>
  <si>
    <t>Prc &amp; Bldg</t>
  </si>
  <si>
    <t>Piercing</t>
  </si>
  <si>
    <t>Will:</t>
  </si>
  <si>
    <t>Charisma:</t>
  </si>
  <si>
    <t>Ref:</t>
  </si>
  <si>
    <t>Wisdom:</t>
  </si>
  <si>
    <t>Fort:</t>
  </si>
  <si>
    <t>Intelligence:</t>
  </si>
  <si>
    <t>BAB:</t>
  </si>
  <si>
    <t>Constitution:</t>
  </si>
  <si>
    <t>AC:</t>
  </si>
  <si>
    <t>Dexterity:</t>
  </si>
  <si>
    <t>Hit Points:</t>
  </si>
  <si>
    <t>Strength:</t>
  </si>
  <si>
    <t>Speed:</t>
  </si>
  <si>
    <t>Size:</t>
  </si>
  <si>
    <t>Initiative:</t>
  </si>
  <si>
    <t>Sex:</t>
  </si>
  <si>
    <t>Race:</t>
  </si>
  <si>
    <t>Pack Animal</t>
  </si>
  <si>
    <t>Mule</t>
  </si>
  <si>
    <t>Large</t>
  </si>
  <si>
    <t>+1</t>
  </si>
  <si>
    <t>13</t>
  </si>
  <si>
    <t>10</t>
  </si>
  <si>
    <t>4</t>
  </si>
  <si>
    <t>Sandy</t>
  </si>
  <si>
    <t>Neuter</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</si>
  <si>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</si>
  <si>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</si>
  <si>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</si>
  <si>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</si>
  <si>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</si>
  <si>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</si>
  <si>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</si>
  <si>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</si>
  <si>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</si>
  <si>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</si>
  <si>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</si>
  <si>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</si>
  <si>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</si>
  <si>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</si>
  <si>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</si>
  <si>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Attention to spelling &amp; punctuation; Consistent use of past tense, third person</t>
  </si>
  <si>
    <t>Poor</t>
  </si>
  <si>
    <t>Thoroughness and clarity</t>
  </si>
  <si>
    <t>Level-appropriate use of skills, feats, limitations, and other features</t>
  </si>
  <si>
    <t>Convincing role-playing and character development</t>
  </si>
  <si>
    <t>Consistency with other characters’ actions and setting description</t>
  </si>
  <si>
    <t>Good</t>
  </si>
  <si>
    <t>1d6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</si>
</sst>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3"/>
      <color indexed="20"/>
      <name val="Times New Roman"/>
      <family val="1"/>
    </font>
    <font>
      <i/>
      <sz val="10"/>
      <name val="Times New Roman"/>
      <family val="1"/>
    </font>
    <font>
      <i/>
      <sz val="12"/>
      <color indexed="9"/>
      <name val="Times New Roman"/>
      <family val="1"/>
    </font>
    <font>
      <i/>
      <sz val="20"/>
      <color theme="7" tint="0.39997558519241921"/>
      <name val="Times New Roman"/>
      <family val="1"/>
    </font>
    <font>
      <b/>
      <sz val="12"/>
      <color indexed="81"/>
      <name val="Times New Roman"/>
      <family val="1"/>
    </font>
    <font>
      <i/>
      <sz val="12"/>
      <color indexed="81"/>
      <name val="Times New Roman"/>
      <family val="1"/>
    </font>
    <font>
      <b/>
      <sz val="12"/>
      <color rgb="FF00FF0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10"/>
        <bgColor indexed="64"/>
      </patternFill>
    </fill>
  </fills>
  <borders count="11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right/>
      <top/>
      <bottom style="thin">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496">
    <xf numFmtId="0" fontId="0" fillId="0" borderId="0" xfId="0"/>
    <xf numFmtId="9" fontId="7" fillId="0" borderId="28" xfId="2" applyFont="1" applyFill="1" applyBorder="1" applyAlignment="1">
      <alignment horizontal="center" vertical="center" shrinkToFit="1"/>
    </xf>
    <xf numFmtId="0" fontId="12" fillId="3" borderId="40"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8" xfId="0" applyFont="1" applyFill="1" applyBorder="1" applyAlignment="1">
      <alignment horizontal="centerContinuous" vertical="center"/>
    </xf>
    <xf numFmtId="0" fontId="35" fillId="2" borderId="65" xfId="0" applyFont="1" applyFill="1" applyBorder="1" applyAlignment="1">
      <alignment horizontal="right" vertical="center"/>
    </xf>
    <xf numFmtId="0" fontId="36"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4" fillId="2" borderId="67"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87" xfId="0" applyFont="1" applyFill="1" applyBorder="1" applyAlignment="1">
      <alignment horizontal="right" vertical="center"/>
    </xf>
    <xf numFmtId="49" fontId="7" fillId="0" borderId="71"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4"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9" xfId="8" applyFont="1" applyFill="1" applyBorder="1" applyAlignment="1">
      <alignment horizontal="center" vertical="center" wrapText="1"/>
    </xf>
    <xf numFmtId="9" fontId="7" fillId="0" borderId="49"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4" xfId="0" applyFont="1" applyBorder="1" applyAlignment="1">
      <alignment horizontal="centerContinuous" vertical="center"/>
    </xf>
    <xf numFmtId="0" fontId="26" fillId="0" borderId="38" xfId="0" applyFont="1" applyFill="1" applyBorder="1" applyAlignment="1">
      <alignment horizontal="centerContinuous" vertical="center"/>
    </xf>
    <xf numFmtId="0" fontId="52" fillId="0" borderId="38" xfId="0" applyFont="1" applyFill="1" applyBorder="1" applyAlignment="1">
      <alignment horizontal="center" vertical="center" shrinkToFit="1"/>
    </xf>
    <xf numFmtId="0" fontId="7" fillId="0" borderId="56"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57"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9" xfId="0" applyFont="1" applyFill="1" applyBorder="1" applyAlignment="1">
      <alignment horizontal="center" vertical="center"/>
    </xf>
    <xf numFmtId="164" fontId="21" fillId="3" borderId="40" xfId="0" applyNumberFormat="1" applyFont="1" applyFill="1" applyBorder="1" applyAlignment="1">
      <alignment horizontal="center" vertical="center"/>
    </xf>
    <xf numFmtId="0" fontId="21" fillId="3" borderId="39" xfId="0" applyFont="1" applyFill="1" applyBorder="1" applyAlignment="1">
      <alignment horizontal="right" vertical="center"/>
    </xf>
    <xf numFmtId="0" fontId="21" fillId="3" borderId="41" xfId="0" applyFont="1" applyFill="1" applyBorder="1" applyAlignment="1">
      <alignment vertical="center"/>
    </xf>
    <xf numFmtId="0" fontId="2" fillId="0" borderId="78" xfId="0"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0" xfId="0" applyFont="1" applyBorder="1" applyAlignment="1">
      <alignment horizontal="center" vertical="center"/>
    </xf>
    <xf numFmtId="0" fontId="2" fillId="0" borderId="79"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2" fillId="0" borderId="81" xfId="0" applyFont="1" applyBorder="1" applyAlignment="1">
      <alignment horizontal="center" vertical="center" shrinkToFit="1"/>
    </xf>
    <xf numFmtId="0" fontId="5" fillId="0" borderId="82" xfId="0" applyFont="1" applyBorder="1" applyAlignment="1">
      <alignment horizontal="center" vertical="center" shrinkToFit="1"/>
    </xf>
    <xf numFmtId="164" fontId="2" fillId="0" borderId="82" xfId="0" applyNumberFormat="1" applyFont="1" applyBorder="1" applyAlignment="1">
      <alignment horizontal="center" vertical="center" shrinkToFit="1"/>
    </xf>
    <xf numFmtId="0" fontId="5" fillId="0" borderId="82" xfId="0" applyFont="1" applyBorder="1" applyAlignment="1">
      <alignment horizontal="left" vertical="center"/>
    </xf>
    <xf numFmtId="0" fontId="5" fillId="0" borderId="83"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164" fontId="5" fillId="0" borderId="44"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2" xfId="0" applyFont="1" applyFill="1" applyBorder="1" applyAlignment="1">
      <alignment horizontal="centerContinuous" vertical="center"/>
    </xf>
    <xf numFmtId="0" fontId="21" fillId="11" borderId="52" xfId="0" applyFont="1" applyFill="1" applyBorder="1" applyAlignment="1">
      <alignment horizontal="centerContinuous" vertical="center"/>
    </xf>
    <xf numFmtId="164" fontId="2" fillId="0" borderId="73" xfId="0" applyNumberFormat="1" applyFont="1" applyFill="1" applyBorder="1" applyAlignment="1">
      <alignment horizontal="centerContinuous" vertical="center"/>
    </xf>
    <xf numFmtId="0" fontId="5" fillId="0" borderId="74" xfId="0" quotePrefix="1" applyFont="1" applyBorder="1" applyAlignment="1">
      <alignment horizontal="centerContinuous" vertical="center"/>
    </xf>
    <xf numFmtId="164" fontId="2" fillId="0" borderId="75"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49" fontId="17" fillId="0" borderId="36" xfId="0" applyNumberFormat="1" applyFont="1" applyBorder="1" applyAlignment="1">
      <alignment horizontal="center" shrinkToFit="1"/>
    </xf>
    <xf numFmtId="0" fontId="2" fillId="0" borderId="44" xfId="0" applyFont="1" applyBorder="1" applyAlignment="1">
      <alignment horizontal="center" vertical="center"/>
    </xf>
    <xf numFmtId="1" fontId="47" fillId="12"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7" xfId="0" applyFont="1" applyBorder="1" applyAlignment="1">
      <alignment horizontal="center" vertical="center"/>
    </xf>
    <xf numFmtId="9" fontId="2" fillId="0" borderId="47" xfId="0" applyNumberFormat="1" applyFont="1" applyBorder="1" applyAlignment="1">
      <alignment horizontal="center" vertical="center"/>
    </xf>
    <xf numFmtId="164" fontId="5" fillId="0" borderId="47"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94" xfId="0" applyFont="1" applyFill="1" applyBorder="1" applyAlignment="1">
      <alignment horizontal="centerContinuous" vertical="center"/>
    </xf>
    <xf numFmtId="0" fontId="5" fillId="0" borderId="91" xfId="0" applyFont="1" applyFill="1" applyBorder="1" applyAlignment="1">
      <alignment horizontal="centerContinuous" vertical="center"/>
    </xf>
    <xf numFmtId="164" fontId="5" fillId="0" borderId="91" xfId="0" applyNumberFormat="1" applyFont="1" applyFill="1" applyBorder="1" applyAlignment="1">
      <alignment horizontal="center" vertical="center"/>
    </xf>
    <xf numFmtId="49" fontId="2" fillId="0" borderId="91" xfId="0" applyNumberFormat="1" applyFont="1" applyFill="1" applyBorder="1" applyAlignment="1">
      <alignment horizontal="center" vertical="center"/>
    </xf>
    <xf numFmtId="49" fontId="2" fillId="0" borderId="95" xfId="0" applyNumberFormat="1" applyFont="1" applyFill="1" applyBorder="1" applyAlignment="1">
      <alignment horizontal="centerContinuous" vertical="center"/>
    </xf>
    <xf numFmtId="0" fontId="21" fillId="11" borderId="34" xfId="0" applyFont="1" applyFill="1" applyBorder="1" applyAlignment="1">
      <alignment horizontal="center" vertical="center"/>
    </xf>
    <xf numFmtId="164" fontId="21" fillId="3" borderId="34" xfId="0" applyNumberFormat="1" applyFont="1" applyFill="1" applyBorder="1" applyAlignment="1">
      <alignment horizontal="center" vertical="center"/>
    </xf>
    <xf numFmtId="0" fontId="2" fillId="0" borderId="42" xfId="0" applyFont="1" applyBorder="1" applyAlignment="1">
      <alignment horizontal="center" vertical="center"/>
    </xf>
    <xf numFmtId="164" fontId="2" fillId="0" borderId="42"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2" xfId="0" applyFont="1" applyFill="1" applyBorder="1" applyAlignment="1">
      <alignment horizontal="center" vertical="center"/>
    </xf>
    <xf numFmtId="1" fontId="2" fillId="0" borderId="42" xfId="0" applyNumberFormat="1" applyFont="1" applyFill="1" applyBorder="1" applyAlignment="1">
      <alignment horizontal="center" vertical="center"/>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1" fontId="2" fillId="0" borderId="58"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4" xfId="0" applyNumberFormat="1" applyFont="1" applyFill="1" applyBorder="1" applyAlignment="1">
      <alignment horizontal="center" vertical="center"/>
    </xf>
    <xf numFmtId="164" fontId="2" fillId="0" borderId="47" xfId="0" applyNumberFormat="1" applyFont="1" applyBorder="1" applyAlignment="1">
      <alignment horizontal="center" vertical="center" shrinkToFit="1"/>
    </xf>
    <xf numFmtId="0" fontId="2" fillId="0" borderId="43" xfId="0" applyFont="1" applyBorder="1" applyAlignment="1">
      <alignment horizontal="left" vertical="center" shrinkToFit="1"/>
    </xf>
    <xf numFmtId="1" fontId="47" fillId="12" borderId="42" xfId="0" applyNumberFormat="1" applyFont="1" applyFill="1" applyBorder="1" applyAlignment="1">
      <alignment horizontal="center" vertical="center"/>
    </xf>
    <xf numFmtId="0" fontId="2" fillId="0" borderId="0" xfId="0" applyFont="1" applyBorder="1" applyAlignment="1">
      <alignment vertical="center"/>
    </xf>
    <xf numFmtId="165" fontId="2" fillId="0" borderId="0" xfId="0" applyNumberFormat="1" applyFont="1" applyBorder="1" applyAlignment="1">
      <alignment horizontal="center" vertical="center"/>
    </xf>
    <xf numFmtId="1" fontId="7" fillId="0" borderId="30" xfId="0" applyNumberFormat="1" applyFont="1" applyBorder="1" applyAlignment="1">
      <alignment horizontal="center" vertical="center"/>
    </xf>
    <xf numFmtId="1" fontId="2" fillId="0" borderId="38" xfId="0" applyNumberFormat="1" applyFont="1" applyFill="1" applyBorder="1" applyAlignment="1">
      <alignment horizontal="center" vertical="center"/>
    </xf>
    <xf numFmtId="1" fontId="2" fillId="10" borderId="84" xfId="0" applyNumberFormat="1" applyFont="1" applyFill="1" applyBorder="1" applyAlignment="1">
      <alignment horizontal="center" vertical="center"/>
    </xf>
    <xf numFmtId="1" fontId="2" fillId="0" borderId="84"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9" xfId="0" applyNumberFormat="1" applyFont="1" applyBorder="1" applyAlignment="1">
      <alignment horizontal="centerContinuous" vertical="center"/>
    </xf>
    <xf numFmtId="0" fontId="2" fillId="0" borderId="100" xfId="0" applyFont="1" applyBorder="1" applyAlignment="1">
      <alignment horizontal="centerContinuous" vertical="center"/>
    </xf>
    <xf numFmtId="0" fontId="5" fillId="0" borderId="44"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2" fillId="14" borderId="78" xfId="0" applyFont="1" applyFill="1" applyBorder="1" applyAlignment="1">
      <alignment horizontal="center" vertical="center"/>
    </xf>
    <xf numFmtId="0" fontId="2" fillId="14" borderId="47" xfId="0" applyFont="1" applyFill="1" applyBorder="1" applyAlignment="1">
      <alignment horizontal="center" vertical="center"/>
    </xf>
    <xf numFmtId="49" fontId="2" fillId="14" borderId="47" xfId="0" applyNumberFormat="1" applyFont="1" applyFill="1" applyBorder="1" applyAlignment="1">
      <alignment horizontal="center" vertical="center"/>
    </xf>
    <xf numFmtId="0" fontId="2" fillId="14" borderId="46" xfId="0" applyFont="1" applyFill="1" applyBorder="1" applyAlignment="1">
      <alignment horizontal="center" vertical="center"/>
    </xf>
    <xf numFmtId="0" fontId="2" fillId="14" borderId="58" xfId="0" applyFont="1" applyFill="1" applyBorder="1" applyAlignment="1">
      <alignment horizontal="center" vertical="center"/>
    </xf>
    <xf numFmtId="1" fontId="2" fillId="14" borderId="42" xfId="0" applyNumberFormat="1" applyFont="1" applyFill="1" applyBorder="1" applyAlignment="1">
      <alignment horizontal="center" vertical="center"/>
    </xf>
    <xf numFmtId="0" fontId="2" fillId="0" borderId="79" xfId="0" applyFont="1" applyBorder="1" applyAlignment="1">
      <alignment horizontal="center" vertical="center"/>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center" vertical="center"/>
    </xf>
    <xf numFmtId="0" fontId="2" fillId="0" borderId="43" xfId="0" applyFont="1" applyBorder="1" applyAlignment="1">
      <alignment horizontal="center" vertical="center"/>
    </xf>
    <xf numFmtId="0" fontId="2" fillId="14" borderId="80" xfId="0" applyFont="1" applyFill="1" applyBorder="1" applyAlignment="1">
      <alignment horizontal="center" vertical="center" shrinkToFit="1"/>
    </xf>
    <xf numFmtId="0" fontId="2" fillId="14" borderId="44" xfId="0" applyFont="1" applyFill="1" applyBorder="1" applyAlignment="1">
      <alignment horizontal="center" vertical="center"/>
    </xf>
    <xf numFmtId="49" fontId="2" fillId="14" borderId="44" xfId="0" applyNumberFormat="1" applyFont="1" applyFill="1" applyBorder="1" applyAlignment="1">
      <alignment horizontal="center" vertical="center"/>
    </xf>
    <xf numFmtId="164" fontId="2" fillId="14" borderId="44"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2" fillId="14" borderId="44" xfId="0" applyNumberFormat="1" applyFont="1" applyFill="1" applyBorder="1" applyAlignment="1">
      <alignment horizontal="center" vertical="center"/>
    </xf>
    <xf numFmtId="0" fontId="2" fillId="14" borderId="45" xfId="0" quotePrefix="1" applyFont="1" applyFill="1" applyBorder="1" applyAlignment="1">
      <alignment horizontal="center" vertical="center"/>
    </xf>
    <xf numFmtId="1" fontId="2" fillId="14" borderId="51" xfId="0" applyNumberFormat="1" applyFont="1" applyFill="1" applyBorder="1" applyAlignment="1">
      <alignment horizontal="center" vertical="center"/>
    </xf>
    <xf numFmtId="0" fontId="2" fillId="0" borderId="44" xfId="0" quotePrefix="1" applyFont="1" applyBorder="1" applyAlignment="1">
      <alignment horizontal="center" vertical="center"/>
    </xf>
    <xf numFmtId="9" fontId="2" fillId="0" borderId="44" xfId="0" applyNumberFormat="1" applyFont="1" applyBorder="1" applyAlignment="1">
      <alignment horizontal="center" vertical="center"/>
    </xf>
    <xf numFmtId="0" fontId="5" fillId="0" borderId="76" xfId="0" quotePrefix="1" applyFont="1" applyBorder="1" applyAlignment="1">
      <alignment horizontal="centerContinuous" vertical="center"/>
    </xf>
    <xf numFmtId="0" fontId="49" fillId="0" borderId="34" xfId="0" applyFont="1" applyBorder="1" applyAlignment="1">
      <alignment horizontal="centerContinuous" vertical="center"/>
    </xf>
    <xf numFmtId="0" fontId="50" fillId="0" borderId="34"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5"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101" xfId="0" applyFont="1" applyFill="1" applyBorder="1" applyAlignment="1">
      <alignment horizontal="center" vertical="center"/>
    </xf>
    <xf numFmtId="1" fontId="21" fillId="11" borderId="3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85" xfId="0" applyFont="1" applyFill="1" applyBorder="1" applyAlignment="1">
      <alignment horizontal="centerContinuous" vertical="center" shrinkToFit="1"/>
    </xf>
    <xf numFmtId="0" fontId="21" fillId="0" borderId="73" xfId="0" applyFont="1" applyFill="1" applyBorder="1" applyAlignment="1">
      <alignment horizontal="centerContinuous" vertical="center"/>
    </xf>
    <xf numFmtId="0" fontId="21" fillId="0" borderId="59" xfId="0" applyFont="1" applyFill="1" applyBorder="1" applyAlignment="1">
      <alignment horizontal="centerContinuous" vertical="center"/>
    </xf>
    <xf numFmtId="0" fontId="2" fillId="0" borderId="96" xfId="0" applyFont="1" applyFill="1" applyBorder="1" applyAlignment="1">
      <alignment horizontal="center" vertical="center"/>
    </xf>
    <xf numFmtId="0" fontId="2" fillId="0" borderId="74" xfId="0" applyFont="1" applyFill="1" applyBorder="1" applyAlignment="1">
      <alignment horizontal="centerContinuous" vertical="center"/>
    </xf>
    <xf numFmtId="0" fontId="2" fillId="0" borderId="86" xfId="0" applyFont="1" applyFill="1" applyBorder="1" applyAlignment="1">
      <alignment horizontal="centerContinuous" vertical="center" shrinkToFit="1"/>
    </xf>
    <xf numFmtId="0" fontId="2" fillId="0" borderId="75" xfId="0" applyFont="1" applyFill="1" applyBorder="1" applyAlignment="1">
      <alignment horizontal="centerContinuous" vertical="center"/>
    </xf>
    <xf numFmtId="0" fontId="2" fillId="0" borderId="64" xfId="0" applyFont="1" applyFill="1" applyBorder="1" applyAlignment="1">
      <alignment horizontal="centerContinuous" vertical="center"/>
    </xf>
    <xf numFmtId="49" fontId="2" fillId="0" borderId="93"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76" xfId="0" applyFont="1" applyFill="1" applyBorder="1" applyAlignment="1">
      <alignment horizontal="centerContinuous" vertical="center"/>
    </xf>
    <xf numFmtId="1" fontId="2" fillId="0" borderId="51" xfId="0" applyNumberFormat="1" applyFont="1" applyBorder="1" applyAlignment="1">
      <alignment horizontal="center" vertical="center"/>
    </xf>
    <xf numFmtId="0" fontId="2" fillId="0" borderId="42" xfId="0" quotePrefix="1" applyFont="1" applyFill="1" applyBorder="1" applyAlignment="1">
      <alignment horizontal="center" vertical="center" wrapText="1"/>
    </xf>
    <xf numFmtId="1" fontId="7" fillId="0" borderId="30" xfId="0" applyNumberFormat="1" applyFont="1" applyFill="1" applyBorder="1" applyAlignment="1">
      <alignment horizontal="center" vertical="center"/>
    </xf>
    <xf numFmtId="0" fontId="26" fillId="0" borderId="51" xfId="0" applyFont="1" applyFill="1" applyBorder="1" applyAlignment="1">
      <alignment horizontal="centerContinuous" vertical="center"/>
    </xf>
    <xf numFmtId="0" fontId="52" fillId="0" borderId="38" xfId="0" applyFont="1" applyFill="1" applyBorder="1" applyAlignment="1">
      <alignment horizontal="centerContinuous" vertical="center"/>
    </xf>
    <xf numFmtId="1" fontId="7" fillId="0" borderId="89" xfId="0" applyNumberFormat="1" applyFont="1" applyFill="1" applyBorder="1" applyAlignment="1">
      <alignment horizontal="centerContinuous" vertical="center"/>
    </xf>
    <xf numFmtId="0" fontId="2" fillId="0" borderId="90" xfId="0" applyFont="1" applyFill="1" applyBorder="1" applyAlignment="1">
      <alignment horizontal="centerContinuous" vertical="center"/>
    </xf>
    <xf numFmtId="0" fontId="7" fillId="0" borderId="14" xfId="0"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8" xfId="0" applyFont="1" applyBorder="1" applyAlignment="1">
      <alignment horizontal="center" vertical="center" shrinkToFit="1"/>
    </xf>
    <xf numFmtId="1" fontId="2" fillId="0" borderId="97" xfId="0" applyNumberFormat="1" applyFont="1" applyBorder="1" applyAlignment="1">
      <alignment horizontal="center" vertical="center" shrinkToFit="1"/>
    </xf>
    <xf numFmtId="164" fontId="2" fillId="0" borderId="97" xfId="0" applyNumberFormat="1" applyFont="1" applyBorder="1" applyAlignment="1">
      <alignment horizontal="center" vertical="center" shrinkToFit="1"/>
    </xf>
    <xf numFmtId="0" fontId="2" fillId="0" borderId="102" xfId="0" applyFont="1" applyBorder="1" applyAlignment="1">
      <alignment horizontal="left" vertical="center"/>
    </xf>
    <xf numFmtId="0" fontId="2" fillId="0" borderId="98" xfId="0" applyFont="1" applyBorder="1" applyAlignment="1">
      <alignment horizontal="left" vertical="center" shrinkToFit="1"/>
    </xf>
    <xf numFmtId="0" fontId="2" fillId="0" borderId="85" xfId="0" applyFont="1" applyBorder="1" applyAlignment="1">
      <alignment horizontal="center" vertical="center" shrinkToFit="1"/>
    </xf>
    <xf numFmtId="1" fontId="2" fillId="0" borderId="42" xfId="0" applyNumberFormat="1" applyFont="1" applyBorder="1" applyAlignment="1">
      <alignment horizontal="center" vertical="center" shrinkToFit="1"/>
    </xf>
    <xf numFmtId="0" fontId="2" fillId="0" borderId="96" xfId="0" applyFont="1" applyBorder="1" applyAlignment="1">
      <alignment horizontal="left" vertical="center"/>
    </xf>
    <xf numFmtId="1" fontId="2" fillId="0" borderId="38"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8"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NumberFormat="1" applyFont="1" applyFill="1" applyBorder="1" applyAlignment="1">
      <alignment horizontal="center" vertical="center"/>
    </xf>
    <xf numFmtId="0" fontId="45" fillId="12" borderId="39" xfId="0" applyNumberFormat="1" applyFont="1" applyFill="1" applyBorder="1" applyAlignment="1">
      <alignment horizontal="center" vertical="center"/>
    </xf>
    <xf numFmtId="0" fontId="12" fillId="3" borderId="69"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5"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45" fillId="0" borderId="49" xfId="0" applyFont="1" applyFill="1" applyBorder="1" applyAlignment="1">
      <alignment horizontal="center" vertical="center"/>
    </xf>
    <xf numFmtId="1" fontId="7" fillId="0" borderId="49" xfId="0" applyNumberFormat="1" applyFont="1" applyFill="1" applyBorder="1" applyAlignment="1">
      <alignment horizontal="center" vertical="center"/>
    </xf>
    <xf numFmtId="0" fontId="42" fillId="12" borderId="49"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57" fillId="4" borderId="1" xfId="0" applyFont="1" applyFill="1" applyBorder="1" applyAlignment="1">
      <alignment vertical="center"/>
    </xf>
    <xf numFmtId="0" fontId="7" fillId="4" borderId="27" xfId="0" applyNumberFormat="1" applyFont="1" applyFill="1" applyBorder="1" applyAlignment="1">
      <alignment horizontal="center" vertical="center"/>
    </xf>
    <xf numFmtId="49" fontId="56" fillId="4" borderId="27" xfId="0" applyNumberFormat="1" applyFont="1" applyFill="1" applyBorder="1" applyAlignment="1">
      <alignment horizontal="center" vertical="center"/>
    </xf>
    <xf numFmtId="0" fontId="56" fillId="4" borderId="28" xfId="0" applyNumberFormat="1" applyFont="1" applyFill="1" applyBorder="1" applyAlignment="1">
      <alignment horizontal="center" vertical="center"/>
    </xf>
    <xf numFmtId="0" fontId="57" fillId="4" borderId="28" xfId="0" applyNumberFormat="1" applyFont="1" applyFill="1" applyBorder="1" applyAlignment="1">
      <alignment horizontal="center" vertical="center"/>
    </xf>
    <xf numFmtId="0" fontId="7" fillId="4" borderId="29"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57"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56" fillId="0" borderId="48" xfId="0" applyNumberFormat="1" applyFont="1" applyFill="1" applyBorder="1" applyAlignment="1">
      <alignment horizontal="center" vertical="center"/>
    </xf>
    <xf numFmtId="0" fontId="56" fillId="0" borderId="50" xfId="0" applyNumberFormat="1" applyFont="1" applyFill="1" applyBorder="1" applyAlignment="1">
      <alignment horizontal="center" vertical="center"/>
    </xf>
    <xf numFmtId="0" fontId="57"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7"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6" fillId="10" borderId="1" xfId="0" applyFont="1" applyFill="1" applyBorder="1" applyAlignment="1">
      <alignment horizontal="right" vertical="center"/>
    </xf>
    <xf numFmtId="0" fontId="7" fillId="10" borderId="0" xfId="0" applyFont="1" applyFill="1" applyBorder="1" applyAlignment="1">
      <alignment horizontal="centerContinuous" vertical="center"/>
    </xf>
    <xf numFmtId="0" fontId="6" fillId="10" borderId="0" xfId="0" applyFont="1" applyFill="1" applyBorder="1" applyAlignment="1">
      <alignment horizontal="right" vertical="center"/>
    </xf>
    <xf numFmtId="0" fontId="7" fillId="10" borderId="0" xfId="0" applyFont="1" applyFill="1" applyBorder="1" applyAlignment="1">
      <alignment horizontal="center" vertical="center"/>
    </xf>
    <xf numFmtId="0" fontId="7" fillId="0" borderId="37" xfId="0" quotePrefix="1" applyNumberFormat="1" applyFont="1" applyFill="1" applyBorder="1" applyAlignment="1">
      <alignment horizontal="center" vertical="center" wrapText="1"/>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3" xfId="0" applyFont="1" applyBorder="1" applyAlignment="1">
      <alignment horizontal="righ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38" xfId="0" applyFont="1" applyBorder="1" applyAlignment="1">
      <alignment horizontal="right" vertical="center"/>
    </xf>
    <xf numFmtId="0" fontId="2" fillId="0" borderId="59" xfId="0" applyFont="1" applyBorder="1" applyAlignment="1">
      <alignment horizontal="center" vertical="center"/>
    </xf>
    <xf numFmtId="0" fontId="4" fillId="0" borderId="51" xfId="0" applyFont="1" applyBorder="1" applyAlignment="1">
      <alignment horizontal="right" vertical="center"/>
    </xf>
    <xf numFmtId="0" fontId="39" fillId="13" borderId="64" xfId="0" applyFont="1" applyFill="1" applyBorder="1" applyAlignment="1">
      <alignment horizontal="center" vertical="center"/>
    </xf>
    <xf numFmtId="0" fontId="39" fillId="13" borderId="44" xfId="0" applyFont="1" applyFill="1" applyBorder="1" applyAlignment="1">
      <alignment horizontal="center" vertical="center"/>
    </xf>
    <xf numFmtId="0" fontId="55" fillId="0" borderId="0" xfId="0" applyFont="1" applyBorder="1" applyAlignment="1">
      <alignment vertical="center"/>
    </xf>
    <xf numFmtId="0" fontId="2" fillId="15" borderId="61" xfId="0" applyFont="1" applyFill="1" applyBorder="1" applyAlignment="1">
      <alignment horizontal="center" vertical="center"/>
    </xf>
    <xf numFmtId="0" fontId="2" fillId="15" borderId="62" xfId="0" applyFont="1" applyFill="1" applyBorder="1" applyAlignment="1">
      <alignment horizontal="center" vertical="center"/>
    </xf>
    <xf numFmtId="0" fontId="2" fillId="15" borderId="42" xfId="0" applyFont="1" applyFill="1" applyBorder="1" applyAlignment="1">
      <alignment horizontal="center" vertical="center"/>
    </xf>
    <xf numFmtId="0" fontId="2" fillId="15" borderId="43" xfId="0" applyFont="1" applyFill="1" applyBorder="1" applyAlignment="1">
      <alignment horizontal="center" vertical="center"/>
    </xf>
    <xf numFmtId="0" fontId="4" fillId="15" borderId="45" xfId="0" applyFont="1" applyFill="1" applyBorder="1" applyAlignment="1">
      <alignment horizontal="center" vertical="center"/>
    </xf>
    <xf numFmtId="0" fontId="4" fillId="15" borderId="44" xfId="0" applyFont="1" applyFill="1" applyBorder="1" applyAlignment="1">
      <alignment horizontal="center" vertical="center"/>
    </xf>
    <xf numFmtId="0" fontId="2" fillId="0" borderId="47" xfId="0" applyFont="1" applyFill="1" applyBorder="1" applyAlignment="1">
      <alignment horizontal="center" vertical="center"/>
    </xf>
    <xf numFmtId="49" fontId="2" fillId="0" borderId="47" xfId="0" applyNumberFormat="1" applyFont="1" applyFill="1" applyBorder="1" applyAlignment="1">
      <alignment horizontal="center" vertical="center"/>
    </xf>
    <xf numFmtId="164" fontId="2" fillId="0" borderId="47" xfId="0" applyNumberFormat="1" applyFont="1" applyFill="1" applyBorder="1" applyAlignment="1">
      <alignment horizontal="center" vertical="center"/>
    </xf>
    <xf numFmtId="1" fontId="47" fillId="12" borderId="47"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0" fontId="2" fillId="0" borderId="46" xfId="0" quotePrefix="1" applyFont="1" applyFill="1" applyBorder="1" applyAlignment="1">
      <alignment horizontal="center" vertical="center"/>
    </xf>
    <xf numFmtId="49" fontId="2" fillId="0" borderId="42" xfId="2"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3" xfId="0" quotePrefix="1" applyFont="1" applyBorder="1" applyAlignment="1">
      <alignment horizontal="center" vertical="center"/>
    </xf>
    <xf numFmtId="0" fontId="6" fillId="4" borderId="33"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8" xfId="0" applyFont="1" applyBorder="1" applyAlignment="1">
      <alignment horizontal="right" vertical="center"/>
    </xf>
    <xf numFmtId="49" fontId="2" fillId="0" borderId="103" xfId="0" applyNumberFormat="1" applyFont="1" applyBorder="1" applyAlignment="1">
      <alignment horizontal="center" vertical="center"/>
    </xf>
    <xf numFmtId="0" fontId="4" fillId="16" borderId="45" xfId="0" applyFont="1" applyFill="1" applyBorder="1" applyAlignment="1">
      <alignment horizontal="center" vertical="center"/>
    </xf>
    <xf numFmtId="49" fontId="2" fillId="16" borderId="61" xfId="0" applyNumberFormat="1" applyFont="1" applyFill="1" applyBorder="1" applyAlignment="1">
      <alignment horizontal="center" vertical="center"/>
    </xf>
    <xf numFmtId="49" fontId="2" fillId="16" borderId="62" xfId="0" applyNumberFormat="1" applyFont="1" applyFill="1" applyBorder="1" applyAlignment="1">
      <alignment horizontal="center" vertical="center"/>
    </xf>
    <xf numFmtId="0" fontId="4" fillId="16" borderId="44"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2" fontId="2" fillId="0" borderId="51" xfId="0" applyNumberFormat="1" applyFont="1" applyFill="1" applyBorder="1" applyAlignment="1">
      <alignment horizontal="center" vertical="center"/>
    </xf>
    <xf numFmtId="0" fontId="2" fillId="0" borderId="104" xfId="0" applyFont="1" applyBorder="1" applyAlignment="1">
      <alignment horizontal="center" vertical="center" shrinkToFit="1"/>
    </xf>
    <xf numFmtId="0" fontId="2" fillId="0" borderId="97" xfId="0" applyFont="1" applyFill="1" applyBorder="1" applyAlignment="1">
      <alignment horizontal="center" vertical="center"/>
    </xf>
    <xf numFmtId="49" fontId="2" fillId="0" borderId="97" xfId="0" applyNumberFormat="1" applyFont="1" applyFill="1" applyBorder="1" applyAlignment="1">
      <alignment horizontal="center" vertical="center"/>
    </xf>
    <xf numFmtId="164" fontId="2" fillId="0" borderId="97" xfId="0" applyNumberFormat="1" applyFont="1" applyFill="1" applyBorder="1" applyAlignment="1">
      <alignment horizontal="center" vertical="center"/>
    </xf>
    <xf numFmtId="1" fontId="47" fillId="12" borderId="97" xfId="0" applyNumberFormat="1" applyFont="1" applyFill="1" applyBorder="1" applyAlignment="1">
      <alignment horizontal="center" vertical="center"/>
    </xf>
    <xf numFmtId="1" fontId="2" fillId="0" borderId="97" xfId="0" applyNumberFormat="1" applyFont="1" applyFill="1" applyBorder="1" applyAlignment="1">
      <alignment horizontal="center" vertical="center"/>
    </xf>
    <xf numFmtId="0" fontId="2" fillId="0" borderId="98" xfId="0" quotePrefix="1" applyFont="1" applyFill="1" applyBorder="1" applyAlignment="1">
      <alignment horizontal="center" vertical="center"/>
    </xf>
    <xf numFmtId="0" fontId="2" fillId="14" borderId="80" xfId="0" applyFont="1" applyFill="1" applyBorder="1" applyAlignment="1">
      <alignment horizontal="center" vertical="center"/>
    </xf>
    <xf numFmtId="0" fontId="2" fillId="14" borderId="45" xfId="0" applyFont="1" applyFill="1" applyBorder="1" applyAlignment="1">
      <alignment horizontal="center" vertical="center"/>
    </xf>
    <xf numFmtId="0" fontId="2" fillId="14" borderId="51" xfId="0" applyFont="1" applyFill="1" applyBorder="1" applyAlignment="1">
      <alignment horizontal="center" vertical="center"/>
    </xf>
    <xf numFmtId="0" fontId="2" fillId="0" borderId="97" xfId="0" applyFont="1" applyBorder="1" applyAlignment="1">
      <alignment horizontal="center" vertical="center" shrinkToFit="1"/>
    </xf>
    <xf numFmtId="164" fontId="5" fillId="0" borderId="97" xfId="0" applyNumberFormat="1" applyFont="1" applyBorder="1" applyAlignment="1">
      <alignment horizontal="center" vertical="center" shrinkToFit="1"/>
    </xf>
    <xf numFmtId="0" fontId="5" fillId="0" borderId="102" xfId="0" applyFont="1" applyBorder="1" applyAlignment="1">
      <alignment horizontal="left" vertical="center"/>
    </xf>
    <xf numFmtId="0" fontId="5" fillId="0" borderId="98" xfId="0" applyFont="1" applyBorder="1" applyAlignment="1">
      <alignment horizontal="left" vertical="center" shrinkToFit="1"/>
    </xf>
    <xf numFmtId="164" fontId="2" fillId="0" borderId="58" xfId="0" applyNumberFormat="1" applyFont="1" applyBorder="1" applyAlignment="1">
      <alignment horizontal="center" vertical="center" shrinkToFit="1"/>
    </xf>
    <xf numFmtId="2" fontId="2" fillId="0" borderId="58" xfId="0" applyNumberFormat="1" applyFont="1" applyBorder="1" applyAlignment="1">
      <alignment horizontal="center" vertical="center" shrinkToFit="1"/>
    </xf>
    <xf numFmtId="164" fontId="2" fillId="0" borderId="51"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21" fillId="3" borderId="20" xfId="0" applyFont="1" applyFill="1" applyBorder="1" applyAlignment="1">
      <alignment horizontal="center" vertical="center"/>
    </xf>
    <xf numFmtId="0" fontId="2" fillId="0" borderId="0" xfId="7" applyAlignment="1">
      <alignment vertical="center"/>
    </xf>
    <xf numFmtId="0" fontId="2" fillId="0" borderId="0" xfId="7" applyAlignment="1">
      <alignment horizontal="left" vertical="center"/>
    </xf>
    <xf numFmtId="0" fontId="4" fillId="0" borderId="0" xfId="7" applyFont="1" applyAlignment="1">
      <alignment horizontal="right" vertical="center"/>
    </xf>
    <xf numFmtId="0" fontId="7" fillId="0" borderId="10" xfId="7" applyFont="1" applyBorder="1" applyAlignment="1">
      <alignment vertical="center"/>
    </xf>
    <xf numFmtId="0" fontId="7" fillId="0" borderId="9" xfId="7" applyFont="1" applyBorder="1" applyAlignment="1">
      <alignment vertical="center"/>
    </xf>
    <xf numFmtId="0" fontId="7" fillId="0" borderId="8" xfId="7" applyFont="1" applyBorder="1" applyAlignment="1">
      <alignment vertical="center"/>
    </xf>
    <xf numFmtId="0" fontId="7" fillId="0" borderId="2" xfId="7" applyFont="1" applyBorder="1" applyAlignment="1">
      <alignment horizontal="left" vertical="center"/>
    </xf>
    <xf numFmtId="0" fontId="7" fillId="0" borderId="0" xfId="7" applyFont="1" applyAlignment="1">
      <alignment horizontal="left" vertical="center"/>
    </xf>
    <xf numFmtId="0" fontId="7" fillId="0" borderId="1" xfId="7" applyFont="1" applyBorder="1" applyAlignment="1">
      <alignment vertical="center"/>
    </xf>
    <xf numFmtId="0" fontId="7" fillId="0" borderId="2" xfId="7" applyFont="1" applyBorder="1" applyAlignment="1">
      <alignment horizontal="center" vertical="center"/>
    </xf>
    <xf numFmtId="0" fontId="11" fillId="0" borderId="0" xfId="7" applyFont="1" applyAlignment="1">
      <alignment horizontal="right" vertical="center"/>
    </xf>
    <xf numFmtId="0" fontId="6" fillId="0" borderId="1" xfId="7" applyFont="1" applyBorder="1" applyAlignment="1">
      <alignment horizontal="right" vertical="center"/>
    </xf>
    <xf numFmtId="0" fontId="11" fillId="0" borderId="1" xfId="7" applyFont="1" applyBorder="1" applyAlignment="1">
      <alignment horizontal="right" vertical="center"/>
    </xf>
    <xf numFmtId="0" fontId="7" fillId="0" borderId="12" xfId="7" applyFont="1" applyBorder="1" applyAlignment="1">
      <alignment horizontal="center" vertical="center"/>
    </xf>
    <xf numFmtId="0" fontId="10" fillId="4" borderId="105" xfId="7" applyFont="1" applyFill="1" applyBorder="1" applyAlignment="1">
      <alignment horizontal="right" vertical="center"/>
    </xf>
    <xf numFmtId="0" fontId="25" fillId="0" borderId="99" xfId="7" applyFont="1" applyBorder="1" applyAlignment="1">
      <alignment horizontal="center" vertical="center"/>
    </xf>
    <xf numFmtId="0" fontId="7" fillId="0" borderId="99" xfId="7" applyFont="1" applyBorder="1" applyAlignment="1">
      <alignment horizontal="center" vertical="center"/>
    </xf>
    <xf numFmtId="0" fontId="14" fillId="2" borderId="15" xfId="7" applyFont="1" applyFill="1" applyBorder="1" applyAlignment="1">
      <alignment horizontal="right" vertical="center"/>
    </xf>
    <xf numFmtId="49" fontId="7" fillId="0" borderId="30" xfId="7" applyNumberFormat="1" applyFont="1" applyBorder="1" applyAlignment="1">
      <alignment horizontal="center" vertical="center"/>
    </xf>
    <xf numFmtId="0" fontId="58" fillId="4" borderId="106" xfId="7" applyFont="1" applyFill="1" applyBorder="1" applyAlignment="1">
      <alignment horizontal="right" vertical="center"/>
    </xf>
    <xf numFmtId="0" fontId="25" fillId="0" borderId="3" xfId="7" applyFont="1" applyBorder="1" applyAlignment="1">
      <alignment horizontal="center" vertical="center"/>
    </xf>
    <xf numFmtId="0" fontId="7" fillId="0" borderId="3" xfId="7" applyFont="1" applyBorder="1" applyAlignment="1">
      <alignment horizontal="center" vertical="center"/>
    </xf>
    <xf numFmtId="0" fontId="22" fillId="2" borderId="4" xfId="7" applyFont="1" applyFill="1" applyBorder="1" applyAlignment="1">
      <alignment horizontal="right" vertical="center"/>
    </xf>
    <xf numFmtId="0" fontId="7" fillId="0" borderId="30" xfId="7" applyFont="1" applyBorder="1" applyAlignment="1">
      <alignment horizontal="center" vertical="center"/>
    </xf>
    <xf numFmtId="0" fontId="8" fillId="4" borderId="107" xfId="7" applyFont="1" applyFill="1" applyBorder="1" applyAlignment="1">
      <alignment horizontal="right" vertical="center"/>
    </xf>
    <xf numFmtId="0" fontId="25" fillId="0" borderId="108" xfId="7" applyFont="1" applyBorder="1" applyAlignment="1">
      <alignment horizontal="center" vertical="center"/>
    </xf>
    <xf numFmtId="0" fontId="11" fillId="2" borderId="4" xfId="7" applyFont="1" applyFill="1" applyBorder="1" applyAlignment="1">
      <alignment horizontal="right" vertical="center"/>
    </xf>
    <xf numFmtId="0" fontId="8" fillId="0" borderId="1" xfId="7" applyFont="1" applyBorder="1" applyAlignment="1">
      <alignment horizontal="right" vertical="center"/>
    </xf>
    <xf numFmtId="0" fontId="10" fillId="2" borderId="4" xfId="7" applyFont="1" applyFill="1" applyBorder="1" applyAlignment="1">
      <alignment horizontal="right" vertical="center"/>
    </xf>
    <xf numFmtId="0" fontId="11" fillId="4" borderId="107" xfId="7" applyFont="1" applyFill="1" applyBorder="1" applyAlignment="1">
      <alignment horizontal="right" vertical="center"/>
    </xf>
    <xf numFmtId="0" fontId="13" fillId="2" borderId="4" xfId="7" applyFont="1" applyFill="1" applyBorder="1" applyAlignment="1">
      <alignment horizontal="right" vertical="center"/>
    </xf>
    <xf numFmtId="0" fontId="7" fillId="0" borderId="7" xfId="7" applyFont="1" applyBorder="1" applyAlignment="1">
      <alignment horizontal="center" vertical="center"/>
    </xf>
    <xf numFmtId="0" fontId="6" fillId="17" borderId="30" xfId="7" applyFont="1" applyFill="1" applyBorder="1" applyAlignment="1">
      <alignment horizontal="center" vertical="center"/>
    </xf>
    <xf numFmtId="1" fontId="7" fillId="0" borderId="30" xfId="7" applyNumberFormat="1" applyFont="1" applyBorder="1" applyAlignment="1">
      <alignment horizontal="center" vertical="center"/>
    </xf>
    <xf numFmtId="0" fontId="25" fillId="0" borderId="89" xfId="7" applyFont="1" applyBorder="1" applyAlignment="1">
      <alignment horizontal="center" vertical="center"/>
    </xf>
    <xf numFmtId="0" fontId="7" fillId="0" borderId="14" xfId="7" applyFont="1" applyBorder="1" applyAlignment="1">
      <alignment horizontal="center" vertical="center"/>
    </xf>
    <xf numFmtId="0" fontId="8" fillId="2" borderId="13" xfId="7" applyFont="1" applyFill="1" applyBorder="1" applyAlignment="1">
      <alignment horizontal="right" vertical="center"/>
    </xf>
    <xf numFmtId="0" fontId="7" fillId="0" borderId="10" xfId="7" applyFont="1" applyBorder="1" applyAlignment="1">
      <alignment horizontal="center" vertical="center"/>
    </xf>
    <xf numFmtId="0" fontId="6" fillId="0" borderId="9" xfId="7" applyFont="1" applyBorder="1" applyAlignment="1">
      <alignment horizontal="right" vertical="center"/>
    </xf>
    <xf numFmtId="0" fontId="7" fillId="0" borderId="9" xfId="7" applyFont="1" applyBorder="1" applyAlignment="1">
      <alignment horizontal="center" vertical="center"/>
    </xf>
    <xf numFmtId="0" fontId="7" fillId="0" borderId="9" xfId="7" applyFont="1" applyBorder="1" applyAlignment="1">
      <alignment horizontal="centerContinuous" vertical="center"/>
    </xf>
    <xf numFmtId="0" fontId="59" fillId="0" borderId="9" xfId="7" applyFont="1" applyBorder="1" applyAlignment="1">
      <alignment horizontal="centerContinuous" vertical="center"/>
    </xf>
    <xf numFmtId="0" fontId="6" fillId="0" borderId="8" xfId="7" applyFont="1" applyBorder="1" applyAlignment="1">
      <alignment horizontal="right" vertical="center"/>
    </xf>
    <xf numFmtId="49" fontId="7" fillId="0" borderId="2" xfId="7" quotePrefix="1" applyNumberFormat="1" applyFont="1" applyBorder="1" applyAlignment="1">
      <alignment horizontal="center" vertical="center"/>
    </xf>
    <xf numFmtId="0" fontId="6" fillId="0" borderId="0" xfId="7" applyFont="1" applyAlignment="1">
      <alignment horizontal="right" vertical="center"/>
    </xf>
    <xf numFmtId="0" fontId="7" fillId="0" borderId="0" xfId="7" applyFont="1" applyAlignment="1">
      <alignment horizontal="center" vertical="center"/>
    </xf>
    <xf numFmtId="0" fontId="7" fillId="0" borderId="0" xfId="7" applyFont="1" applyAlignment="1">
      <alignment horizontal="centerContinuous" vertical="center"/>
    </xf>
    <xf numFmtId="0" fontId="60" fillId="2" borderId="109" xfId="7" applyFont="1" applyFill="1" applyBorder="1" applyAlignment="1">
      <alignment horizontal="right" vertical="center"/>
    </xf>
    <xf numFmtId="0" fontId="4" fillId="2" borderId="110" xfId="7" applyFont="1" applyFill="1" applyBorder="1" applyAlignment="1">
      <alignment horizontal="centerContinuous" vertical="center"/>
    </xf>
    <xf numFmtId="0" fontId="2" fillId="2" borderId="110" xfId="7" applyFill="1" applyBorder="1" applyAlignment="1">
      <alignment horizontal="left" vertical="center"/>
    </xf>
    <xf numFmtId="0" fontId="20" fillId="2" borderId="110" xfId="7" applyFont="1" applyFill="1" applyBorder="1" applyAlignment="1">
      <alignment horizontal="left" vertical="center"/>
    </xf>
    <xf numFmtId="0" fontId="61" fillId="2" borderId="111" xfId="7"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2"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64" fillId="0" borderId="42" xfId="0" applyFont="1" applyBorder="1" applyAlignment="1">
      <alignment horizontal="center" vertical="center"/>
    </xf>
    <xf numFmtId="0" fontId="46" fillId="0" borderId="42" xfId="0"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4">
    <dxf>
      <font>
        <b/>
        <i val="0"/>
        <condense val="0"/>
        <extend val="0"/>
      </font>
      <fill>
        <patternFill>
          <bgColor indexed="51"/>
        </patternFill>
      </fill>
    </dxf>
    <dxf>
      <font>
        <b/>
        <i val="0"/>
        <condense val="0"/>
        <extend val="0"/>
      </font>
      <fill>
        <patternFill>
          <bgColor indexed="11"/>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C000"/>
        </patternFill>
      </fill>
    </dxf>
    <dxf>
      <fill>
        <patternFill>
          <bgColor rgb="FFFF0000"/>
        </patternFill>
      </fill>
    </dxf>
  </dxfs>
  <tableStyles count="0" defaultTableStyle="TableStyleMedium2" defaultPivotStyle="PivotStyleLight16"/>
  <colors>
    <mruColors>
      <color rgb="FFCCFFCC"/>
      <color rgb="FF00CC66"/>
      <color rgb="FF0000FF"/>
      <color rgb="FF9966FF"/>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15</xdr:row>
      <xdr:rowOff>220980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16</xdr:row>
      <xdr:rowOff>51434</xdr:rowOff>
    </xdr:from>
    <xdr:to>
      <xdr:col>6</xdr:col>
      <xdr:colOff>1261110</xdr:colOff>
      <xdr:row>39</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r>
            <a:rPr lang="en-US" sz="1200">
              <a:effectLst/>
              <a:latin typeface="Times New Roman" panose="02020603050405020304" pitchFamily="18" charset="0"/>
              <a:ea typeface="+mn-ea"/>
              <a:cs typeface="Times New Roman" panose="02020603050405020304" pitchFamily="18" charset="0"/>
            </a:rPr>
            <a:t>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76200</xdr:colOff>
      <xdr:row>13</xdr:row>
      <xdr:rowOff>121920</xdr:rowOff>
    </xdr:from>
    <xdr:to>
      <xdr:col>6</xdr:col>
      <xdr:colOff>1247775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672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160020</xdr:colOff>
      <xdr:row>1</xdr:row>
      <xdr:rowOff>123825</xdr:rowOff>
    </xdr:from>
    <xdr:to>
      <xdr:col>4</xdr:col>
      <xdr:colOff>47625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188EFEFD-A7CF-4EA3-944D-2A095707BB9C}"/>
            </a:ext>
          </a:extLst>
        </xdr:cNvPr>
        <xdr:cNvSpPr txBox="1">
          <a:spLocks noChangeArrowheads="1"/>
        </xdr:cNvSpPr>
      </xdr:nvSpPr>
      <xdr:spPr bwMode="auto">
        <a:xfrm>
          <a:off x="9525" y="1792605"/>
          <a:ext cx="4943475" cy="7829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Listen 6, Spot 6</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+4 melee (1d4+3)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Endurance</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4F3EBF5F-13DE-4A71-8351-AED3F2F7D0BD}"/>
            </a:ext>
          </a:extLst>
        </xdr:cNvPr>
        <xdr:cNvSpPr txBox="1">
          <a:spLocks noChangeArrowheads="1"/>
        </xdr:cNvSpPr>
      </xdr:nvSpPr>
      <xdr:spPr bwMode="auto">
        <a:xfrm>
          <a:off x="4962525" y="990601"/>
          <a:ext cx="1971675" cy="15811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Load:  </a:t>
          </a:r>
          <a:r>
            <a:rPr lang="en-US" sz="1200" b="0" i="0" u="none" strike="noStrike" baseline="0">
              <a:solidFill>
                <a:srgbClr val="000000"/>
              </a:solidFill>
              <a:latin typeface="Times New Roman" pitchFamily="18" charset="0"/>
              <a:cs typeface="Times New Roman" pitchFamily="18" charset="0"/>
            </a:rPr>
            <a:t>Up to 230 lbs.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cols>
    <col min="1" max="1" width="14.8984375" style="57" customWidth="1"/>
    <col min="2" max="2" width="10" style="58" customWidth="1"/>
    <col min="3" max="3" width="5.09765625" style="58" customWidth="1"/>
    <col min="4" max="4" width="13.69921875" style="57" bestFit="1" customWidth="1"/>
    <col min="5" max="5" width="10.8984375" style="58" bestFit="1" customWidth="1"/>
    <col min="6" max="6" width="14.69921875" style="57" customWidth="1"/>
    <col min="7" max="7" width="17.09765625" style="58" customWidth="1"/>
    <col min="8" max="16384" width="13" style="15"/>
  </cols>
  <sheetData>
    <row r="1" spans="1:7" ht="29.4" thickTop="1" thickBot="1">
      <c r="A1" s="9" t="s">
        <v>177</v>
      </c>
      <c r="B1" s="10"/>
      <c r="C1" s="11"/>
      <c r="D1" s="12"/>
      <c r="E1" s="13"/>
      <c r="F1" s="12"/>
      <c r="G1" s="14" t="s">
        <v>178</v>
      </c>
    </row>
    <row r="2" spans="1:7" ht="17.399999999999999" thickTop="1">
      <c r="A2" s="16" t="s">
        <v>139</v>
      </c>
      <c r="B2" s="17" t="s">
        <v>114</v>
      </c>
      <c r="C2" s="17"/>
      <c r="D2" s="18" t="s">
        <v>148</v>
      </c>
      <c r="E2" s="19">
        <v>20</v>
      </c>
      <c r="F2" s="20"/>
      <c r="G2" s="21"/>
    </row>
    <row r="3" spans="1:7" ht="16.8">
      <c r="A3" s="16" t="s">
        <v>140</v>
      </c>
      <c r="B3" s="17" t="s">
        <v>171</v>
      </c>
      <c r="C3" s="17"/>
      <c r="D3" s="18" t="s">
        <v>0</v>
      </c>
      <c r="E3" s="19">
        <v>1</v>
      </c>
      <c r="F3" s="18"/>
      <c r="G3" s="21"/>
    </row>
    <row r="4" spans="1:7" ht="16.8">
      <c r="A4" s="361" t="s">
        <v>140</v>
      </c>
      <c r="B4" s="362" t="s">
        <v>266</v>
      </c>
      <c r="C4" s="362"/>
      <c r="D4" s="363" t="s">
        <v>0</v>
      </c>
      <c r="E4" s="364">
        <v>0</v>
      </c>
      <c r="F4" s="18"/>
      <c r="G4" s="21"/>
    </row>
    <row r="5" spans="1:7" ht="16.8">
      <c r="A5" s="16" t="s">
        <v>157</v>
      </c>
      <c r="B5" s="17" t="s">
        <v>196</v>
      </c>
      <c r="C5" s="17"/>
      <c r="D5" s="18" t="s">
        <v>141</v>
      </c>
      <c r="E5" s="19" t="s">
        <v>173</v>
      </c>
      <c r="F5" s="18"/>
      <c r="G5" s="21"/>
    </row>
    <row r="6" spans="1:7" ht="16.8">
      <c r="A6" s="16" t="s">
        <v>158</v>
      </c>
      <c r="B6" s="17" t="s">
        <v>172</v>
      </c>
      <c r="C6" s="17"/>
      <c r="D6" s="18" t="s">
        <v>162</v>
      </c>
      <c r="E6" s="19" t="s">
        <v>174</v>
      </c>
      <c r="F6" s="18"/>
      <c r="G6" s="21"/>
    </row>
    <row r="7" spans="1:7" ht="17.399999999999999" thickBot="1">
      <c r="A7" s="16" t="s">
        <v>159</v>
      </c>
      <c r="B7" s="17" t="s">
        <v>176</v>
      </c>
      <c r="C7" s="17"/>
      <c r="D7" s="18" t="s">
        <v>163</v>
      </c>
      <c r="E7" s="19" t="s">
        <v>175</v>
      </c>
      <c r="F7" s="18"/>
      <c r="G7" s="21"/>
    </row>
    <row r="8" spans="1:7" ht="17.399999999999999" thickTop="1">
      <c r="A8" s="22" t="s">
        <v>160</v>
      </c>
      <c r="B8" s="229">
        <v>0</v>
      </c>
      <c r="C8" s="230"/>
      <c r="D8" s="23" t="s">
        <v>79</v>
      </c>
      <c r="E8" s="24" t="s">
        <v>113</v>
      </c>
      <c r="F8" s="25"/>
      <c r="G8" s="21"/>
    </row>
    <row r="9" spans="1:7" ht="17.399999999999999" thickBot="1">
      <c r="A9" s="169" t="s">
        <v>161</v>
      </c>
      <c r="B9" s="170">
        <f>C11+2</f>
        <v>3</v>
      </c>
      <c r="C9" s="171"/>
      <c r="D9" s="397" t="s">
        <v>270</v>
      </c>
      <c r="E9" s="398">
        <v>1700</v>
      </c>
      <c r="F9" s="25"/>
      <c r="G9" s="21"/>
    </row>
    <row r="10" spans="1:7" ht="17.399999999999999" thickTop="1">
      <c r="A10" s="26" t="s">
        <v>156</v>
      </c>
      <c r="B10" s="231">
        <v>14</v>
      </c>
      <c r="C10" s="27" t="str">
        <f t="shared" ref="C10:C15" si="0">IF(B10&gt;9.9,CONCATENATE("+",ROUNDDOWN((B10-10)/2,0)),ROUNDUP((B10-10)/2,0))</f>
        <v>+2</v>
      </c>
      <c r="D10" s="28" t="s">
        <v>164</v>
      </c>
      <c r="E10" s="129" t="s">
        <v>179</v>
      </c>
      <c r="F10" s="25"/>
      <c r="G10" s="21"/>
    </row>
    <row r="11" spans="1:7" ht="16.8">
      <c r="A11" s="29" t="s">
        <v>155</v>
      </c>
      <c r="B11" s="30">
        <v>13</v>
      </c>
      <c r="C11" s="31" t="str">
        <f t="shared" si="0"/>
        <v>+1</v>
      </c>
      <c r="D11" s="32" t="s">
        <v>165</v>
      </c>
      <c r="E11" s="33">
        <f>SUM(Martial!G3:G23)+SUM(Equipment!C3:C14)</f>
        <v>55.82</v>
      </c>
      <c r="F11" s="25"/>
      <c r="G11" s="21"/>
    </row>
    <row r="12" spans="1:7" ht="16.8">
      <c r="A12" s="34" t="s">
        <v>151</v>
      </c>
      <c r="B12" s="35">
        <v>12</v>
      </c>
      <c r="C12" s="36" t="str">
        <f t="shared" si="0"/>
        <v>+1</v>
      </c>
      <c r="D12" s="32" t="s">
        <v>166</v>
      </c>
      <c r="E12" s="37">
        <f>ROUNDUP(((E3*8)*0.75)+((E4*0)*0.75)+(SUM(E3:E4)*C12),0)</f>
        <v>7</v>
      </c>
      <c r="F12" s="25"/>
      <c r="G12" s="21"/>
    </row>
    <row r="13" spans="1:7" ht="16.8">
      <c r="A13" s="38" t="s">
        <v>153</v>
      </c>
      <c r="B13" s="35">
        <v>14</v>
      </c>
      <c r="C13" s="31" t="str">
        <f t="shared" si="0"/>
        <v>+2</v>
      </c>
      <c r="D13" s="39" t="s">
        <v>167</v>
      </c>
      <c r="E13" s="226">
        <f>10+C11</f>
        <v>11</v>
      </c>
      <c r="F13" s="16"/>
      <c r="G13" s="21"/>
    </row>
    <row r="14" spans="1:7" ht="16.8">
      <c r="A14" s="40" t="s">
        <v>154</v>
      </c>
      <c r="B14" s="35">
        <v>8</v>
      </c>
      <c r="C14" s="31">
        <f t="shared" si="0"/>
        <v>-1</v>
      </c>
      <c r="D14" s="39" t="s">
        <v>168</v>
      </c>
      <c r="E14" s="164">
        <f>E15-C11</f>
        <v>14</v>
      </c>
      <c r="F14" s="25"/>
      <c r="G14" s="21"/>
    </row>
    <row r="15" spans="1:7" ht="17.399999999999999" thickBot="1">
      <c r="A15" s="41" t="s">
        <v>152</v>
      </c>
      <c r="B15" s="360">
        <v>14</v>
      </c>
      <c r="C15" s="42" t="str">
        <f t="shared" si="0"/>
        <v>+2</v>
      </c>
      <c r="D15" s="43" t="s">
        <v>195</v>
      </c>
      <c r="E15" s="148">
        <f>E13+SUM(Martial!B19:B20)</f>
        <v>15</v>
      </c>
      <c r="F15" s="25"/>
      <c r="G15" s="21"/>
    </row>
    <row r="16" spans="1:7" ht="24" thickTop="1" thickBot="1">
      <c r="A16" s="44" t="s">
        <v>18</v>
      </c>
      <c r="B16" s="45"/>
      <c r="C16" s="45"/>
      <c r="D16" s="46"/>
      <c r="E16" s="46"/>
      <c r="F16" s="46"/>
      <c r="G16" s="47"/>
    </row>
    <row r="17" spans="1:7" s="3" customFormat="1" ht="17.399999999999999" thickTop="1">
      <c r="A17" s="48"/>
      <c r="B17" s="49"/>
      <c r="C17" s="49"/>
      <c r="D17" s="49"/>
      <c r="E17" s="49"/>
      <c r="F17" s="49"/>
      <c r="G17" s="50"/>
    </row>
    <row r="18" spans="1:7" s="3" customFormat="1" ht="16.8">
      <c r="A18" s="51"/>
      <c r="B18" s="52"/>
      <c r="C18" s="52"/>
      <c r="D18" s="52"/>
      <c r="E18" s="52"/>
      <c r="F18" s="52"/>
      <c r="G18" s="53"/>
    </row>
    <row r="19" spans="1:7" s="3" customFormat="1" ht="16.8">
      <c r="A19" s="51"/>
      <c r="B19" s="52"/>
      <c r="C19" s="52"/>
      <c r="D19" s="52"/>
      <c r="E19" s="52"/>
      <c r="F19" s="52"/>
      <c r="G19" s="53"/>
    </row>
    <row r="20" spans="1:7" s="3" customFormat="1" ht="16.8">
      <c r="A20" s="51"/>
      <c r="B20" s="52"/>
      <c r="C20" s="52"/>
      <c r="D20" s="52"/>
      <c r="E20" s="52"/>
      <c r="F20" s="52"/>
      <c r="G20" s="53"/>
    </row>
    <row r="21" spans="1:7" s="3" customFormat="1" ht="16.8">
      <c r="A21" s="51"/>
      <c r="B21" s="52"/>
      <c r="C21" s="52"/>
      <c r="D21" s="52"/>
      <c r="E21" s="52"/>
      <c r="F21" s="52"/>
      <c r="G21" s="53"/>
    </row>
    <row r="22" spans="1:7" s="3" customFormat="1" ht="16.8">
      <c r="A22" s="51"/>
      <c r="B22" s="52"/>
      <c r="C22" s="52"/>
      <c r="D22" s="52"/>
      <c r="E22" s="52"/>
      <c r="F22" s="52"/>
      <c r="G22" s="53"/>
    </row>
    <row r="23" spans="1:7" s="3" customFormat="1" ht="16.8">
      <c r="A23" s="51"/>
      <c r="B23" s="52"/>
      <c r="C23" s="52"/>
      <c r="D23" s="52"/>
      <c r="E23" s="52"/>
      <c r="F23" s="52"/>
      <c r="G23" s="53"/>
    </row>
    <row r="24" spans="1:7" s="3" customFormat="1" ht="16.8">
      <c r="A24" s="51"/>
      <c r="B24" s="52"/>
      <c r="C24" s="52"/>
      <c r="D24" s="52"/>
      <c r="E24" s="52"/>
      <c r="F24" s="52"/>
      <c r="G24" s="53"/>
    </row>
    <row r="25" spans="1:7" s="3" customFormat="1" ht="16.8">
      <c r="A25" s="51"/>
      <c r="B25" s="52"/>
      <c r="C25" s="52"/>
      <c r="D25" s="52"/>
      <c r="E25" s="52"/>
      <c r="F25" s="52"/>
      <c r="G25" s="53"/>
    </row>
    <row r="26" spans="1:7" s="3" customFormat="1" ht="16.8">
      <c r="A26" s="51"/>
      <c r="B26" s="52"/>
      <c r="C26" s="52"/>
      <c r="D26" s="52"/>
      <c r="E26" s="52"/>
      <c r="F26" s="52"/>
      <c r="G26" s="53"/>
    </row>
    <row r="27" spans="1:7" s="3" customFormat="1" ht="16.8">
      <c r="A27" s="51"/>
      <c r="B27" s="52"/>
      <c r="C27" s="52"/>
      <c r="D27" s="52"/>
      <c r="E27" s="52"/>
      <c r="F27" s="52"/>
      <c r="G27" s="53"/>
    </row>
    <row r="28" spans="1:7" s="3" customFormat="1" ht="16.8">
      <c r="A28" s="51"/>
      <c r="B28" s="52"/>
      <c r="C28" s="52"/>
      <c r="D28" s="52"/>
      <c r="E28" s="52"/>
      <c r="F28" s="52"/>
      <c r="G28" s="53"/>
    </row>
    <row r="29" spans="1:7" s="3" customFormat="1" ht="16.8">
      <c r="A29" s="51"/>
      <c r="B29" s="52"/>
      <c r="C29" s="52"/>
      <c r="D29" s="52"/>
      <c r="E29" s="52"/>
      <c r="F29" s="52"/>
      <c r="G29" s="53"/>
    </row>
    <row r="30" spans="1:7" s="3" customFormat="1" ht="16.8">
      <c r="A30" s="51"/>
      <c r="B30" s="52"/>
      <c r="C30" s="52"/>
      <c r="D30" s="52"/>
      <c r="E30" s="52"/>
      <c r="F30" s="52"/>
      <c r="G30" s="53"/>
    </row>
    <row r="31" spans="1:7" s="3" customFormat="1" ht="16.8">
      <c r="A31" s="51"/>
      <c r="B31" s="52"/>
      <c r="C31" s="52"/>
      <c r="D31" s="52"/>
      <c r="E31" s="52"/>
      <c r="F31" s="52"/>
      <c r="G31" s="53"/>
    </row>
    <row r="32" spans="1:7" s="3" customFormat="1" ht="16.8">
      <c r="A32" s="51"/>
      <c r="B32" s="52"/>
      <c r="C32" s="52"/>
      <c r="D32" s="52"/>
      <c r="E32" s="52"/>
      <c r="F32" s="52"/>
      <c r="G32" s="53"/>
    </row>
    <row r="33" spans="1:7" s="3" customFormat="1" ht="16.8">
      <c r="A33" s="51"/>
      <c r="B33" s="52"/>
      <c r="C33" s="52"/>
      <c r="D33" s="52"/>
      <c r="E33" s="52"/>
      <c r="F33" s="52"/>
      <c r="G33" s="53"/>
    </row>
    <row r="34" spans="1:7" s="3" customFormat="1" ht="16.8">
      <c r="A34" s="51"/>
      <c r="B34" s="52"/>
      <c r="C34" s="52"/>
      <c r="D34" s="52"/>
      <c r="E34" s="52"/>
      <c r="F34" s="52"/>
      <c r="G34" s="53"/>
    </row>
    <row r="35" spans="1:7" s="3" customFormat="1" ht="16.8">
      <c r="A35" s="51"/>
      <c r="B35" s="52"/>
      <c r="C35" s="52"/>
      <c r="D35" s="52"/>
      <c r="E35" s="52"/>
      <c r="F35" s="52"/>
      <c r="G35" s="53"/>
    </row>
    <row r="36" spans="1:7" s="3" customFormat="1" ht="16.8">
      <c r="A36" s="51"/>
      <c r="B36" s="52"/>
      <c r="C36" s="52"/>
      <c r="D36" s="52"/>
      <c r="E36" s="52"/>
      <c r="F36" s="52"/>
      <c r="G36" s="53"/>
    </row>
    <row r="37" spans="1:7" s="3" customFormat="1" ht="16.8">
      <c r="A37" s="51"/>
      <c r="B37" s="52"/>
      <c r="C37" s="52"/>
      <c r="D37" s="52"/>
      <c r="E37" s="52"/>
      <c r="F37" s="52"/>
      <c r="G37" s="53"/>
    </row>
    <row r="38" spans="1:7" s="3" customFormat="1" ht="16.8">
      <c r="A38" s="51"/>
      <c r="B38" s="52"/>
      <c r="C38" s="52"/>
      <c r="D38" s="52"/>
      <c r="E38" s="52"/>
      <c r="F38" s="52"/>
      <c r="G38" s="53"/>
    </row>
    <row r="39" spans="1:7" s="3" customFormat="1" ht="16.8">
      <c r="A39" s="51"/>
      <c r="B39" s="52"/>
      <c r="C39" s="52"/>
      <c r="D39" s="52"/>
      <c r="E39" s="52"/>
      <c r="F39" s="52"/>
      <c r="G39" s="53"/>
    </row>
    <row r="40" spans="1:7" ht="17.399999999999999" thickBot="1">
      <c r="A40" s="54"/>
      <c r="B40" s="55"/>
      <c r="C40" s="55"/>
      <c r="D40" s="55"/>
      <c r="E40" s="55"/>
      <c r="F40" s="55"/>
      <c r="G40" s="56"/>
    </row>
    <row r="41" spans="1:7" ht="16.2" thickTop="1"/>
  </sheetData>
  <phoneticPr fontId="0" type="noConversion"/>
  <conditionalFormatting sqref="E11">
    <cfRule type="cellIs" dxfId="13" priority="1" operator="greaterThan">
      <formula>133</formula>
    </cfRule>
    <cfRule type="cellIs" dxfId="12" priority="2" operator="notBetween">
      <formula>66</formula>
      <formula>133</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showGridLines="0" workbookViewId="0">
      <pane ySplit="2" topLeftCell="A3" activePane="bottomLeft" state="frozen"/>
      <selection pane="bottomLeft" activeCell="A3" sqref="A3"/>
    </sheetView>
  </sheetViews>
  <sheetFormatPr defaultColWidth="13" defaultRowHeight="15.6"/>
  <cols>
    <col min="1" max="1" width="26.8984375" style="57" bestFit="1" customWidth="1"/>
    <col min="2" max="2" width="5.8984375" style="57" bestFit="1" customWidth="1"/>
    <col min="3" max="3" width="11.59765625" style="58" hidden="1" customWidth="1"/>
    <col min="4" max="4" width="5.796875" style="58" hidden="1" customWidth="1"/>
    <col min="5" max="5" width="9.19921875" style="58" bestFit="1" customWidth="1"/>
    <col min="6" max="6" width="8.3984375" style="58" customWidth="1"/>
    <col min="7" max="7" width="5.8984375" style="66" bestFit="1" customWidth="1"/>
    <col min="8" max="8" width="4.69921875" style="66" bestFit="1" customWidth="1"/>
    <col min="9" max="9" width="6.8984375" style="66" bestFit="1" customWidth="1"/>
    <col min="10" max="10" width="19.19921875" style="57" bestFit="1" customWidth="1"/>
    <col min="11" max="16384" width="13" style="15"/>
  </cols>
  <sheetData>
    <row r="1" spans="1:10" ht="23.4" thickBot="1">
      <c r="A1" s="244" t="s">
        <v>7</v>
      </c>
      <c r="B1" s="59"/>
      <c r="C1" s="59"/>
      <c r="D1" s="59"/>
      <c r="E1" s="59"/>
      <c r="F1" s="59"/>
      <c r="G1" s="60"/>
      <c r="H1" s="60"/>
      <c r="I1" s="60"/>
      <c r="J1" s="59"/>
    </row>
    <row r="2" spans="1:10" s="3" customFormat="1" ht="34.200000000000003" thickBot="1">
      <c r="A2" s="245" t="s">
        <v>112</v>
      </c>
      <c r="B2" s="246" t="s">
        <v>23</v>
      </c>
      <c r="C2" s="246" t="s">
        <v>25</v>
      </c>
      <c r="D2" s="246" t="s">
        <v>22</v>
      </c>
      <c r="E2" s="2" t="s">
        <v>50</v>
      </c>
      <c r="F2" s="2" t="s">
        <v>26</v>
      </c>
      <c r="G2" s="247" t="s">
        <v>52</v>
      </c>
      <c r="H2" s="248" t="s">
        <v>111</v>
      </c>
      <c r="I2" s="247" t="s">
        <v>77</v>
      </c>
      <c r="J2" s="249" t="s">
        <v>75</v>
      </c>
    </row>
    <row r="3" spans="1:10" s="3" customFormat="1" ht="16.8">
      <c r="A3" s="250" t="s">
        <v>55</v>
      </c>
      <c r="B3" s="251">
        <v>2</v>
      </c>
      <c r="C3" s="252" t="s">
        <v>151</v>
      </c>
      <c r="D3" s="253" t="str">
        <f>VLOOKUP(C3,'Personal File'!$A$10:$C$15,3,FALSE)</f>
        <v>+1</v>
      </c>
      <c r="E3" s="254" t="str">
        <f t="shared" ref="E3:E42" si="0">CONCATENATE(LEFT(C3,3)," (",D3,")")</f>
        <v>Con (+1)</v>
      </c>
      <c r="F3" s="255">
        <v>0</v>
      </c>
      <c r="G3" s="255">
        <f t="shared" ref="G3:G42" si="1">B3+D3+F3</f>
        <v>3</v>
      </c>
      <c r="H3" s="256">
        <f t="shared" ref="H3:H5" ca="1" si="2">RANDBETWEEN(1,20)</f>
        <v>18</v>
      </c>
      <c r="I3" s="255">
        <f ca="1">SUM(G3:H3)</f>
        <v>21</v>
      </c>
      <c r="J3" s="257"/>
    </row>
    <row r="4" spans="1:10" s="3" customFormat="1" ht="16.8">
      <c r="A4" s="258" t="s">
        <v>56</v>
      </c>
      <c r="B4" s="251">
        <v>2</v>
      </c>
      <c r="C4" s="259" t="s">
        <v>155</v>
      </c>
      <c r="D4" s="253" t="str">
        <f>VLOOKUP(C4,'Personal File'!$A$10:$C$15,3,FALSE)</f>
        <v>+1</v>
      </c>
      <c r="E4" s="260" t="str">
        <f t="shared" si="0"/>
        <v>Dex (+1)</v>
      </c>
      <c r="F4" s="255">
        <v>0</v>
      </c>
      <c r="G4" s="255">
        <f t="shared" si="1"/>
        <v>3</v>
      </c>
      <c r="H4" s="256">
        <f t="shared" ca="1" si="2"/>
        <v>13</v>
      </c>
      <c r="I4" s="255">
        <f ca="1">SUM(G4:H4)</f>
        <v>16</v>
      </c>
      <c r="J4" s="257"/>
    </row>
    <row r="5" spans="1:10" s="3" customFormat="1" ht="16.8">
      <c r="A5" s="261" t="s">
        <v>57</v>
      </c>
      <c r="B5" s="262">
        <v>2</v>
      </c>
      <c r="C5" s="263" t="s">
        <v>154</v>
      </c>
      <c r="D5" s="263">
        <f>VLOOKUP(C5,'Personal File'!$A$10:$C$15,3,FALSE)</f>
        <v>-1</v>
      </c>
      <c r="E5" s="264" t="str">
        <f t="shared" si="0"/>
        <v>Wis (-1)</v>
      </c>
      <c r="F5" s="265">
        <v>0</v>
      </c>
      <c r="G5" s="265">
        <f t="shared" si="1"/>
        <v>1</v>
      </c>
      <c r="H5" s="266">
        <f t="shared" ca="1" si="2"/>
        <v>1</v>
      </c>
      <c r="I5" s="265">
        <f ca="1">SUM(G5:H5)</f>
        <v>2</v>
      </c>
      <c r="J5" s="267" t="s">
        <v>267</v>
      </c>
    </row>
    <row r="6" spans="1:10" s="61" customFormat="1" ht="16.8">
      <c r="A6" s="268" t="s">
        <v>27</v>
      </c>
      <c r="B6" s="269">
        <v>0</v>
      </c>
      <c r="C6" s="270" t="s">
        <v>153</v>
      </c>
      <c r="D6" s="271" t="str">
        <f>VLOOKUP(C6,'Personal File'!$A$10:$C$15,3,FALSE)</f>
        <v>+2</v>
      </c>
      <c r="E6" s="272" t="str">
        <f t="shared" si="0"/>
        <v>Int (+2)</v>
      </c>
      <c r="F6" s="273" t="s">
        <v>51</v>
      </c>
      <c r="G6" s="274">
        <f t="shared" si="1"/>
        <v>2</v>
      </c>
      <c r="H6" s="256">
        <f ca="1">RANDBETWEEN(1,20)</f>
        <v>4</v>
      </c>
      <c r="I6" s="274">
        <f t="shared" ref="I6:I42" ca="1" si="3">SUM(G6:H6)</f>
        <v>6</v>
      </c>
      <c r="J6" s="257"/>
    </row>
    <row r="7" spans="1:10" s="62" customFormat="1" ht="16.8">
      <c r="A7" s="258" t="s">
        <v>28</v>
      </c>
      <c r="B7" s="269">
        <v>0</v>
      </c>
      <c r="C7" s="275" t="s">
        <v>155</v>
      </c>
      <c r="D7" s="276" t="str">
        <f>VLOOKUP(C7,'Personal File'!$A$10:$C$15,3,FALSE)</f>
        <v>+1</v>
      </c>
      <c r="E7" s="277" t="str">
        <f t="shared" si="0"/>
        <v>Dex (+1)</v>
      </c>
      <c r="F7" s="273">
        <f>Martial!$D$19</f>
        <v>-1</v>
      </c>
      <c r="G7" s="274">
        <f t="shared" si="1"/>
        <v>0</v>
      </c>
      <c r="H7" s="256">
        <f t="shared" ref="H7:H42" ca="1" si="4">RANDBETWEEN(1,20)</f>
        <v>9</v>
      </c>
      <c r="I7" s="274">
        <f t="shared" ca="1" si="3"/>
        <v>9</v>
      </c>
      <c r="J7" s="257"/>
    </row>
    <row r="8" spans="1:10" s="63" customFormat="1" ht="16.8">
      <c r="A8" s="303" t="s">
        <v>29</v>
      </c>
      <c r="B8" s="269">
        <v>0</v>
      </c>
      <c r="C8" s="304" t="s">
        <v>152</v>
      </c>
      <c r="D8" s="305" t="str">
        <f>VLOOKUP(C8,'Personal File'!$A$10:$C$15,3,FALSE)</f>
        <v>+2</v>
      </c>
      <c r="E8" s="306" t="str">
        <f t="shared" si="0"/>
        <v>Cha (+2)</v>
      </c>
      <c r="F8" s="274" t="s">
        <v>51</v>
      </c>
      <c r="G8" s="274">
        <f t="shared" si="1"/>
        <v>2</v>
      </c>
      <c r="H8" s="256">
        <f t="shared" ca="1" si="4"/>
        <v>20</v>
      </c>
      <c r="I8" s="274">
        <f t="shared" ca="1" si="3"/>
        <v>22</v>
      </c>
      <c r="J8" s="257"/>
    </row>
    <row r="9" spans="1:10" s="64" customFormat="1" ht="16.8">
      <c r="A9" s="285" t="s">
        <v>30</v>
      </c>
      <c r="B9" s="269">
        <v>0</v>
      </c>
      <c r="C9" s="286" t="s">
        <v>156</v>
      </c>
      <c r="D9" s="287" t="str">
        <f>VLOOKUP(C9,'Personal File'!$A$10:$C$15,3,FALSE)</f>
        <v>+2</v>
      </c>
      <c r="E9" s="288" t="str">
        <f t="shared" si="0"/>
        <v>Str (+2)</v>
      </c>
      <c r="F9" s="274">
        <f>Martial!$D$19</f>
        <v>-1</v>
      </c>
      <c r="G9" s="274">
        <f t="shared" si="1"/>
        <v>1</v>
      </c>
      <c r="H9" s="256">
        <f t="shared" ca="1" si="4"/>
        <v>4</v>
      </c>
      <c r="I9" s="274">
        <f t="shared" ca="1" si="3"/>
        <v>5</v>
      </c>
      <c r="J9" s="257"/>
    </row>
    <row r="10" spans="1:10" s="64" customFormat="1" ht="16.8">
      <c r="A10" s="289" t="s">
        <v>8</v>
      </c>
      <c r="B10" s="290">
        <v>4</v>
      </c>
      <c r="C10" s="291" t="s">
        <v>151</v>
      </c>
      <c r="D10" s="292" t="str">
        <f>VLOOKUP(C10,'Personal File'!$A$10:$C$15,3,FALSE)</f>
        <v>+1</v>
      </c>
      <c r="E10" s="293" t="str">
        <f t="shared" si="0"/>
        <v>Con (+1)</v>
      </c>
      <c r="F10" s="294" t="s">
        <v>51</v>
      </c>
      <c r="G10" s="294">
        <f t="shared" si="1"/>
        <v>5</v>
      </c>
      <c r="H10" s="256">
        <f t="shared" ca="1" si="4"/>
        <v>2</v>
      </c>
      <c r="I10" s="294">
        <f t="shared" ca="1" si="3"/>
        <v>7</v>
      </c>
      <c r="J10" s="295"/>
    </row>
    <row r="11" spans="1:10" s="61" customFormat="1" ht="16.8">
      <c r="A11" s="329" t="s">
        <v>169</v>
      </c>
      <c r="B11" s="279">
        <v>1</v>
      </c>
      <c r="C11" s="330" t="s">
        <v>153</v>
      </c>
      <c r="D11" s="331" t="str">
        <f>VLOOKUP(C11,'Personal File'!$A$10:$C$15,3,FALSE)</f>
        <v>+2</v>
      </c>
      <c r="E11" s="332" t="str">
        <f t="shared" si="0"/>
        <v>Int (+2)</v>
      </c>
      <c r="F11" s="283" t="s">
        <v>268</v>
      </c>
      <c r="G11" s="283">
        <f t="shared" si="1"/>
        <v>5</v>
      </c>
      <c r="H11" s="256">
        <f t="shared" ca="1" si="4"/>
        <v>13</v>
      </c>
      <c r="I11" s="283">
        <f t="shared" ca="1" si="3"/>
        <v>18</v>
      </c>
      <c r="J11" s="284"/>
    </row>
    <row r="12" spans="1:10" s="65" customFormat="1" ht="16.8">
      <c r="A12" s="296" t="s">
        <v>31</v>
      </c>
      <c r="B12" s="297">
        <v>0</v>
      </c>
      <c r="C12" s="298" t="s">
        <v>153</v>
      </c>
      <c r="D12" s="299" t="str">
        <f>VLOOKUP(C12,'Personal File'!$A$10:$C$15,3,FALSE)</f>
        <v>+2</v>
      </c>
      <c r="E12" s="300" t="str">
        <f t="shared" si="0"/>
        <v>Int (+2)</v>
      </c>
      <c r="F12" s="301" t="s">
        <v>51</v>
      </c>
      <c r="G12" s="301">
        <f t="shared" si="1"/>
        <v>2</v>
      </c>
      <c r="H12" s="256">
        <f t="shared" ca="1" si="4"/>
        <v>15</v>
      </c>
      <c r="I12" s="301">
        <f t="shared" ref="I12" ca="1" si="5">SUM(G12:H12)</f>
        <v>17</v>
      </c>
      <c r="J12" s="302"/>
    </row>
    <row r="13" spans="1:10" s="62" customFormat="1" ht="16.8">
      <c r="A13" s="278" t="s">
        <v>32</v>
      </c>
      <c r="B13" s="279">
        <v>4</v>
      </c>
      <c r="C13" s="280" t="s">
        <v>152</v>
      </c>
      <c r="D13" s="281" t="str">
        <f>VLOOKUP(C13,'Personal File'!$A$10:$C$15,3,FALSE)</f>
        <v>+2</v>
      </c>
      <c r="E13" s="282" t="str">
        <f t="shared" si="0"/>
        <v>Cha (+2)</v>
      </c>
      <c r="F13" s="283" t="s">
        <v>51</v>
      </c>
      <c r="G13" s="283">
        <f t="shared" si="1"/>
        <v>6</v>
      </c>
      <c r="H13" s="256">
        <f t="shared" ca="1" si="4"/>
        <v>8</v>
      </c>
      <c r="I13" s="283">
        <f t="shared" ca="1" si="3"/>
        <v>14</v>
      </c>
      <c r="J13" s="284"/>
    </row>
    <row r="14" spans="1:10" s="62" customFormat="1" ht="16.8">
      <c r="A14" s="296" t="s">
        <v>33</v>
      </c>
      <c r="B14" s="297">
        <v>0</v>
      </c>
      <c r="C14" s="298" t="s">
        <v>153</v>
      </c>
      <c r="D14" s="299" t="str">
        <f>VLOOKUP(C14,'Personal File'!$A$10:$C$15,3,FALSE)</f>
        <v>+2</v>
      </c>
      <c r="E14" s="300" t="str">
        <f t="shared" si="0"/>
        <v>Int (+2)</v>
      </c>
      <c r="F14" s="301" t="s">
        <v>51</v>
      </c>
      <c r="G14" s="301">
        <f t="shared" si="1"/>
        <v>2</v>
      </c>
      <c r="H14" s="256">
        <f t="shared" ca="1" si="4"/>
        <v>10</v>
      </c>
      <c r="I14" s="301">
        <f t="shared" ref="I14" ca="1" si="6">SUM(G14:H14)</f>
        <v>12</v>
      </c>
      <c r="J14" s="302"/>
    </row>
    <row r="15" spans="1:10" s="62" customFormat="1" ht="16.8">
      <c r="A15" s="303" t="s">
        <v>34</v>
      </c>
      <c r="B15" s="269">
        <v>0</v>
      </c>
      <c r="C15" s="304" t="s">
        <v>152</v>
      </c>
      <c r="D15" s="305" t="str">
        <f>VLOOKUP(C15,'Personal File'!$A$10:$C$15,3,FALSE)</f>
        <v>+2</v>
      </c>
      <c r="E15" s="306" t="str">
        <f t="shared" si="0"/>
        <v>Cha (+2)</v>
      </c>
      <c r="F15" s="274" t="s">
        <v>51</v>
      </c>
      <c r="G15" s="274">
        <f t="shared" si="1"/>
        <v>2</v>
      </c>
      <c r="H15" s="256">
        <f t="shared" ca="1" si="4"/>
        <v>14</v>
      </c>
      <c r="I15" s="274">
        <f t="shared" ca="1" si="3"/>
        <v>16</v>
      </c>
      <c r="J15" s="257"/>
    </row>
    <row r="16" spans="1:10" s="62" customFormat="1" ht="16.8">
      <c r="A16" s="258" t="s">
        <v>35</v>
      </c>
      <c r="B16" s="269">
        <v>0</v>
      </c>
      <c r="C16" s="275" t="s">
        <v>155</v>
      </c>
      <c r="D16" s="276" t="str">
        <f>VLOOKUP(C16,'Personal File'!$A$10:$C$15,3,FALSE)</f>
        <v>+1</v>
      </c>
      <c r="E16" s="277" t="str">
        <f t="shared" si="0"/>
        <v>Dex (+1)</v>
      </c>
      <c r="F16" s="274">
        <f>Martial!$D$19</f>
        <v>-1</v>
      </c>
      <c r="G16" s="274">
        <f t="shared" si="1"/>
        <v>0</v>
      </c>
      <c r="H16" s="256">
        <f t="shared" ca="1" si="4"/>
        <v>9</v>
      </c>
      <c r="I16" s="274">
        <f t="shared" ca="1" si="3"/>
        <v>9</v>
      </c>
      <c r="J16" s="257"/>
    </row>
    <row r="17" spans="1:10" s="62" customFormat="1" ht="16.8">
      <c r="A17" s="307" t="s">
        <v>36</v>
      </c>
      <c r="B17" s="308">
        <v>0</v>
      </c>
      <c r="C17" s="309" t="s">
        <v>153</v>
      </c>
      <c r="D17" s="310" t="str">
        <f>VLOOKUP(C17,'Personal File'!$A$10:$C$15,3,FALSE)</f>
        <v>+2</v>
      </c>
      <c r="E17" s="311" t="str">
        <f t="shared" si="0"/>
        <v>Int (+2)</v>
      </c>
      <c r="F17" s="312" t="s">
        <v>51</v>
      </c>
      <c r="G17" s="312">
        <f t="shared" si="1"/>
        <v>2</v>
      </c>
      <c r="H17" s="256">
        <f t="shared" ca="1" si="4"/>
        <v>18</v>
      </c>
      <c r="I17" s="312">
        <f t="shared" ca="1" si="3"/>
        <v>20</v>
      </c>
      <c r="J17" s="313"/>
    </row>
    <row r="18" spans="1:10" s="62" customFormat="1" ht="16.8">
      <c r="A18" s="303" t="s">
        <v>37</v>
      </c>
      <c r="B18" s="269">
        <v>0</v>
      </c>
      <c r="C18" s="304" t="s">
        <v>152</v>
      </c>
      <c r="D18" s="305" t="str">
        <f>VLOOKUP(C18,'Personal File'!$A$10:$C$15,3,FALSE)</f>
        <v>+2</v>
      </c>
      <c r="E18" s="306" t="str">
        <f t="shared" si="0"/>
        <v>Cha (+2)</v>
      </c>
      <c r="F18" s="274" t="s">
        <v>51</v>
      </c>
      <c r="G18" s="274">
        <f t="shared" si="1"/>
        <v>2</v>
      </c>
      <c r="H18" s="256">
        <f t="shared" ca="1" si="4"/>
        <v>14</v>
      </c>
      <c r="I18" s="274">
        <f t="shared" ca="1" si="3"/>
        <v>16</v>
      </c>
      <c r="J18" s="257"/>
    </row>
    <row r="19" spans="1:10" s="62" customFormat="1" ht="16.8">
      <c r="A19" s="303" t="s">
        <v>10</v>
      </c>
      <c r="B19" s="269">
        <v>0</v>
      </c>
      <c r="C19" s="304" t="s">
        <v>152</v>
      </c>
      <c r="D19" s="305" t="str">
        <f>VLOOKUP(C19,'Personal File'!$A$10:$C$15,3,FALSE)</f>
        <v>+2</v>
      </c>
      <c r="E19" s="306" t="str">
        <f t="shared" si="0"/>
        <v>Cha (+2)</v>
      </c>
      <c r="F19" s="274" t="s">
        <v>51</v>
      </c>
      <c r="G19" s="274">
        <f t="shared" si="1"/>
        <v>2</v>
      </c>
      <c r="H19" s="256">
        <f t="shared" ca="1" si="4"/>
        <v>1</v>
      </c>
      <c r="I19" s="274">
        <f t="shared" ca="1" si="3"/>
        <v>3</v>
      </c>
      <c r="J19" s="257"/>
    </row>
    <row r="20" spans="1:10" s="62" customFormat="1" ht="16.8">
      <c r="A20" s="318" t="s">
        <v>38</v>
      </c>
      <c r="B20" s="269">
        <v>0</v>
      </c>
      <c r="C20" s="319" t="s">
        <v>154</v>
      </c>
      <c r="D20" s="320">
        <f>VLOOKUP(C20,'Personal File'!$A$10:$C$15,3,FALSE)</f>
        <v>-1</v>
      </c>
      <c r="E20" s="321" t="str">
        <f t="shared" si="0"/>
        <v>Wis (-1)</v>
      </c>
      <c r="F20" s="274" t="s">
        <v>51</v>
      </c>
      <c r="G20" s="274">
        <f t="shared" si="1"/>
        <v>-1</v>
      </c>
      <c r="H20" s="256">
        <f t="shared" ca="1" si="4"/>
        <v>9</v>
      </c>
      <c r="I20" s="274">
        <f t="shared" ca="1" si="3"/>
        <v>8</v>
      </c>
      <c r="J20" s="257"/>
    </row>
    <row r="21" spans="1:10" s="62" customFormat="1" ht="16.8">
      <c r="A21" s="258" t="s">
        <v>39</v>
      </c>
      <c r="B21" s="269">
        <v>0</v>
      </c>
      <c r="C21" s="275" t="s">
        <v>155</v>
      </c>
      <c r="D21" s="276" t="str">
        <f>VLOOKUP(C21,'Personal File'!$A$10:$C$15,3,FALSE)</f>
        <v>+1</v>
      </c>
      <c r="E21" s="277" t="str">
        <f t="shared" si="0"/>
        <v>Dex (+1)</v>
      </c>
      <c r="F21" s="274">
        <f>Martial!$D$19</f>
        <v>-1</v>
      </c>
      <c r="G21" s="274">
        <f t="shared" si="1"/>
        <v>0</v>
      </c>
      <c r="H21" s="256">
        <f t="shared" ca="1" si="4"/>
        <v>7</v>
      </c>
      <c r="I21" s="274">
        <f t="shared" ca="1" si="3"/>
        <v>7</v>
      </c>
      <c r="J21" s="257"/>
    </row>
    <row r="22" spans="1:10" s="62" customFormat="1" ht="16.8">
      <c r="A22" s="303" t="s">
        <v>40</v>
      </c>
      <c r="B22" s="269">
        <v>0</v>
      </c>
      <c r="C22" s="304" t="s">
        <v>152</v>
      </c>
      <c r="D22" s="305" t="str">
        <f>VLOOKUP(C22,'Personal File'!$A$10:$C$15,3,FALSE)</f>
        <v>+2</v>
      </c>
      <c r="E22" s="306" t="str">
        <f t="shared" si="0"/>
        <v>Cha (+2)</v>
      </c>
      <c r="F22" s="274" t="s">
        <v>51</v>
      </c>
      <c r="G22" s="274">
        <f t="shared" si="1"/>
        <v>2</v>
      </c>
      <c r="H22" s="256">
        <f t="shared" ca="1" si="4"/>
        <v>17</v>
      </c>
      <c r="I22" s="274">
        <f t="shared" ca="1" si="3"/>
        <v>19</v>
      </c>
      <c r="J22" s="257"/>
    </row>
    <row r="23" spans="1:10" s="62" customFormat="1" ht="16.8">
      <c r="A23" s="405" t="s">
        <v>41</v>
      </c>
      <c r="B23" s="279">
        <v>4</v>
      </c>
      <c r="C23" s="406" t="s">
        <v>156</v>
      </c>
      <c r="D23" s="407" t="str">
        <f>VLOOKUP(C23,'Personal File'!$A$10:$C$15,3,FALSE)</f>
        <v>+2</v>
      </c>
      <c r="E23" s="408" t="str">
        <f t="shared" si="0"/>
        <v>Str (+2)</v>
      </c>
      <c r="F23" s="283">
        <f>Martial!$D$19</f>
        <v>-1</v>
      </c>
      <c r="G23" s="283">
        <f t="shared" si="1"/>
        <v>5</v>
      </c>
      <c r="H23" s="256">
        <f t="shared" ca="1" si="4"/>
        <v>8</v>
      </c>
      <c r="I23" s="283">
        <f t="shared" ca="1" si="3"/>
        <v>13</v>
      </c>
      <c r="J23" s="284"/>
    </row>
    <row r="24" spans="1:10" s="62" customFormat="1" ht="16.8">
      <c r="A24" s="314" t="s">
        <v>121</v>
      </c>
      <c r="B24" s="290">
        <v>1</v>
      </c>
      <c r="C24" s="315" t="s">
        <v>153</v>
      </c>
      <c r="D24" s="316" t="str">
        <f>VLOOKUP(C24,'Personal File'!$A$10:$C$15,3,FALSE)</f>
        <v>+2</v>
      </c>
      <c r="E24" s="317" t="str">
        <f t="shared" si="0"/>
        <v>Int (+2)</v>
      </c>
      <c r="F24" s="283" t="s">
        <v>51</v>
      </c>
      <c r="G24" s="294">
        <f t="shared" si="1"/>
        <v>3</v>
      </c>
      <c r="H24" s="256">
        <f t="shared" ca="1" si="4"/>
        <v>13</v>
      </c>
      <c r="I24" s="294">
        <f t="shared" ca="1" si="3"/>
        <v>16</v>
      </c>
      <c r="J24" s="295"/>
    </row>
    <row r="25" spans="1:10" s="62" customFormat="1" ht="16.8">
      <c r="A25" s="314" t="s">
        <v>118</v>
      </c>
      <c r="B25" s="290">
        <v>1</v>
      </c>
      <c r="C25" s="315" t="s">
        <v>153</v>
      </c>
      <c r="D25" s="316" t="str">
        <f>VLOOKUP(C25,'Personal File'!$A$10:$C$15,3,FALSE)</f>
        <v>+2</v>
      </c>
      <c r="E25" s="317" t="str">
        <f t="shared" si="0"/>
        <v>Int (+2)</v>
      </c>
      <c r="F25" s="283" t="s">
        <v>51</v>
      </c>
      <c r="G25" s="294">
        <f t="shared" ref="G25" si="7">B25+D25+F25</f>
        <v>3</v>
      </c>
      <c r="H25" s="256">
        <f t="shared" ca="1" si="4"/>
        <v>10</v>
      </c>
      <c r="I25" s="294">
        <f t="shared" ref="I25" ca="1" si="8">SUM(G25:H25)</f>
        <v>13</v>
      </c>
      <c r="J25" s="295"/>
    </row>
    <row r="26" spans="1:10" s="62" customFormat="1" ht="16.8">
      <c r="A26" s="318" t="s">
        <v>42</v>
      </c>
      <c r="B26" s="269">
        <v>0</v>
      </c>
      <c r="C26" s="319" t="s">
        <v>154</v>
      </c>
      <c r="D26" s="320">
        <f>VLOOKUP(C26,'Personal File'!$A$10:$C$15,3,FALSE)</f>
        <v>-1</v>
      </c>
      <c r="E26" s="321" t="str">
        <f t="shared" si="0"/>
        <v>Wis (-1)</v>
      </c>
      <c r="F26" s="274" t="s">
        <v>51</v>
      </c>
      <c r="G26" s="274">
        <f t="shared" si="1"/>
        <v>-1</v>
      </c>
      <c r="H26" s="256">
        <f t="shared" ca="1" si="4"/>
        <v>14</v>
      </c>
      <c r="I26" s="274">
        <f t="shared" ca="1" si="3"/>
        <v>13</v>
      </c>
      <c r="J26" s="257"/>
    </row>
    <row r="27" spans="1:10" s="62" customFormat="1" ht="16.8">
      <c r="A27" s="258" t="s">
        <v>11</v>
      </c>
      <c r="B27" s="269">
        <v>0</v>
      </c>
      <c r="C27" s="275" t="s">
        <v>155</v>
      </c>
      <c r="D27" s="276" t="str">
        <f>VLOOKUP(C27,'Personal File'!$A$10:$C$15,3,FALSE)</f>
        <v>+1</v>
      </c>
      <c r="E27" s="277" t="str">
        <f t="shared" si="0"/>
        <v>Dex (+1)</v>
      </c>
      <c r="F27" s="274">
        <f>Martial!$D$19</f>
        <v>-1</v>
      </c>
      <c r="G27" s="274">
        <f t="shared" si="1"/>
        <v>0</v>
      </c>
      <c r="H27" s="256">
        <f t="shared" ca="1" si="4"/>
        <v>11</v>
      </c>
      <c r="I27" s="274">
        <f t="shared" ca="1" si="3"/>
        <v>11</v>
      </c>
      <c r="J27" s="257"/>
    </row>
    <row r="28" spans="1:10" s="62" customFormat="1" ht="16.8">
      <c r="A28" s="322" t="s">
        <v>43</v>
      </c>
      <c r="B28" s="297">
        <v>0</v>
      </c>
      <c r="C28" s="323" t="s">
        <v>155</v>
      </c>
      <c r="D28" s="324" t="str">
        <f>VLOOKUP(C28,'Personal File'!$A$10:$C$15,3,FALSE)</f>
        <v>+1</v>
      </c>
      <c r="E28" s="325" t="str">
        <f t="shared" si="0"/>
        <v>Dex (+1)</v>
      </c>
      <c r="F28" s="301" t="s">
        <v>51</v>
      </c>
      <c r="G28" s="301">
        <f t="shared" si="1"/>
        <v>1</v>
      </c>
      <c r="H28" s="256">
        <f t="shared" ca="1" si="4"/>
        <v>20</v>
      </c>
      <c r="I28" s="301">
        <f t="shared" ca="1" si="3"/>
        <v>21</v>
      </c>
      <c r="J28" s="302"/>
    </row>
    <row r="29" spans="1:10" ht="16.8">
      <c r="A29" s="303" t="s">
        <v>120</v>
      </c>
      <c r="B29" s="269">
        <v>0</v>
      </c>
      <c r="C29" s="304" t="s">
        <v>152</v>
      </c>
      <c r="D29" s="305" t="str">
        <f>VLOOKUP(C29,'Personal File'!$A$10:$C$15,3,FALSE)</f>
        <v>+2</v>
      </c>
      <c r="E29" s="306" t="str">
        <f t="shared" si="0"/>
        <v>Cha (+2)</v>
      </c>
      <c r="F29" s="274" t="s">
        <v>51</v>
      </c>
      <c r="G29" s="274">
        <f t="shared" si="1"/>
        <v>2</v>
      </c>
      <c r="H29" s="256">
        <f t="shared" ca="1" si="4"/>
        <v>16</v>
      </c>
      <c r="I29" s="274">
        <f t="shared" ca="1" si="3"/>
        <v>18</v>
      </c>
      <c r="J29" s="257"/>
    </row>
    <row r="30" spans="1:10" ht="16.8">
      <c r="A30" s="303" t="s">
        <v>191</v>
      </c>
      <c r="B30" s="269">
        <v>0</v>
      </c>
      <c r="C30" s="319" t="s">
        <v>154</v>
      </c>
      <c r="D30" s="320">
        <f>VLOOKUP(C30,'Personal File'!$A$10:$C$15,3,FALSE)</f>
        <v>-1</v>
      </c>
      <c r="E30" s="321" t="str">
        <f t="shared" si="0"/>
        <v>Wis (-1)</v>
      </c>
      <c r="F30" s="274" t="s">
        <v>51</v>
      </c>
      <c r="G30" s="274">
        <f t="shared" si="1"/>
        <v>-1</v>
      </c>
      <c r="H30" s="256">
        <f t="shared" ca="1" si="4"/>
        <v>3</v>
      </c>
      <c r="I30" s="274">
        <f t="shared" ref="I30" ca="1" si="9">SUM(G30:H30)</f>
        <v>2</v>
      </c>
      <c r="J30" s="257"/>
    </row>
    <row r="31" spans="1:10" ht="16.8">
      <c r="A31" s="258" t="s">
        <v>12</v>
      </c>
      <c r="B31" s="269">
        <v>0</v>
      </c>
      <c r="C31" s="275" t="s">
        <v>155</v>
      </c>
      <c r="D31" s="276" t="str">
        <f>VLOOKUP(C31,'Personal File'!$A$10:$C$15,3,FALSE)</f>
        <v>+1</v>
      </c>
      <c r="E31" s="277" t="str">
        <f t="shared" si="0"/>
        <v>Dex (+1)</v>
      </c>
      <c r="F31" s="274" t="s">
        <v>51</v>
      </c>
      <c r="G31" s="274">
        <f t="shared" si="1"/>
        <v>1</v>
      </c>
      <c r="H31" s="256">
        <f t="shared" ca="1" si="4"/>
        <v>1</v>
      </c>
      <c r="I31" s="274">
        <f t="shared" ca="1" si="3"/>
        <v>2</v>
      </c>
      <c r="J31" s="257"/>
    </row>
    <row r="32" spans="1:10" ht="16.8">
      <c r="A32" s="268" t="s">
        <v>13</v>
      </c>
      <c r="B32" s="269">
        <v>0</v>
      </c>
      <c r="C32" s="270" t="s">
        <v>153</v>
      </c>
      <c r="D32" s="271" t="str">
        <f>VLOOKUP(C32,'Personal File'!$A$10:$C$15,3,FALSE)</f>
        <v>+2</v>
      </c>
      <c r="E32" s="272" t="str">
        <f t="shared" si="0"/>
        <v>Int (+2)</v>
      </c>
      <c r="F32" s="274" t="s">
        <v>51</v>
      </c>
      <c r="G32" s="274">
        <f t="shared" si="1"/>
        <v>2</v>
      </c>
      <c r="H32" s="256">
        <f t="shared" ca="1" si="4"/>
        <v>19</v>
      </c>
      <c r="I32" s="274">
        <f t="shared" ca="1" si="3"/>
        <v>21</v>
      </c>
      <c r="J32" s="257"/>
    </row>
    <row r="33" spans="1:10" ht="16.8">
      <c r="A33" s="333" t="s">
        <v>44</v>
      </c>
      <c r="B33" s="279">
        <v>4</v>
      </c>
      <c r="C33" s="326" t="s">
        <v>154</v>
      </c>
      <c r="D33" s="327">
        <f>VLOOKUP(C33,'Personal File'!$A$10:$C$15,3,FALSE)</f>
        <v>-1</v>
      </c>
      <c r="E33" s="328" t="str">
        <f t="shared" si="0"/>
        <v>Wis (-1)</v>
      </c>
      <c r="F33" s="283" t="s">
        <v>51</v>
      </c>
      <c r="G33" s="283">
        <f t="shared" si="1"/>
        <v>3</v>
      </c>
      <c r="H33" s="256">
        <f t="shared" ca="1" si="4"/>
        <v>18</v>
      </c>
      <c r="I33" s="283">
        <f t="shared" ca="1" si="3"/>
        <v>21</v>
      </c>
      <c r="J33" s="284"/>
    </row>
    <row r="34" spans="1:10" ht="16.8">
      <c r="A34" s="322" t="s">
        <v>83</v>
      </c>
      <c r="B34" s="297">
        <v>0</v>
      </c>
      <c r="C34" s="323" t="s">
        <v>155</v>
      </c>
      <c r="D34" s="324" t="str">
        <f>VLOOKUP(C34,'Personal File'!$A$10:$C$15,3,FALSE)</f>
        <v>+1</v>
      </c>
      <c r="E34" s="325" t="str">
        <f t="shared" si="0"/>
        <v>Dex (+1)</v>
      </c>
      <c r="F34" s="301">
        <f>Martial!$D$19</f>
        <v>-1</v>
      </c>
      <c r="G34" s="301">
        <f t="shared" si="1"/>
        <v>0</v>
      </c>
      <c r="H34" s="256">
        <f t="shared" ca="1" si="4"/>
        <v>4</v>
      </c>
      <c r="I34" s="301">
        <f t="shared" ref="I34:I35" ca="1" si="10">SUM(G34:H34)</f>
        <v>4</v>
      </c>
      <c r="J34" s="302"/>
    </row>
    <row r="35" spans="1:10" ht="16.8">
      <c r="A35" s="334" t="s">
        <v>80</v>
      </c>
      <c r="B35" s="335">
        <v>0</v>
      </c>
      <c r="C35" s="336" t="s">
        <v>153</v>
      </c>
      <c r="D35" s="337" t="str">
        <f>VLOOKUP(C35,'Personal File'!$A$10:$C$15,3,FALSE)</f>
        <v>+2</v>
      </c>
      <c r="E35" s="338" t="str">
        <f t="shared" si="0"/>
        <v>Int (+2)</v>
      </c>
      <c r="F35" s="339" t="s">
        <v>51</v>
      </c>
      <c r="G35" s="301">
        <f t="shared" si="1"/>
        <v>2</v>
      </c>
      <c r="H35" s="256">
        <f t="shared" ca="1" si="4"/>
        <v>1</v>
      </c>
      <c r="I35" s="301">
        <f t="shared" ca="1" si="10"/>
        <v>3</v>
      </c>
      <c r="J35" s="340"/>
    </row>
    <row r="36" spans="1:10" ht="16.8">
      <c r="A36" s="329" t="s">
        <v>45</v>
      </c>
      <c r="B36" s="279">
        <v>1</v>
      </c>
      <c r="C36" s="330" t="s">
        <v>153</v>
      </c>
      <c r="D36" s="331" t="str">
        <f>VLOOKUP(C36,'Personal File'!$A$10:$C$15,3,FALSE)</f>
        <v>+2</v>
      </c>
      <c r="E36" s="332" t="str">
        <f t="shared" si="0"/>
        <v>Int (+2)</v>
      </c>
      <c r="F36" s="283" t="s">
        <v>51</v>
      </c>
      <c r="G36" s="283">
        <f t="shared" si="1"/>
        <v>3</v>
      </c>
      <c r="H36" s="256">
        <f t="shared" ca="1" si="4"/>
        <v>17</v>
      </c>
      <c r="I36" s="283">
        <f t="shared" ca="1" si="3"/>
        <v>20</v>
      </c>
      <c r="J36" s="284"/>
    </row>
    <row r="37" spans="1:10" ht="16.8">
      <c r="A37" s="318" t="s">
        <v>46</v>
      </c>
      <c r="B37" s="269">
        <v>0</v>
      </c>
      <c r="C37" s="319" t="s">
        <v>154</v>
      </c>
      <c r="D37" s="320">
        <f>VLOOKUP(C37,'Personal File'!$A$10:$C$15,3,FALSE)</f>
        <v>-1</v>
      </c>
      <c r="E37" s="321" t="str">
        <f t="shared" si="0"/>
        <v>Wis (-1)</v>
      </c>
      <c r="F37" s="274" t="s">
        <v>51</v>
      </c>
      <c r="G37" s="274">
        <f t="shared" si="1"/>
        <v>-1</v>
      </c>
      <c r="H37" s="256">
        <f t="shared" ca="1" si="4"/>
        <v>14</v>
      </c>
      <c r="I37" s="274">
        <f t="shared" ca="1" si="3"/>
        <v>13</v>
      </c>
      <c r="J37" s="257"/>
    </row>
    <row r="38" spans="1:10" ht="16.8">
      <c r="A38" s="318" t="s">
        <v>84</v>
      </c>
      <c r="B38" s="269">
        <v>0</v>
      </c>
      <c r="C38" s="319" t="s">
        <v>154</v>
      </c>
      <c r="D38" s="320">
        <f>VLOOKUP(C38,'Personal File'!$A$10:$C$15,3,FALSE)</f>
        <v>-1</v>
      </c>
      <c r="E38" s="321" t="str">
        <f t="shared" si="0"/>
        <v>Wis (-1)</v>
      </c>
      <c r="F38" s="274" t="s">
        <v>51</v>
      </c>
      <c r="G38" s="274">
        <f t="shared" si="1"/>
        <v>-1</v>
      </c>
      <c r="H38" s="256">
        <f t="shared" ca="1" si="4"/>
        <v>20</v>
      </c>
      <c r="I38" s="274">
        <f t="shared" ca="1" si="3"/>
        <v>19</v>
      </c>
      <c r="J38" s="257"/>
    </row>
    <row r="39" spans="1:10" ht="16.8">
      <c r="A39" s="285" t="s">
        <v>14</v>
      </c>
      <c r="B39" s="269">
        <v>0</v>
      </c>
      <c r="C39" s="286" t="s">
        <v>156</v>
      </c>
      <c r="D39" s="287" t="str">
        <f>VLOOKUP(C39,'Personal File'!$A$10:$C$15,3,FALSE)</f>
        <v>+2</v>
      </c>
      <c r="E39" s="288" t="str">
        <f t="shared" si="0"/>
        <v>Str (+2)</v>
      </c>
      <c r="F39" s="274" t="s">
        <v>51</v>
      </c>
      <c r="G39" s="274">
        <f t="shared" si="1"/>
        <v>2</v>
      </c>
      <c r="H39" s="256">
        <f t="shared" ca="1" si="4"/>
        <v>14</v>
      </c>
      <c r="I39" s="274">
        <f t="shared" ca="1" si="3"/>
        <v>16</v>
      </c>
      <c r="J39" s="257"/>
    </row>
    <row r="40" spans="1:10" ht="16.8">
      <c r="A40" s="341" t="s">
        <v>47</v>
      </c>
      <c r="B40" s="342">
        <v>0</v>
      </c>
      <c r="C40" s="343" t="s">
        <v>155</v>
      </c>
      <c r="D40" s="344" t="str">
        <f>VLOOKUP(C40,'Personal File'!$A$10:$C$15,3,FALSE)</f>
        <v>+1</v>
      </c>
      <c r="E40" s="345" t="str">
        <f t="shared" si="0"/>
        <v>Dex (+1)</v>
      </c>
      <c r="F40" s="301">
        <f>Martial!$D$19</f>
        <v>-1</v>
      </c>
      <c r="G40" s="301">
        <f t="shared" si="1"/>
        <v>0</v>
      </c>
      <c r="H40" s="256">
        <f t="shared" ca="1" si="4"/>
        <v>5</v>
      </c>
      <c r="I40" s="301">
        <f t="shared" ref="I40:I41" ca="1" si="11">SUM(G40:H40)</f>
        <v>5</v>
      </c>
      <c r="J40" s="346"/>
    </row>
    <row r="41" spans="1:10" ht="16.8">
      <c r="A41" s="347" t="s">
        <v>48</v>
      </c>
      <c r="B41" s="297">
        <v>0</v>
      </c>
      <c r="C41" s="348" t="s">
        <v>152</v>
      </c>
      <c r="D41" s="349" t="str">
        <f>VLOOKUP(C41,'Personal File'!$A$10:$C$15,3,FALSE)</f>
        <v>+2</v>
      </c>
      <c r="E41" s="350" t="str">
        <f t="shared" si="0"/>
        <v>Cha (+2)</v>
      </c>
      <c r="F41" s="301" t="s">
        <v>51</v>
      </c>
      <c r="G41" s="301">
        <f t="shared" si="1"/>
        <v>2</v>
      </c>
      <c r="H41" s="256">
        <f t="shared" ca="1" si="4"/>
        <v>6</v>
      </c>
      <c r="I41" s="301">
        <f t="shared" ca="1" si="11"/>
        <v>8</v>
      </c>
      <c r="J41" s="302"/>
    </row>
    <row r="42" spans="1:10" ht="17.399999999999999" thickBot="1">
      <c r="A42" s="351" t="s">
        <v>49</v>
      </c>
      <c r="B42" s="352">
        <v>0</v>
      </c>
      <c r="C42" s="353" t="s">
        <v>155</v>
      </c>
      <c r="D42" s="354" t="str">
        <f>VLOOKUP(C42,'Personal File'!$A$10:$C$15,3,FALSE)</f>
        <v>+1</v>
      </c>
      <c r="E42" s="355" t="str">
        <f t="shared" si="0"/>
        <v>Dex (+1)</v>
      </c>
      <c r="F42" s="356" t="s">
        <v>51</v>
      </c>
      <c r="G42" s="356">
        <f t="shared" si="1"/>
        <v>1</v>
      </c>
      <c r="H42" s="357">
        <f t="shared" ca="1" si="4"/>
        <v>5</v>
      </c>
      <c r="I42" s="356">
        <f t="shared" ca="1" si="3"/>
        <v>6</v>
      </c>
      <c r="J42" s="358"/>
    </row>
    <row r="43" spans="1:10" ht="16.2" thickTop="1">
      <c r="B43" s="234">
        <f>SUM(B6:B42)</f>
        <v>20</v>
      </c>
      <c r="E43" s="234">
        <f>SUM(E44:E45)</f>
        <v>20</v>
      </c>
      <c r="F43" s="359" t="s">
        <v>52</v>
      </c>
    </row>
    <row r="44" spans="1:10">
      <c r="B44" s="234"/>
      <c r="E44" s="232">
        <f>4*(2+'Personal File'!$C$13)</f>
        <v>16</v>
      </c>
      <c r="F44" s="233" t="s">
        <v>180</v>
      </c>
    </row>
    <row r="45" spans="1:10">
      <c r="E45" s="234">
        <f>3+SUM('Personal File'!$E$3:$E$4)</f>
        <v>4</v>
      </c>
      <c r="F45" s="233" t="s">
        <v>122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7" bestFit="1" customWidth="1"/>
    <col min="2" max="2" width="6.19921875" style="57" bestFit="1" customWidth="1"/>
    <col min="3" max="3" width="11.19921875" style="58" bestFit="1" customWidth="1"/>
    <col min="4" max="4" width="12.69921875" style="66" bestFit="1" customWidth="1"/>
    <col min="5" max="5" width="8.09765625" style="58" bestFit="1" customWidth="1"/>
    <col min="6" max="6" width="8.3984375" style="58" bestFit="1" customWidth="1"/>
    <col min="7" max="7" width="9.796875" style="57" bestFit="1" customWidth="1"/>
    <col min="8" max="8" width="10.19921875" style="15" bestFit="1" customWidth="1"/>
    <col min="9" max="9" width="5.5" style="15" bestFit="1" customWidth="1"/>
    <col min="10" max="16384" width="13" style="15"/>
  </cols>
  <sheetData>
    <row r="1" spans="1:9" ht="23.4" thickBot="1">
      <c r="A1" s="201" t="s">
        <v>170</v>
      </c>
      <c r="B1" s="59"/>
      <c r="C1" s="59"/>
      <c r="D1" s="60"/>
      <c r="E1" s="59"/>
      <c r="F1" s="59"/>
      <c r="G1" s="59"/>
      <c r="H1" s="59"/>
    </row>
    <row r="2" spans="1:9" s="3" customFormat="1" ht="16.8">
      <c r="A2" s="202" t="s">
        <v>69</v>
      </c>
      <c r="B2" s="203" t="s">
        <v>0</v>
      </c>
      <c r="C2" s="205" t="s">
        <v>71</v>
      </c>
      <c r="D2" s="205" t="s">
        <v>88</v>
      </c>
      <c r="E2" s="204" t="s">
        <v>89</v>
      </c>
      <c r="F2" s="204" t="s">
        <v>54</v>
      </c>
      <c r="G2" s="204" t="s">
        <v>17</v>
      </c>
      <c r="H2" s="204" t="s">
        <v>144</v>
      </c>
      <c r="I2" s="206" t="s">
        <v>145</v>
      </c>
    </row>
    <row r="3" spans="1:9" s="3" customFormat="1" ht="16.8">
      <c r="A3" s="207" t="s">
        <v>96</v>
      </c>
      <c r="B3" s="67">
        <v>0</v>
      </c>
      <c r="C3" s="6" t="s">
        <v>269</v>
      </c>
      <c r="D3" s="1" t="s">
        <v>90</v>
      </c>
      <c r="E3" s="173" t="s">
        <v>91</v>
      </c>
      <c r="F3" s="4" t="s">
        <v>61</v>
      </c>
      <c r="G3" s="4" t="s">
        <v>65</v>
      </c>
      <c r="H3" s="4" t="s">
        <v>143</v>
      </c>
      <c r="I3" s="70">
        <v>216</v>
      </c>
    </row>
    <row r="4" spans="1:9" s="3" customFormat="1" ht="16.8">
      <c r="A4" s="207" t="s">
        <v>97</v>
      </c>
      <c r="B4" s="67">
        <v>0</v>
      </c>
      <c r="C4" s="6" t="s">
        <v>81</v>
      </c>
      <c r="D4" s="1" t="s">
        <v>90</v>
      </c>
      <c r="E4" s="173" t="s">
        <v>91</v>
      </c>
      <c r="F4" s="4" t="s">
        <v>61</v>
      </c>
      <c r="G4" s="4" t="s">
        <v>62</v>
      </c>
      <c r="H4" s="4" t="s">
        <v>143</v>
      </c>
      <c r="I4" s="174">
        <v>238</v>
      </c>
    </row>
    <row r="5" spans="1:9" s="3" customFormat="1" ht="16.8">
      <c r="A5" s="207" t="s">
        <v>95</v>
      </c>
      <c r="B5" s="67">
        <v>0</v>
      </c>
      <c r="C5" s="6" t="s">
        <v>68</v>
      </c>
      <c r="D5" s="1" t="s">
        <v>116</v>
      </c>
      <c r="E5" s="173" t="s">
        <v>91</v>
      </c>
      <c r="F5" s="4" t="s">
        <v>61</v>
      </c>
      <c r="G5" s="4" t="s">
        <v>67</v>
      </c>
      <c r="H5" s="4" t="s">
        <v>143</v>
      </c>
      <c r="I5" s="70">
        <v>248</v>
      </c>
    </row>
    <row r="6" spans="1:9" s="3" customFormat="1" ht="16.8">
      <c r="A6" s="208" t="s">
        <v>98</v>
      </c>
      <c r="B6" s="68">
        <v>0</v>
      </c>
      <c r="C6" s="69" t="s">
        <v>63</v>
      </c>
      <c r="D6" s="5" t="s">
        <v>94</v>
      </c>
      <c r="E6" s="175" t="s">
        <v>91</v>
      </c>
      <c r="F6" s="7" t="s">
        <v>66</v>
      </c>
      <c r="G6" s="7" t="s">
        <v>67</v>
      </c>
      <c r="H6" s="7" t="s">
        <v>143</v>
      </c>
      <c r="I6" s="71">
        <v>269</v>
      </c>
    </row>
    <row r="7" spans="1:9" ht="16.8">
      <c r="A7" s="207" t="s">
        <v>82</v>
      </c>
      <c r="B7" s="67">
        <v>1</v>
      </c>
      <c r="C7" s="6" t="s">
        <v>269</v>
      </c>
      <c r="D7" s="1" t="s">
        <v>90</v>
      </c>
      <c r="E7" s="173" t="s">
        <v>91</v>
      </c>
      <c r="F7" s="4" t="s">
        <v>61</v>
      </c>
      <c r="G7" s="4" t="s">
        <v>65</v>
      </c>
      <c r="H7" s="4" t="s">
        <v>143</v>
      </c>
      <c r="I7" s="70">
        <v>216</v>
      </c>
    </row>
    <row r="8" spans="1:9" ht="16.8">
      <c r="A8" s="207" t="s">
        <v>115</v>
      </c>
      <c r="B8" s="67">
        <v>1</v>
      </c>
      <c r="C8" s="6" t="s">
        <v>68</v>
      </c>
      <c r="D8" s="1" t="s">
        <v>92</v>
      </c>
      <c r="E8" s="173" t="s">
        <v>91</v>
      </c>
      <c r="F8" s="4" t="s">
        <v>66</v>
      </c>
      <c r="G8" s="4" t="s">
        <v>62</v>
      </c>
      <c r="H8" s="4" t="s">
        <v>143</v>
      </c>
      <c r="I8" s="174">
        <v>224</v>
      </c>
    </row>
    <row r="9" spans="1:9" ht="17.399999999999999" thickBot="1">
      <c r="A9" s="209" t="s">
        <v>117</v>
      </c>
      <c r="B9" s="151">
        <v>1</v>
      </c>
      <c r="C9" s="152" t="s">
        <v>60</v>
      </c>
      <c r="D9" s="153" t="s">
        <v>93</v>
      </c>
      <c r="E9" s="176" t="s">
        <v>91</v>
      </c>
      <c r="F9" s="154" t="s">
        <v>61</v>
      </c>
      <c r="G9" s="154" t="s">
        <v>64</v>
      </c>
      <c r="H9" s="154" t="s">
        <v>143</v>
      </c>
      <c r="I9" s="365">
        <v>266</v>
      </c>
    </row>
    <row r="10" spans="1:9" ht="16.2" thickTop="1"/>
  </sheetData>
  <sortState xmlns:xlrd2="http://schemas.microsoft.com/office/spreadsheetml/2017/richdata2" ref="A3:I9">
    <sortCondition ref="B3:B9"/>
    <sortCondition ref="A3:A9"/>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
  <sheetViews>
    <sheetView showGridLines="0" workbookViewId="0"/>
  </sheetViews>
  <sheetFormatPr defaultColWidth="13" defaultRowHeight="16.8"/>
  <cols>
    <col min="1" max="1" width="17.5" style="52" bestFit="1" customWidth="1"/>
    <col min="2" max="2" width="3.59765625" style="52" bestFit="1" customWidth="1"/>
    <col min="3" max="3" width="3.3984375" style="52" bestFit="1" customWidth="1"/>
    <col min="4" max="4" width="3.8984375" style="52" bestFit="1" customWidth="1"/>
    <col min="5" max="5" width="3.69921875" style="52" bestFit="1" customWidth="1"/>
    <col min="6" max="8" width="3.59765625" style="52" bestFit="1" customWidth="1"/>
    <col min="9" max="10" width="3.59765625" style="52" customWidth="1"/>
    <col min="11" max="11" width="3.59765625" style="52" bestFit="1" customWidth="1"/>
    <col min="12" max="12" width="3.69921875" style="52" customWidth="1"/>
    <col min="13" max="13" width="28.5" style="52" bestFit="1" customWidth="1"/>
    <col min="14" max="16384" width="13" style="52"/>
  </cols>
  <sheetData>
    <row r="1" spans="1:13" ht="24" thickTop="1" thickBot="1">
      <c r="A1" s="162"/>
      <c r="B1" s="366" t="s">
        <v>105</v>
      </c>
      <c r="C1" s="59"/>
      <c r="D1" s="59"/>
      <c r="E1" s="367"/>
      <c r="F1" s="59"/>
      <c r="G1" s="59"/>
      <c r="H1" s="59"/>
      <c r="I1" s="59"/>
      <c r="J1" s="59"/>
      <c r="K1" s="367"/>
      <c r="M1" s="74" t="s">
        <v>110</v>
      </c>
    </row>
    <row r="2" spans="1:13" ht="17.399999999999999" thickTop="1">
      <c r="A2" s="162"/>
      <c r="B2" s="72" t="s">
        <v>106</v>
      </c>
      <c r="C2" s="368"/>
      <c r="D2" s="368"/>
      <c r="E2" s="368"/>
      <c r="F2" s="368"/>
      <c r="G2" s="368"/>
      <c r="H2" s="368"/>
      <c r="I2" s="368"/>
      <c r="J2" s="368"/>
      <c r="K2" s="369"/>
      <c r="M2" s="75" t="s">
        <v>182</v>
      </c>
    </row>
    <row r="3" spans="1:13" ht="17.399999999999999" thickBot="1">
      <c r="A3" s="162"/>
      <c r="B3" s="370" t="s">
        <v>107</v>
      </c>
      <c r="C3" s="371" t="s">
        <v>99</v>
      </c>
      <c r="D3" s="371" t="s">
        <v>100</v>
      </c>
      <c r="E3" s="371" t="s">
        <v>101</v>
      </c>
      <c r="F3" s="371" t="s">
        <v>102</v>
      </c>
      <c r="G3" s="371" t="s">
        <v>103</v>
      </c>
      <c r="H3" s="371" t="s">
        <v>104</v>
      </c>
      <c r="I3" s="371" t="s">
        <v>108</v>
      </c>
      <c r="J3" s="371" t="s">
        <v>187</v>
      </c>
      <c r="K3" s="372" t="s">
        <v>188</v>
      </c>
      <c r="M3" s="228" t="s">
        <v>280</v>
      </c>
    </row>
    <row r="4" spans="1:13" ht="17.399999999999999" thickTop="1">
      <c r="A4" s="373" t="s">
        <v>186</v>
      </c>
      <c r="B4" s="374">
        <v>5</v>
      </c>
      <c r="C4" s="375">
        <v>3</v>
      </c>
      <c r="D4" s="382">
        <v>0</v>
      </c>
      <c r="E4" s="382">
        <v>0</v>
      </c>
      <c r="F4" s="382">
        <v>0</v>
      </c>
      <c r="G4" s="382">
        <v>0</v>
      </c>
      <c r="H4" s="382">
        <v>0</v>
      </c>
      <c r="I4" s="382">
        <v>0</v>
      </c>
      <c r="J4" s="382">
        <v>0</v>
      </c>
      <c r="K4" s="383">
        <v>0</v>
      </c>
      <c r="M4" s="76" t="s">
        <v>181</v>
      </c>
    </row>
    <row r="5" spans="1:13" ht="17.399999999999999" thickBot="1">
      <c r="A5" s="376" t="s">
        <v>185</v>
      </c>
      <c r="B5" s="377">
        <v>0</v>
      </c>
      <c r="C5" s="146">
        <v>1</v>
      </c>
      <c r="D5" s="384">
        <v>1</v>
      </c>
      <c r="E5" s="384">
        <v>0</v>
      </c>
      <c r="F5" s="384">
        <v>0</v>
      </c>
      <c r="G5" s="384">
        <v>0</v>
      </c>
      <c r="H5" s="384">
        <v>0</v>
      </c>
      <c r="I5" s="384">
        <v>0</v>
      </c>
      <c r="J5" s="384">
        <v>0</v>
      </c>
      <c r="K5" s="385">
        <v>0</v>
      </c>
      <c r="M5" s="227"/>
    </row>
    <row r="6" spans="1:13" ht="18" thickTop="1" thickBot="1">
      <c r="A6" s="378" t="s">
        <v>109</v>
      </c>
      <c r="B6" s="379">
        <f t="shared" ref="B6:H6" si="0">SUM(B4:B5)</f>
        <v>5</v>
      </c>
      <c r="C6" s="380">
        <f t="shared" si="0"/>
        <v>4</v>
      </c>
      <c r="D6" s="387">
        <f t="shared" si="0"/>
        <v>1</v>
      </c>
      <c r="E6" s="387">
        <f t="shared" si="0"/>
        <v>0</v>
      </c>
      <c r="F6" s="387">
        <f t="shared" si="0"/>
        <v>0</v>
      </c>
      <c r="G6" s="387">
        <f t="shared" si="0"/>
        <v>0</v>
      </c>
      <c r="H6" s="387">
        <f t="shared" si="0"/>
        <v>0</v>
      </c>
      <c r="I6" s="387">
        <f t="shared" ref="I6:J6" si="1">SUM(I4:I5)</f>
        <v>0</v>
      </c>
      <c r="J6" s="387">
        <f t="shared" si="1"/>
        <v>0</v>
      </c>
      <c r="K6" s="386">
        <f>SUM(K5:K5)</f>
        <v>0</v>
      </c>
      <c r="M6" s="25"/>
    </row>
    <row r="7" spans="1:13" ht="24" thickTop="1" thickBot="1">
      <c r="A7" s="399" t="s">
        <v>189</v>
      </c>
      <c r="B7" s="400">
        <f>10+LEFT(B3,1)+'Personal File'!$C$15</f>
        <v>12</v>
      </c>
      <c r="C7" s="400">
        <f>10+LEFT(C3,1)+'Personal File'!$C$15</f>
        <v>13</v>
      </c>
      <c r="D7" s="402">
        <f>10+LEFT(D3,1)+'Personal File'!$C$15</f>
        <v>14</v>
      </c>
      <c r="E7" s="402">
        <f>10+LEFT(E3,1)+'Personal File'!$C$15</f>
        <v>15</v>
      </c>
      <c r="F7" s="402">
        <f>10+LEFT(F3,1)+'Personal File'!$C$15</f>
        <v>16</v>
      </c>
      <c r="G7" s="402">
        <f>10+LEFT(G3,1)+'Personal File'!$C$15</f>
        <v>17</v>
      </c>
      <c r="H7" s="402">
        <f>10+LEFT(H3,1)+'Personal File'!$C$15</f>
        <v>18</v>
      </c>
      <c r="I7" s="402">
        <f>10+LEFT(I3,1)+'Personal File'!$C$15</f>
        <v>19</v>
      </c>
      <c r="J7" s="402">
        <f>10+LEFT(J3,1)+'Personal File'!$C$15</f>
        <v>20</v>
      </c>
      <c r="K7" s="403">
        <f>10+LEFT(K3,1)+'Personal File'!$C$15</f>
        <v>21</v>
      </c>
      <c r="M7" s="199" t="s">
        <v>85</v>
      </c>
    </row>
    <row r="8" spans="1:13" ht="17.399999999999999" thickBot="1">
      <c r="A8" s="378" t="s">
        <v>190</v>
      </c>
      <c r="B8" s="379">
        <v>0</v>
      </c>
      <c r="C8" s="379">
        <v>2</v>
      </c>
      <c r="D8" s="404" t="s">
        <v>131</v>
      </c>
      <c r="E8" s="404" t="s">
        <v>131</v>
      </c>
      <c r="F8" s="404" t="s">
        <v>131</v>
      </c>
      <c r="G8" s="404" t="s">
        <v>131</v>
      </c>
      <c r="H8" s="404" t="s">
        <v>131</v>
      </c>
      <c r="I8" s="404" t="s">
        <v>131</v>
      </c>
      <c r="J8" s="404" t="s">
        <v>131</v>
      </c>
      <c r="K8" s="401" t="s">
        <v>131</v>
      </c>
      <c r="M8" s="77" t="s">
        <v>86</v>
      </c>
    </row>
    <row r="9" spans="1:13" ht="17.399999999999999" thickTop="1">
      <c r="M9" s="8" t="s">
        <v>183</v>
      </c>
    </row>
    <row r="10" spans="1:13" ht="17.399999999999999" thickBot="1">
      <c r="A10" s="25"/>
      <c r="C10" s="18" t="s">
        <v>142</v>
      </c>
      <c r="D10" s="19">
        <f>'Personal File'!E3</f>
        <v>1</v>
      </c>
      <c r="M10" s="78" t="s">
        <v>119</v>
      </c>
    </row>
    <row r="11" spans="1:13" ht="18" thickTop="1" thickBot="1">
      <c r="M11" s="25"/>
    </row>
    <row r="12" spans="1:13" ht="24" thickTop="1" thickBot="1">
      <c r="M12" s="200" t="s">
        <v>70</v>
      </c>
    </row>
    <row r="13" spans="1:13" ht="17.399999999999999" thickBot="1">
      <c r="M13" s="79" t="s">
        <v>184</v>
      </c>
    </row>
    <row r="14" spans="1:13" ht="17.399999999999999" thickTop="1"/>
    <row r="27" s="381" customFormat="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workbookViewId="0"/>
  </sheetViews>
  <sheetFormatPr defaultColWidth="13" defaultRowHeight="15.6"/>
  <cols>
    <col min="1" max="1" width="21.8984375" style="81" bestFit="1" customWidth="1"/>
    <col min="2" max="2" width="8.5" style="81" bestFit="1" customWidth="1"/>
    <col min="3" max="3" width="4.296875" style="81" bestFit="1" customWidth="1"/>
    <col min="4" max="4" width="6.296875" style="81" bestFit="1" customWidth="1"/>
    <col min="5" max="5" width="8.09765625" style="81" bestFit="1" customWidth="1"/>
    <col min="6" max="6" width="9.8984375" style="81" bestFit="1" customWidth="1"/>
    <col min="7" max="7" width="4.3984375" style="81" bestFit="1" customWidth="1"/>
    <col min="8" max="8" width="4.69921875" style="81" bestFit="1" customWidth="1"/>
    <col min="9" max="9" width="5.69921875" style="81" bestFit="1" customWidth="1"/>
    <col min="10" max="10" width="6.296875" style="81" bestFit="1" customWidth="1"/>
    <col min="11" max="11" width="12.796875" style="81" bestFit="1" customWidth="1"/>
    <col min="12" max="12" width="1.3984375" style="15" customWidth="1"/>
    <col min="13" max="13" width="5.796875" style="15" bestFit="1" customWidth="1"/>
    <col min="14" max="16384" width="13" style="15"/>
  </cols>
  <sheetData>
    <row r="1" spans="1:13" ht="23.4" thickBot="1">
      <c r="A1" s="73" t="s">
        <v>15</v>
      </c>
      <c r="B1" s="73"/>
      <c r="C1" s="73"/>
      <c r="D1" s="73"/>
      <c r="E1" s="73"/>
      <c r="F1" s="73"/>
      <c r="G1" s="73"/>
      <c r="H1" s="73"/>
      <c r="I1" s="73"/>
      <c r="J1" s="73"/>
      <c r="K1" s="73"/>
    </row>
    <row r="2" spans="1:13" ht="16.8" thickTop="1" thickBot="1">
      <c r="A2" s="111" t="s">
        <v>1</v>
      </c>
      <c r="B2" s="112" t="s">
        <v>2</v>
      </c>
      <c r="C2" s="112" t="s">
        <v>19</v>
      </c>
      <c r="D2" s="112" t="s">
        <v>20</v>
      </c>
      <c r="E2" s="113" t="s">
        <v>53</v>
      </c>
      <c r="F2" s="112" t="s">
        <v>16</v>
      </c>
      <c r="G2" s="112" t="s">
        <v>21</v>
      </c>
      <c r="H2" s="114" t="s">
        <v>87</v>
      </c>
      <c r="I2" s="115" t="s">
        <v>111</v>
      </c>
      <c r="J2" s="114" t="s">
        <v>77</v>
      </c>
      <c r="K2" s="116" t="s">
        <v>75</v>
      </c>
      <c r="L2" s="162"/>
      <c r="M2" s="144" t="s">
        <v>126</v>
      </c>
    </row>
    <row r="3" spans="1:13">
      <c r="A3" s="86" t="s">
        <v>192</v>
      </c>
      <c r="B3" s="388" t="s">
        <v>193</v>
      </c>
      <c r="C3" s="388" t="str">
        <f>'Personal File'!$C$10</f>
        <v>+2</v>
      </c>
      <c r="D3" s="388">
        <v>0</v>
      </c>
      <c r="E3" s="389" t="s">
        <v>130</v>
      </c>
      <c r="F3" s="388" t="s">
        <v>194</v>
      </c>
      <c r="G3" s="390">
        <v>6</v>
      </c>
      <c r="H3" s="388" t="str">
        <f>CONCATENATE("+",'Personal File'!$B$8+'Personal File'!$C$10+D3)</f>
        <v>+2</v>
      </c>
      <c r="I3" s="391">
        <f t="shared" ref="I3:I9" ca="1" si="0">RANDBETWEEN(1,20)</f>
        <v>17</v>
      </c>
      <c r="J3" s="392">
        <f t="shared" ref="J3:J9" ca="1" si="1">I3+H3</f>
        <v>19</v>
      </c>
      <c r="K3" s="393"/>
      <c r="L3" s="162"/>
      <c r="M3" s="167">
        <v>35</v>
      </c>
    </row>
    <row r="4" spans="1:13">
      <c r="A4" s="410" t="s">
        <v>198</v>
      </c>
      <c r="B4" s="411" t="s">
        <v>127</v>
      </c>
      <c r="C4" s="411" t="str">
        <f>'Personal File'!$C$10</f>
        <v>+2</v>
      </c>
      <c r="D4" s="411">
        <v>0</v>
      </c>
      <c r="E4" s="412" t="s">
        <v>132</v>
      </c>
      <c r="F4" s="411" t="s">
        <v>238</v>
      </c>
      <c r="G4" s="413">
        <v>6</v>
      </c>
      <c r="H4" s="411" t="str">
        <f>CONCATENATE("+",'Personal File'!$B$8+'Personal File'!$C$10+D4)</f>
        <v>+2</v>
      </c>
      <c r="I4" s="414">
        <f t="shared" ca="1" si="0"/>
        <v>14</v>
      </c>
      <c r="J4" s="415">
        <f t="shared" ref="J4" ca="1" si="2">I4+H4</f>
        <v>16</v>
      </c>
      <c r="K4" s="416"/>
      <c r="L4" s="162"/>
      <c r="M4" s="167">
        <v>8</v>
      </c>
    </row>
    <row r="5" spans="1:13">
      <c r="A5" s="410" t="s">
        <v>199</v>
      </c>
      <c r="B5" s="411" t="s">
        <v>236</v>
      </c>
      <c r="C5" s="411" t="str">
        <f>'Personal File'!$C$10</f>
        <v>+2</v>
      </c>
      <c r="D5" s="411">
        <v>0</v>
      </c>
      <c r="E5" s="412" t="s">
        <v>130</v>
      </c>
      <c r="F5" s="411" t="s">
        <v>237</v>
      </c>
      <c r="G5" s="413">
        <v>1</v>
      </c>
      <c r="H5" s="411" t="str">
        <f>CONCATENATE("+",'Personal File'!$B$8+'Personal File'!$C$10+D5)</f>
        <v>+2</v>
      </c>
      <c r="I5" s="414">
        <f t="shared" ca="1" si="0"/>
        <v>8</v>
      </c>
      <c r="J5" s="415">
        <f t="shared" ref="J5" ca="1" si="3">I5+H5</f>
        <v>10</v>
      </c>
      <c r="K5" s="416"/>
      <c r="L5" s="162"/>
      <c r="M5" s="167">
        <v>2</v>
      </c>
    </row>
    <row r="6" spans="1:13">
      <c r="A6" s="410" t="s">
        <v>200</v>
      </c>
      <c r="B6" s="411" t="s">
        <v>236</v>
      </c>
      <c r="C6" s="411" t="str">
        <f>'Personal File'!$C$10</f>
        <v>+2</v>
      </c>
      <c r="D6" s="411">
        <v>0</v>
      </c>
      <c r="E6" s="412" t="s">
        <v>132</v>
      </c>
      <c r="F6" s="411" t="s">
        <v>239</v>
      </c>
      <c r="G6" s="413">
        <v>1</v>
      </c>
      <c r="H6" s="411" t="str">
        <f>CONCATENATE("+",'Personal File'!$B$8+'Personal File'!$C$10+D6)</f>
        <v>+2</v>
      </c>
      <c r="I6" s="414">
        <f t="shared" ca="1" si="0"/>
        <v>7</v>
      </c>
      <c r="J6" s="415">
        <f t="shared" ref="J6" ca="1" si="4">I6+H6</f>
        <v>9</v>
      </c>
      <c r="K6" s="416" t="s">
        <v>202</v>
      </c>
      <c r="L6" s="162"/>
      <c r="M6" s="167">
        <v>10</v>
      </c>
    </row>
    <row r="7" spans="1:13">
      <c r="A7" s="410" t="s">
        <v>201</v>
      </c>
      <c r="B7" s="411" t="s">
        <v>236</v>
      </c>
      <c r="C7" s="411" t="str">
        <f>'Personal File'!$C$10</f>
        <v>+2</v>
      </c>
      <c r="D7" s="411">
        <v>0</v>
      </c>
      <c r="E7" s="412" t="s">
        <v>132</v>
      </c>
      <c r="F7" s="411" t="s">
        <v>239</v>
      </c>
      <c r="G7" s="413">
        <v>1</v>
      </c>
      <c r="H7" s="411" t="str">
        <f>CONCATENATE("+",'Personal File'!$B$8+'Personal File'!$C$10+D7)</f>
        <v>+2</v>
      </c>
      <c r="I7" s="414">
        <f t="shared" ca="1" si="0"/>
        <v>17</v>
      </c>
      <c r="J7" s="415">
        <f t="shared" ref="J7" ca="1" si="5">I7+H7</f>
        <v>19</v>
      </c>
      <c r="K7" s="416" t="s">
        <v>203</v>
      </c>
      <c r="L7" s="162"/>
      <c r="M7" s="167">
        <v>25</v>
      </c>
    </row>
    <row r="8" spans="1:13">
      <c r="A8" s="183" t="s">
        <v>135</v>
      </c>
      <c r="B8" s="146" t="s">
        <v>136</v>
      </c>
      <c r="C8" s="225" t="str">
        <f>'Personal File'!$C$10</f>
        <v>+2</v>
      </c>
      <c r="D8" s="394" t="s">
        <v>51</v>
      </c>
      <c r="E8" s="394" t="s">
        <v>132</v>
      </c>
      <c r="F8" s="107" t="s">
        <v>137</v>
      </c>
      <c r="G8" s="395">
        <v>0</v>
      </c>
      <c r="H8" s="191" t="str">
        <f>CONCATENATE("+",'Personal File'!$B$8+'Personal File'!$C$10+D8)</f>
        <v>+2</v>
      </c>
      <c r="I8" s="161">
        <f t="shared" ca="1" si="0"/>
        <v>18</v>
      </c>
      <c r="J8" s="192">
        <f t="shared" ca="1" si="1"/>
        <v>20</v>
      </c>
      <c r="K8" s="396"/>
      <c r="M8" s="166" t="s">
        <v>131</v>
      </c>
    </row>
    <row r="9" spans="1:13" ht="16.2" thickBot="1">
      <c r="A9" s="187"/>
      <c r="B9" s="188"/>
      <c r="C9" s="188"/>
      <c r="D9" s="188"/>
      <c r="E9" s="189"/>
      <c r="F9" s="188"/>
      <c r="G9" s="190"/>
      <c r="H9" s="188"/>
      <c r="I9" s="131">
        <f t="shared" ca="1" si="0"/>
        <v>3</v>
      </c>
      <c r="J9" s="193">
        <f t="shared" ca="1" si="1"/>
        <v>3</v>
      </c>
      <c r="K9" s="194"/>
      <c r="M9" s="195" t="s">
        <v>131</v>
      </c>
    </row>
    <row r="10" spans="1:13" ht="6" customHeight="1" thickTop="1" thickBot="1"/>
    <row r="11" spans="1:13" ht="16.8" thickTop="1" thickBot="1">
      <c r="A11" s="111" t="s">
        <v>4</v>
      </c>
      <c r="B11" s="112" t="s">
        <v>5</v>
      </c>
      <c r="C11" s="112" t="s">
        <v>19</v>
      </c>
      <c r="D11" s="112" t="s">
        <v>20</v>
      </c>
      <c r="E11" s="113" t="s">
        <v>53</v>
      </c>
      <c r="F11" s="112" t="s">
        <v>6</v>
      </c>
      <c r="G11" s="112" t="s">
        <v>21</v>
      </c>
      <c r="H11" s="114" t="s">
        <v>87</v>
      </c>
      <c r="I11" s="115" t="s">
        <v>111</v>
      </c>
      <c r="J11" s="114" t="s">
        <v>77</v>
      </c>
      <c r="K11" s="116" t="s">
        <v>75</v>
      </c>
      <c r="L11" s="162"/>
      <c r="M11" s="144" t="s">
        <v>126</v>
      </c>
    </row>
    <row r="12" spans="1:13">
      <c r="A12" s="177" t="s">
        <v>146</v>
      </c>
      <c r="B12" s="178" t="s">
        <v>131</v>
      </c>
      <c r="C12" s="178" t="s">
        <v>131</v>
      </c>
      <c r="D12" s="178">
        <v>0</v>
      </c>
      <c r="E12" s="179" t="s">
        <v>131</v>
      </c>
      <c r="F12" s="178" t="s">
        <v>131</v>
      </c>
      <c r="G12" s="178" t="s">
        <v>131</v>
      </c>
      <c r="H12" s="178" t="str">
        <f>CONCATENATE("+",Feats!$D$10+D12)</f>
        <v>+1</v>
      </c>
      <c r="I12" s="161">
        <f ca="1">RANDBETWEEN(1,20)</f>
        <v>1</v>
      </c>
      <c r="J12" s="182">
        <f ca="1">I12+H12</f>
        <v>2</v>
      </c>
      <c r="K12" s="180"/>
      <c r="L12" s="162"/>
      <c r="M12" s="181" t="s">
        <v>131</v>
      </c>
    </row>
    <row r="13" spans="1:13">
      <c r="A13" s="183" t="s">
        <v>125</v>
      </c>
      <c r="B13" s="146" t="s">
        <v>127</v>
      </c>
      <c r="C13" s="184" t="s">
        <v>51</v>
      </c>
      <c r="D13" s="184" t="s">
        <v>51</v>
      </c>
      <c r="E13" s="146" t="s">
        <v>130</v>
      </c>
      <c r="F13" s="184" t="s">
        <v>138</v>
      </c>
      <c r="G13" s="185">
        <v>4</v>
      </c>
      <c r="H13" s="147" t="str">
        <f>CONCATENATE("+",'Personal File'!$B$8+'Personal File'!$C$11+D13)</f>
        <v>+1</v>
      </c>
      <c r="I13" s="161">
        <f ca="1">RANDBETWEEN(1,20)</f>
        <v>20</v>
      </c>
      <c r="J13" s="150">
        <f ca="1">I13+H13</f>
        <v>21</v>
      </c>
      <c r="K13" s="186"/>
      <c r="L13" s="162"/>
      <c r="M13" s="165">
        <v>35</v>
      </c>
    </row>
    <row r="14" spans="1:13">
      <c r="A14" s="183" t="s">
        <v>206</v>
      </c>
      <c r="B14" s="494" t="s">
        <v>288</v>
      </c>
      <c r="C14" s="184" t="s">
        <v>51</v>
      </c>
      <c r="D14" s="184" t="s">
        <v>51</v>
      </c>
      <c r="E14" s="146">
        <v>20</v>
      </c>
      <c r="F14" s="184" t="s">
        <v>235</v>
      </c>
      <c r="G14" s="185">
        <v>1</v>
      </c>
      <c r="H14" s="147" t="str">
        <f>CONCATENATE("+",'Personal File'!$B$8+'Personal File'!$C$11+D14)</f>
        <v>+1</v>
      </c>
      <c r="I14" s="161">
        <f ca="1">RANDBETWEEN(1,20)</f>
        <v>20</v>
      </c>
      <c r="J14" s="150">
        <f ca="1">I14+H14</f>
        <v>21</v>
      </c>
      <c r="K14" s="186"/>
      <c r="L14" s="162"/>
      <c r="M14" s="165">
        <v>10</v>
      </c>
    </row>
    <row r="15" spans="1:13">
      <c r="A15" s="183" t="s">
        <v>207</v>
      </c>
      <c r="B15" s="495" t="s">
        <v>288</v>
      </c>
      <c r="C15" s="184" t="s">
        <v>51</v>
      </c>
      <c r="D15" s="184" t="s">
        <v>51</v>
      </c>
      <c r="E15" s="146">
        <v>20</v>
      </c>
      <c r="F15" s="184" t="s">
        <v>235</v>
      </c>
      <c r="G15" s="185">
        <v>1</v>
      </c>
      <c r="H15" s="147" t="str">
        <f>CONCATENATE("+",'Personal File'!$B$8+'Personal File'!$C$11+D15)</f>
        <v>+1</v>
      </c>
      <c r="I15" s="161">
        <f ca="1">RANDBETWEEN(1,20)</f>
        <v>1</v>
      </c>
      <c r="J15" s="150">
        <f ca="1">I15+H15</f>
        <v>2</v>
      </c>
      <c r="K15" s="186"/>
      <c r="L15" s="162"/>
      <c r="M15" s="165">
        <v>20</v>
      </c>
    </row>
    <row r="16" spans="1:13" ht="16.2" thickBot="1">
      <c r="A16" s="417" t="s">
        <v>147</v>
      </c>
      <c r="B16" s="188" t="s">
        <v>131</v>
      </c>
      <c r="C16" s="188" t="s">
        <v>131</v>
      </c>
      <c r="D16" s="188">
        <v>0</v>
      </c>
      <c r="E16" s="189" t="s">
        <v>131</v>
      </c>
      <c r="F16" s="188" t="s">
        <v>131</v>
      </c>
      <c r="G16" s="188" t="s">
        <v>131</v>
      </c>
      <c r="H16" s="188" t="str">
        <f>CONCATENATE("+",'Personal File'!$B$8+'Personal File'!$C$11+D16)</f>
        <v>+1</v>
      </c>
      <c r="I16" s="131">
        <f ca="1">RANDBETWEEN(1,20)</f>
        <v>7</v>
      </c>
      <c r="J16" s="193">
        <f ca="1">I16+H16</f>
        <v>8</v>
      </c>
      <c r="K16" s="418"/>
      <c r="L16" s="162"/>
      <c r="M16" s="419" t="s">
        <v>131</v>
      </c>
    </row>
    <row r="17" spans="1:13" ht="6" customHeight="1" thickTop="1" thickBot="1">
      <c r="D17" s="117"/>
      <c r="E17" s="117"/>
      <c r="G17" s="110"/>
      <c r="H17" s="110"/>
      <c r="I17" s="110"/>
      <c r="J17" s="110"/>
      <c r="L17" s="162"/>
    </row>
    <row r="18" spans="1:13" ht="16.8" thickTop="1" thickBot="1">
      <c r="A18" s="111" t="s">
        <v>58</v>
      </c>
      <c r="B18" s="112" t="s">
        <v>9</v>
      </c>
      <c r="C18" s="112" t="s">
        <v>24</v>
      </c>
      <c r="D18" s="112" t="s">
        <v>77</v>
      </c>
      <c r="E18" s="112" t="s">
        <v>78</v>
      </c>
      <c r="F18" s="112" t="s">
        <v>79</v>
      </c>
      <c r="G18" s="112" t="s">
        <v>21</v>
      </c>
      <c r="H18" s="118" t="s">
        <v>75</v>
      </c>
      <c r="I18" s="119"/>
      <c r="J18" s="119"/>
      <c r="K18" s="120"/>
      <c r="L18" s="162"/>
      <c r="M18" s="144" t="s">
        <v>126</v>
      </c>
    </row>
    <row r="19" spans="1:13">
      <c r="A19" s="86" t="s">
        <v>197</v>
      </c>
      <c r="B19" s="134">
        <v>4</v>
      </c>
      <c r="C19" s="133">
        <v>5</v>
      </c>
      <c r="D19" s="134">
        <v>-1</v>
      </c>
      <c r="E19" s="135">
        <v>0.2</v>
      </c>
      <c r="F19" s="133" t="s">
        <v>113</v>
      </c>
      <c r="G19" s="136">
        <v>25</v>
      </c>
      <c r="H19" s="137"/>
      <c r="I19" s="121"/>
      <c r="J19" s="121"/>
      <c r="K19" s="122"/>
      <c r="M19" s="165">
        <v>250</v>
      </c>
    </row>
    <row r="20" spans="1:13" ht="16.2" thickBot="1">
      <c r="A20" s="99"/>
      <c r="B20" s="130"/>
      <c r="C20" s="196"/>
      <c r="D20" s="130"/>
      <c r="E20" s="197"/>
      <c r="F20" s="196"/>
      <c r="G20" s="132"/>
      <c r="H20" s="138"/>
      <c r="I20" s="123"/>
      <c r="J20" s="123"/>
      <c r="K20" s="198"/>
      <c r="M20" s="168"/>
    </row>
    <row r="21" spans="1:13" ht="6.75" customHeight="1" thickTop="1" thickBot="1"/>
    <row r="22" spans="1:13" ht="16.8" thickTop="1" thickBot="1">
      <c r="D22" s="124" t="s">
        <v>59</v>
      </c>
      <c r="E22" s="125"/>
      <c r="F22" s="118" t="s">
        <v>3</v>
      </c>
      <c r="G22" s="112" t="s">
        <v>21</v>
      </c>
      <c r="H22" s="114" t="s">
        <v>87</v>
      </c>
      <c r="I22" s="118" t="s">
        <v>75</v>
      </c>
      <c r="J22" s="119"/>
      <c r="K22" s="120"/>
      <c r="M22" s="144" t="s">
        <v>126</v>
      </c>
    </row>
    <row r="23" spans="1:13" ht="16.2" thickBot="1">
      <c r="D23" s="126" t="s">
        <v>123</v>
      </c>
      <c r="E23" s="139"/>
      <c r="F23" s="140">
        <v>10</v>
      </c>
      <c r="G23" s="141">
        <f>F23/10</f>
        <v>1</v>
      </c>
      <c r="H23" s="142" t="s">
        <v>124</v>
      </c>
      <c r="I23" s="143"/>
      <c r="J23" s="127"/>
      <c r="K23" s="128"/>
      <c r="M23" s="409">
        <f>F23/10</f>
        <v>1</v>
      </c>
    </row>
    <row r="24" spans="1:13" ht="16.8" thickTop="1" thickBot="1"/>
    <row r="25" spans="1:13" ht="16.8" thickTop="1" thickBot="1">
      <c r="D25" s="124" t="s">
        <v>149</v>
      </c>
      <c r="E25" s="119"/>
      <c r="F25" s="119"/>
      <c r="G25" s="119"/>
      <c r="H25" s="210" t="s">
        <v>3</v>
      </c>
      <c r="I25" s="210" t="s">
        <v>0</v>
      </c>
      <c r="J25" s="210" t="s">
        <v>150</v>
      </c>
      <c r="K25" s="120" t="s">
        <v>75</v>
      </c>
      <c r="L25" s="162"/>
      <c r="M25" s="211" t="s">
        <v>126</v>
      </c>
    </row>
    <row r="26" spans="1:13">
      <c r="D26" s="213"/>
      <c r="E26" s="214"/>
      <c r="F26" s="214"/>
      <c r="G26" s="215"/>
      <c r="H26" s="216"/>
      <c r="I26" s="149"/>
      <c r="J26" s="149"/>
      <c r="K26" s="217"/>
      <c r="L26" s="162"/>
      <c r="M26" s="212"/>
    </row>
    <row r="27" spans="1:13" ht="16.2" thickBot="1">
      <c r="D27" s="218"/>
      <c r="E27" s="219"/>
      <c r="F27" s="219"/>
      <c r="G27" s="220"/>
      <c r="H27" s="221"/>
      <c r="I27" s="222"/>
      <c r="J27" s="222"/>
      <c r="K27" s="223"/>
      <c r="L27" s="162"/>
      <c r="M27" s="224"/>
    </row>
    <row r="28" spans="1:13" ht="16.2" thickTop="1"/>
  </sheetData>
  <sortState xmlns:xlrd2="http://schemas.microsoft.com/office/spreadsheetml/2017/richdata2" ref="A2:M3">
    <sortCondition ref="A3"/>
  </sortState>
  <phoneticPr fontId="0" type="noConversion"/>
  <conditionalFormatting sqref="I8:I9 I12:I13 I16">
    <cfRule type="cellIs" dxfId="11" priority="21" operator="equal">
      <formula>20</formula>
    </cfRule>
  </conditionalFormatting>
  <conditionalFormatting sqref="I9 I13">
    <cfRule type="cellIs" dxfId="10" priority="20" operator="equal">
      <formula>19</formula>
    </cfRule>
  </conditionalFormatting>
  <conditionalFormatting sqref="I3:I4">
    <cfRule type="cellIs" dxfId="9" priority="18" operator="equal">
      <formula>20</formula>
    </cfRule>
  </conditionalFormatting>
  <conditionalFormatting sqref="I5">
    <cfRule type="cellIs" dxfId="8" priority="7" operator="equal">
      <formula>20</formula>
    </cfRule>
  </conditionalFormatting>
  <conditionalFormatting sqref="I6">
    <cfRule type="cellIs" dxfId="7" priority="6" operator="equal">
      <formula>20</formula>
    </cfRule>
  </conditionalFormatting>
  <conditionalFormatting sqref="I7">
    <cfRule type="cellIs" dxfId="6" priority="5" operator="equal">
      <formula>20</formula>
    </cfRule>
  </conditionalFormatting>
  <conditionalFormatting sqref="I14">
    <cfRule type="cellIs" dxfId="5" priority="4" operator="equal">
      <formula>20</formula>
    </cfRule>
  </conditionalFormatting>
  <conditionalFormatting sqref="I14">
    <cfRule type="cellIs" dxfId="4" priority="3" operator="equal">
      <formula>19</formula>
    </cfRule>
  </conditionalFormatting>
  <conditionalFormatting sqref="I15">
    <cfRule type="cellIs" dxfId="3" priority="2" operator="equal">
      <formula>20</formula>
    </cfRule>
  </conditionalFormatting>
  <conditionalFormatting sqref="I15">
    <cfRule type="cellIs" dxfId="2" priority="1" operator="equal">
      <formula>19</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5"/>
  <sheetViews>
    <sheetView showGridLines="0" workbookViewId="0"/>
  </sheetViews>
  <sheetFormatPr defaultColWidth="7.8984375" defaultRowHeight="15.6"/>
  <cols>
    <col min="1" max="1" width="28.796875" style="81" bestFit="1" customWidth="1"/>
    <col min="2" max="2" width="4.69921875" style="81" bestFit="1" customWidth="1"/>
    <col min="3" max="3" width="5.3984375" style="110" bestFit="1" customWidth="1"/>
    <col min="4" max="5" width="18.09765625" style="15" customWidth="1"/>
    <col min="6" max="6" width="1.19921875" style="81" customWidth="1"/>
    <col min="7" max="7" width="5.796875" style="15" bestFit="1" customWidth="1"/>
    <col min="8" max="16384" width="7.8984375" style="15"/>
  </cols>
  <sheetData>
    <row r="1" spans="1:7" ht="23.4" thickBot="1">
      <c r="A1" s="73" t="s">
        <v>72</v>
      </c>
      <c r="B1" s="73"/>
      <c r="C1" s="80"/>
      <c r="D1" s="73"/>
      <c r="E1" s="73"/>
    </row>
    <row r="2" spans="1:7" s="81" customFormat="1" ht="16.8" thickTop="1" thickBot="1">
      <c r="A2" s="82" t="s">
        <v>73</v>
      </c>
      <c r="B2" s="82" t="s">
        <v>3</v>
      </c>
      <c r="C2" s="83" t="s">
        <v>21</v>
      </c>
      <c r="D2" s="84" t="s">
        <v>74</v>
      </c>
      <c r="E2" s="85" t="s">
        <v>75</v>
      </c>
      <c r="F2" s="89"/>
      <c r="G2" s="145" t="s">
        <v>126</v>
      </c>
    </row>
    <row r="3" spans="1:7">
      <c r="A3" s="86" t="s">
        <v>205</v>
      </c>
      <c r="B3" s="106">
        <v>1</v>
      </c>
      <c r="C3" s="159">
        <v>2</v>
      </c>
      <c r="D3" s="87"/>
      <c r="E3" s="88"/>
      <c r="G3" s="155">
        <v>2</v>
      </c>
    </row>
    <row r="4" spans="1:7">
      <c r="A4" s="94" t="s">
        <v>128</v>
      </c>
      <c r="B4" s="95">
        <v>1</v>
      </c>
      <c r="C4" s="96">
        <v>2</v>
      </c>
      <c r="D4" s="97"/>
      <c r="E4" s="98"/>
      <c r="G4" s="155">
        <v>5</v>
      </c>
    </row>
    <row r="5" spans="1:7">
      <c r="A5" s="94" t="s">
        <v>228</v>
      </c>
      <c r="B5" s="95">
        <v>1</v>
      </c>
      <c r="C5" s="96" t="s">
        <v>229</v>
      </c>
      <c r="D5" s="97"/>
      <c r="E5" s="98"/>
      <c r="G5" s="155" t="s">
        <v>134</v>
      </c>
    </row>
    <row r="6" spans="1:7" ht="16.2" thickBot="1">
      <c r="A6" s="99" t="s">
        <v>204</v>
      </c>
      <c r="B6" s="172">
        <v>1</v>
      </c>
      <c r="C6" s="101">
        <v>1</v>
      </c>
      <c r="D6" s="102"/>
      <c r="E6" s="103"/>
      <c r="G6" s="156">
        <v>25</v>
      </c>
    </row>
    <row r="7" spans="1:7" ht="24" thickTop="1" thickBot="1">
      <c r="A7" s="73" t="s">
        <v>76</v>
      </c>
      <c r="B7" s="73"/>
      <c r="C7" s="104"/>
      <c r="D7" s="73"/>
      <c r="E7" s="105"/>
      <c r="G7" s="157"/>
    </row>
    <row r="8" spans="1:7" ht="16.8" thickTop="1" thickBot="1">
      <c r="A8" s="82" t="s">
        <v>73</v>
      </c>
      <c r="B8" s="82" t="s">
        <v>3</v>
      </c>
      <c r="C8" s="83" t="s">
        <v>21</v>
      </c>
      <c r="D8" s="84" t="s">
        <v>74</v>
      </c>
      <c r="E8" s="85" t="s">
        <v>75</v>
      </c>
      <c r="F8" s="89"/>
      <c r="G8" s="158" t="s">
        <v>126</v>
      </c>
    </row>
    <row r="9" spans="1:7">
      <c r="A9" s="90" t="s">
        <v>210</v>
      </c>
      <c r="B9" s="107">
        <v>32</v>
      </c>
      <c r="C9" s="108">
        <f>B9/100</f>
        <v>0.32</v>
      </c>
      <c r="D9" s="92"/>
      <c r="E9" s="93"/>
      <c r="F9" s="89"/>
      <c r="G9" s="155">
        <f>B9</f>
        <v>32</v>
      </c>
    </row>
    <row r="10" spans="1:7">
      <c r="A10" s="235" t="s">
        <v>211</v>
      </c>
      <c r="B10" s="236">
        <v>4</v>
      </c>
      <c r="C10" s="237">
        <f>B10/10</f>
        <v>0.4</v>
      </c>
      <c r="D10" s="238"/>
      <c r="E10" s="239"/>
      <c r="F10" s="89"/>
      <c r="G10" s="155">
        <f>8*B10</f>
        <v>32</v>
      </c>
    </row>
    <row r="11" spans="1:7">
      <c r="A11" s="240" t="s">
        <v>214</v>
      </c>
      <c r="B11" s="241">
        <v>1</v>
      </c>
      <c r="C11" s="237">
        <f>B11/10</f>
        <v>0.1</v>
      </c>
      <c r="D11" s="242"/>
      <c r="E11" s="160"/>
      <c r="F11"/>
      <c r="G11" s="243">
        <f>50*B11</f>
        <v>50</v>
      </c>
    </row>
    <row r="12" spans="1:7">
      <c r="A12" s="240" t="s">
        <v>213</v>
      </c>
      <c r="B12" s="241">
        <v>4</v>
      </c>
      <c r="C12" s="91">
        <v>0</v>
      </c>
      <c r="D12" s="242"/>
      <c r="E12" s="160"/>
      <c r="F12"/>
      <c r="G12" s="243">
        <v>0</v>
      </c>
    </row>
    <row r="13" spans="1:7">
      <c r="A13" s="240" t="s">
        <v>208</v>
      </c>
      <c r="B13" s="241">
        <v>1</v>
      </c>
      <c r="C13" s="91">
        <v>3</v>
      </c>
      <c r="D13" s="242" t="s">
        <v>209</v>
      </c>
      <c r="E13" s="160"/>
      <c r="F13"/>
      <c r="G13" s="243">
        <v>15</v>
      </c>
    </row>
    <row r="14" spans="1:7" ht="16.2" thickBot="1">
      <c r="A14" s="99"/>
      <c r="B14" s="100"/>
      <c r="C14" s="109"/>
      <c r="D14" s="102"/>
      <c r="E14" s="103"/>
      <c r="F14" s="89"/>
      <c r="G14" s="156"/>
    </row>
    <row r="15" spans="1:7" ht="24" thickTop="1" thickBot="1">
      <c r="A15" s="73" t="s">
        <v>212</v>
      </c>
      <c r="B15" s="73"/>
      <c r="C15" s="104"/>
      <c r="D15" s="73"/>
      <c r="E15" s="105"/>
      <c r="G15" s="157"/>
    </row>
    <row r="16" spans="1:7" ht="16.8" thickTop="1" thickBot="1">
      <c r="A16" s="82" t="s">
        <v>73</v>
      </c>
      <c r="B16" s="82" t="s">
        <v>3</v>
      </c>
      <c r="C16" s="83" t="s">
        <v>21</v>
      </c>
      <c r="D16" s="84" t="s">
        <v>74</v>
      </c>
      <c r="E16" s="85" t="s">
        <v>75</v>
      </c>
      <c r="F16" s="89"/>
      <c r="G16" s="158" t="s">
        <v>126</v>
      </c>
    </row>
    <row r="17" spans="1:7">
      <c r="A17" s="90" t="s">
        <v>215</v>
      </c>
      <c r="B17" s="107">
        <v>1</v>
      </c>
      <c r="C17" s="108">
        <v>15</v>
      </c>
      <c r="D17" s="92"/>
      <c r="E17" s="93"/>
      <c r="F17" s="89"/>
      <c r="G17" s="155">
        <v>5</v>
      </c>
    </row>
    <row r="18" spans="1:7">
      <c r="A18" s="235" t="s">
        <v>216</v>
      </c>
      <c r="B18" s="420">
        <v>1</v>
      </c>
      <c r="C18" s="421">
        <v>1</v>
      </c>
      <c r="D18" s="422"/>
      <c r="E18" s="423"/>
      <c r="F18" s="89"/>
      <c r="G18" s="155">
        <v>2</v>
      </c>
    </row>
    <row r="19" spans="1:7">
      <c r="A19" s="235" t="s">
        <v>217</v>
      </c>
      <c r="B19" s="420">
        <v>1</v>
      </c>
      <c r="C19" s="421">
        <v>5</v>
      </c>
      <c r="D19" s="422"/>
      <c r="E19" s="423"/>
      <c r="F19" s="89"/>
      <c r="G19" s="155">
        <v>1</v>
      </c>
    </row>
    <row r="20" spans="1:7">
      <c r="A20" s="235" t="s">
        <v>218</v>
      </c>
      <c r="B20" s="420">
        <v>1</v>
      </c>
      <c r="C20" s="421">
        <v>3</v>
      </c>
      <c r="D20" s="422"/>
      <c r="E20" s="423"/>
      <c r="F20" s="89"/>
      <c r="G20" s="155">
        <v>0.5</v>
      </c>
    </row>
    <row r="21" spans="1:7">
      <c r="A21" s="235" t="s">
        <v>219</v>
      </c>
      <c r="B21" s="420">
        <v>1</v>
      </c>
      <c r="C21" s="421">
        <f>4*B21</f>
        <v>4</v>
      </c>
      <c r="D21" s="422"/>
      <c r="E21" s="423"/>
      <c r="F21" s="89"/>
      <c r="G21" s="155">
        <f>B21</f>
        <v>1</v>
      </c>
    </row>
    <row r="22" spans="1:7">
      <c r="A22" s="235" t="s">
        <v>220</v>
      </c>
      <c r="B22" s="420">
        <v>1</v>
      </c>
      <c r="C22" s="421">
        <v>5</v>
      </c>
      <c r="D22" s="422"/>
      <c r="E22" s="423"/>
      <c r="F22" s="89"/>
      <c r="G22" s="155">
        <v>55</v>
      </c>
    </row>
    <row r="23" spans="1:7">
      <c r="A23" s="235" t="s">
        <v>221</v>
      </c>
      <c r="B23" s="420">
        <v>10</v>
      </c>
      <c r="C23" s="421">
        <f>B23*10</f>
        <v>100</v>
      </c>
      <c r="D23" s="422"/>
      <c r="E23" s="423"/>
      <c r="F23" s="89"/>
      <c r="G23" s="425">
        <f>0.05*B23</f>
        <v>0.5</v>
      </c>
    </row>
    <row r="24" spans="1:7">
      <c r="A24" s="235" t="s">
        <v>222</v>
      </c>
      <c r="B24" s="420">
        <v>10</v>
      </c>
      <c r="C24" s="421">
        <f>B24</f>
        <v>10</v>
      </c>
      <c r="D24" s="422"/>
      <c r="E24" s="423"/>
      <c r="F24" s="89"/>
      <c r="G24" s="155">
        <f>B24</f>
        <v>10</v>
      </c>
    </row>
    <row r="25" spans="1:7">
      <c r="A25" s="235" t="s">
        <v>223</v>
      </c>
      <c r="B25" s="420">
        <v>10</v>
      </c>
      <c r="C25" s="421">
        <f>B25</f>
        <v>10</v>
      </c>
      <c r="D25" s="422"/>
      <c r="E25" s="423"/>
      <c r="F25" s="89"/>
      <c r="G25" s="424">
        <f>B25/10</f>
        <v>1</v>
      </c>
    </row>
    <row r="26" spans="1:7">
      <c r="A26" s="235" t="s">
        <v>224</v>
      </c>
      <c r="B26" s="420">
        <v>1</v>
      </c>
      <c r="C26" s="421">
        <v>0</v>
      </c>
      <c r="D26" s="422"/>
      <c r="E26" s="423"/>
      <c r="F26" s="89"/>
      <c r="G26" s="424">
        <v>0.1</v>
      </c>
    </row>
    <row r="27" spans="1:7">
      <c r="A27" s="235" t="s">
        <v>225</v>
      </c>
      <c r="B27" s="420">
        <v>1</v>
      </c>
      <c r="C27" s="421">
        <v>10</v>
      </c>
      <c r="D27" s="422"/>
      <c r="E27" s="423"/>
      <c r="F27" s="89"/>
      <c r="G27" s="155">
        <v>5</v>
      </c>
    </row>
    <row r="28" spans="1:7">
      <c r="A28" s="235" t="s">
        <v>226</v>
      </c>
      <c r="B28" s="236">
        <v>1</v>
      </c>
      <c r="C28" s="237">
        <v>10</v>
      </c>
      <c r="D28" s="238"/>
      <c r="E28" s="239"/>
      <c r="F28" s="89"/>
      <c r="G28" s="155">
        <v>1</v>
      </c>
    </row>
    <row r="29" spans="1:7">
      <c r="A29" s="240" t="s">
        <v>227</v>
      </c>
      <c r="B29" s="241">
        <v>1</v>
      </c>
      <c r="C29" s="91">
        <v>8</v>
      </c>
      <c r="D29" s="242"/>
      <c r="E29" s="160"/>
      <c r="F29"/>
      <c r="G29" s="243">
        <v>2</v>
      </c>
    </row>
    <row r="30" spans="1:7">
      <c r="A30" s="240" t="s">
        <v>230</v>
      </c>
      <c r="B30" s="241">
        <v>1</v>
      </c>
      <c r="C30" s="91">
        <v>4</v>
      </c>
      <c r="D30" s="242"/>
      <c r="E30" s="160"/>
      <c r="F30"/>
      <c r="G30" s="243">
        <v>1</v>
      </c>
    </row>
    <row r="31" spans="1:7">
      <c r="A31" s="240" t="s">
        <v>133</v>
      </c>
      <c r="B31" s="241">
        <v>1</v>
      </c>
      <c r="C31" s="91">
        <v>5</v>
      </c>
      <c r="D31" s="242" t="s">
        <v>231</v>
      </c>
      <c r="E31" s="160"/>
      <c r="F31"/>
      <c r="G31" s="243">
        <v>2</v>
      </c>
    </row>
    <row r="32" spans="1:7">
      <c r="A32" s="240" t="s">
        <v>133</v>
      </c>
      <c r="B32" s="241">
        <v>1</v>
      </c>
      <c r="C32" s="91">
        <v>5</v>
      </c>
      <c r="D32" s="242" t="s">
        <v>232</v>
      </c>
      <c r="E32" s="160"/>
      <c r="F32"/>
      <c r="G32" s="243">
        <v>2</v>
      </c>
    </row>
    <row r="33" spans="1:7" ht="16.2" thickBot="1">
      <c r="A33" s="99" t="s">
        <v>233</v>
      </c>
      <c r="B33" s="100">
        <v>5</v>
      </c>
      <c r="C33" s="109">
        <f>B33</f>
        <v>5</v>
      </c>
      <c r="D33" s="102"/>
      <c r="E33" s="103"/>
      <c r="F33" s="89"/>
      <c r="G33" s="426">
        <f>B33/2</f>
        <v>2.5</v>
      </c>
    </row>
    <row r="34" spans="1:7" ht="16.8" thickTop="1" thickBot="1">
      <c r="A34" s="427" t="s">
        <v>234</v>
      </c>
      <c r="B34" s="428"/>
      <c r="C34" s="83">
        <f>SUM(C17:C33)</f>
        <v>200</v>
      </c>
    </row>
    <row r="35" spans="1:7">
      <c r="E35" s="57" t="s">
        <v>129</v>
      </c>
      <c r="G35" s="163">
        <f>SUM(G3:G33,Martial!M3:M27)</f>
        <v>648.6</v>
      </c>
    </row>
  </sheetData>
  <sortState xmlns:xlrd2="http://schemas.microsoft.com/office/spreadsheetml/2017/richdata2" ref="A7:G13">
    <sortCondition ref="A7:A13"/>
  </sortState>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2B7F-15F3-44D0-A5F3-CC2F03D5711E}">
  <dimension ref="A1:G14"/>
  <sheetViews>
    <sheetView showGridLines="0" workbookViewId="0"/>
  </sheetViews>
  <sheetFormatPr defaultColWidth="13" defaultRowHeight="15.6"/>
  <cols>
    <col min="1" max="1" width="13.296875" style="431" bestFit="1" customWidth="1"/>
    <col min="2" max="2" width="10.69921875" style="430" customWidth="1"/>
    <col min="3" max="3" width="5.5" style="430" customWidth="1"/>
    <col min="4" max="4" width="13.69921875" style="431" bestFit="1" customWidth="1"/>
    <col min="5" max="5" width="9.59765625" style="430" bestFit="1" customWidth="1"/>
    <col min="6" max="6" width="11.8984375" style="431" customWidth="1"/>
    <col min="7" max="7" width="11.8984375" style="430" customWidth="1"/>
    <col min="8" max="16384" width="13" style="429"/>
  </cols>
  <sheetData>
    <row r="1" spans="1:7" ht="29.4" thickTop="1" thickBot="1">
      <c r="A1" s="480" t="s">
        <v>264</v>
      </c>
      <c r="B1" s="479"/>
      <c r="C1" s="479"/>
      <c r="D1" s="478"/>
      <c r="E1" s="478"/>
      <c r="F1" s="477"/>
      <c r="G1" s="476" t="s">
        <v>257</v>
      </c>
    </row>
    <row r="2" spans="1:7" ht="17.399999999999999" thickTop="1">
      <c r="A2" s="440" t="s">
        <v>256</v>
      </c>
      <c r="B2" s="475" t="s">
        <v>258</v>
      </c>
      <c r="C2" s="475"/>
      <c r="D2" s="473" t="s">
        <v>255</v>
      </c>
      <c r="E2" s="474" t="s">
        <v>265</v>
      </c>
      <c r="F2" s="473" t="s">
        <v>254</v>
      </c>
      <c r="G2" s="472" t="s">
        <v>260</v>
      </c>
    </row>
    <row r="3" spans="1:7" ht="17.399999999999999" thickBot="1">
      <c r="A3" s="471"/>
      <c r="B3" s="470"/>
      <c r="C3" s="469"/>
      <c r="D3" s="467" t="s">
        <v>253</v>
      </c>
      <c r="E3" s="468" t="s">
        <v>259</v>
      </c>
      <c r="F3" s="467" t="s">
        <v>252</v>
      </c>
      <c r="G3" s="466" t="s">
        <v>113</v>
      </c>
    </row>
    <row r="4" spans="1:7" ht="17.399999999999999" thickTop="1">
      <c r="A4" s="465" t="s">
        <v>251</v>
      </c>
      <c r="B4" s="464">
        <v>16</v>
      </c>
      <c r="C4" s="463" t="str">
        <f t="shared" ref="C4:C9" si="0">IF(B4&gt;9.9,CONCATENATE("+",ROUNDDOWN((B4-10)/2,0)),ROUNDUP((B4-10)/2,0))</f>
        <v>+3</v>
      </c>
      <c r="D4" s="453" t="s">
        <v>250</v>
      </c>
      <c r="E4" s="462">
        <v>22</v>
      </c>
      <c r="F4" s="461">
        <v>22</v>
      </c>
      <c r="G4" s="460"/>
    </row>
    <row r="5" spans="1:7" ht="16.8">
      <c r="A5" s="459" t="s">
        <v>249</v>
      </c>
      <c r="B5" s="450">
        <v>13</v>
      </c>
      <c r="C5" s="454" t="str">
        <f t="shared" si="0"/>
        <v>+1</v>
      </c>
      <c r="D5" s="458" t="s">
        <v>248</v>
      </c>
      <c r="E5" s="447" t="s">
        <v>261</v>
      </c>
      <c r="F5" s="447" t="s">
        <v>262</v>
      </c>
      <c r="G5" s="438"/>
    </row>
    <row r="6" spans="1:7" ht="16.8">
      <c r="A6" s="457" t="s">
        <v>247</v>
      </c>
      <c r="B6" s="450">
        <v>17</v>
      </c>
      <c r="C6" s="454" t="str">
        <f t="shared" si="0"/>
        <v>+3</v>
      </c>
      <c r="D6" s="453" t="s">
        <v>246</v>
      </c>
      <c r="E6" s="452">
        <v>2</v>
      </c>
      <c r="F6" s="456"/>
      <c r="G6" s="438"/>
    </row>
    <row r="7" spans="1:7" ht="16.8">
      <c r="A7" s="455" t="s">
        <v>245</v>
      </c>
      <c r="B7" s="450">
        <v>2</v>
      </c>
      <c r="C7" s="454">
        <f t="shared" si="0"/>
        <v>-4</v>
      </c>
      <c r="D7" s="453" t="s">
        <v>244</v>
      </c>
      <c r="E7" s="452">
        <v>6</v>
      </c>
      <c r="F7" s="441"/>
      <c r="G7" s="438"/>
    </row>
    <row r="8" spans="1:7" ht="16.8">
      <c r="A8" s="451" t="s">
        <v>243</v>
      </c>
      <c r="B8" s="450">
        <v>11</v>
      </c>
      <c r="C8" s="449" t="str">
        <f t="shared" si="0"/>
        <v>+0</v>
      </c>
      <c r="D8" s="448" t="s">
        <v>242</v>
      </c>
      <c r="E8" s="447" t="s">
        <v>263</v>
      </c>
      <c r="F8" s="441"/>
      <c r="G8" s="438"/>
    </row>
    <row r="9" spans="1:7" ht="17.399999999999999" thickBot="1">
      <c r="A9" s="446" t="s">
        <v>241</v>
      </c>
      <c r="B9" s="445">
        <v>6</v>
      </c>
      <c r="C9" s="444">
        <f t="shared" si="0"/>
        <v>-2</v>
      </c>
      <c r="D9" s="443" t="s">
        <v>240</v>
      </c>
      <c r="E9" s="442">
        <v>1</v>
      </c>
      <c r="F9" s="441"/>
      <c r="G9" s="438"/>
    </row>
    <row r="10" spans="1:7" ht="17.399999999999999" thickTop="1">
      <c r="A10" s="440"/>
      <c r="B10" s="436"/>
      <c r="C10" s="436"/>
      <c r="D10" s="436"/>
      <c r="E10" s="435"/>
      <c r="F10" s="441"/>
      <c r="G10" s="438"/>
    </row>
    <row r="11" spans="1:7" ht="16.8">
      <c r="A11" s="440"/>
      <c r="B11" s="436"/>
      <c r="C11" s="436"/>
      <c r="D11" s="436"/>
      <c r="E11" s="435"/>
      <c r="F11" s="439"/>
      <c r="G11" s="438"/>
    </row>
    <row r="12" spans="1:7" ht="16.8">
      <c r="A12" s="437"/>
      <c r="B12" s="436"/>
      <c r="C12" s="436"/>
      <c r="D12" s="436"/>
      <c r="E12" s="435"/>
      <c r="F12" s="436"/>
      <c r="G12" s="435"/>
    </row>
    <row r="13" spans="1:7" ht="17.399999999999999" thickBot="1">
      <c r="A13" s="434"/>
      <c r="B13" s="433"/>
      <c r="C13" s="433"/>
      <c r="D13" s="433"/>
      <c r="E13" s="432"/>
      <c r="F13" s="433"/>
      <c r="G13" s="432"/>
    </row>
    <row r="14"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20" bestFit="1" customWidth="1"/>
    <col min="2" max="2" width="9.5" style="493" customWidth="1"/>
    <col min="3" max="3" width="6.3984375" style="20" customWidth="1"/>
    <col min="4" max="16384" width="9" style="20"/>
  </cols>
  <sheetData>
    <row r="1" spans="1:3">
      <c r="A1" s="481" t="s">
        <v>271</v>
      </c>
      <c r="B1" s="482" t="str">
        <f>'Personal File'!A1</f>
        <v>Elsabet</v>
      </c>
      <c r="C1" s="483" t="s">
        <v>272</v>
      </c>
    </row>
    <row r="2" spans="1:3">
      <c r="A2" s="484" t="s">
        <v>281</v>
      </c>
      <c r="B2" s="485" t="s">
        <v>282</v>
      </c>
      <c r="C2" s="486">
        <v>0.04</v>
      </c>
    </row>
    <row r="3" spans="1:3">
      <c r="A3" s="484" t="s">
        <v>283</v>
      </c>
      <c r="B3" s="485" t="s">
        <v>287</v>
      </c>
      <c r="C3" s="486">
        <v>0.16</v>
      </c>
    </row>
    <row r="4" spans="1:3">
      <c r="A4" s="484" t="s">
        <v>284</v>
      </c>
      <c r="B4" s="485" t="s">
        <v>273</v>
      </c>
      <c r="C4" s="486">
        <v>0.2</v>
      </c>
    </row>
    <row r="5" spans="1:3">
      <c r="A5" s="484" t="s">
        <v>285</v>
      </c>
      <c r="B5" s="485" t="s">
        <v>273</v>
      </c>
      <c r="C5" s="486">
        <v>0.2</v>
      </c>
    </row>
    <row r="6" spans="1:3">
      <c r="A6" s="484" t="s">
        <v>286</v>
      </c>
      <c r="B6" s="485" t="s">
        <v>273</v>
      </c>
      <c r="C6" s="486">
        <v>0.2</v>
      </c>
    </row>
    <row r="7" spans="1:3">
      <c r="A7" s="481" t="s">
        <v>52</v>
      </c>
      <c r="B7" s="482"/>
      <c r="C7" s="483">
        <f>SUM(C2:C6)</f>
        <v>0.8</v>
      </c>
    </row>
    <row r="8" spans="1:3">
      <c r="A8" s="481"/>
      <c r="B8" s="482"/>
      <c r="C8" s="483"/>
    </row>
    <row r="9" spans="1:3">
      <c r="A9" s="481" t="s">
        <v>274</v>
      </c>
      <c r="B9" s="487">
        <v>0</v>
      </c>
      <c r="C9" s="488"/>
    </row>
    <row r="10" spans="1:3">
      <c r="A10" s="481" t="s">
        <v>275</v>
      </c>
      <c r="B10" s="487">
        <v>2000</v>
      </c>
      <c r="C10" s="488"/>
    </row>
    <row r="11" spans="1:3">
      <c r="A11" s="481" t="s">
        <v>276</v>
      </c>
      <c r="B11" s="487">
        <f>IF(B9=0,B10*C7,(B10*C7*(1-(B9/4))))</f>
        <v>1600</v>
      </c>
      <c r="C11" s="488"/>
    </row>
    <row r="12" spans="1:3">
      <c r="A12" s="481" t="s">
        <v>277</v>
      </c>
      <c r="B12" s="489">
        <v>100</v>
      </c>
      <c r="C12" s="490"/>
    </row>
    <row r="13" spans="1:3">
      <c r="A13" s="481" t="s">
        <v>52</v>
      </c>
      <c r="B13" s="491">
        <f>SUM(B11:B12)</f>
        <v>1700</v>
      </c>
      <c r="C13" s="488"/>
    </row>
    <row r="14" spans="1:3">
      <c r="A14" s="481" t="s">
        <v>278</v>
      </c>
      <c r="B14" s="487">
        <v>0</v>
      </c>
      <c r="C14" s="488"/>
    </row>
    <row r="15" spans="1:3">
      <c r="A15" s="481" t="s">
        <v>279</v>
      </c>
      <c r="B15" s="491">
        <f>SUM(B13:B14)</f>
        <v>1700</v>
      </c>
      <c r="C15" s="488"/>
    </row>
    <row r="17" spans="1:1">
      <c r="A17" s="492"/>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Animal</vt:lpstr>
      <vt:lpstr>XP Awards</vt:lpstr>
      <vt:lpstr>Animal!Print_Area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2020-03-17T22:24:48Z</dcterms:modified>
</cp:coreProperties>
</file>