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BA1890CC-9FDE-4AA8-885C-D87734BD313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Invocations" sheetId="29" r:id="rId3"/>
    <sheet name="Spells" sheetId="18" r:id="rId4"/>
    <sheet name="Spellcasting" sheetId="30" r:id="rId5"/>
    <sheet name="Feats" sheetId="26"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Spellcasting!#REF!</definedName>
    <definedName name="_xlnm.Print_Area" localSheetId="7">Equipment!#REF!</definedName>
    <definedName name="_xlnm.Print_Area" localSheetId="5">Feats!#REF!</definedName>
    <definedName name="_xlnm.Print_Area" localSheetId="2">Invocations!$A$1:$H$6</definedName>
    <definedName name="_xlnm.Print_Area" localSheetId="6">Martial!#REF!</definedName>
    <definedName name="_xlnm.Print_Area" localSheetId="0">'Personal File'!$A$1:$H$65</definedName>
    <definedName name="_xlnm.Print_Area" localSheetId="1">Skills!$A$1:$K$33</definedName>
    <definedName name="_xlnm.Print_Area" localSheetId="4">Spellcasting!#REF!</definedName>
    <definedName name="_xlnm.Print_Area" localSheetId="3">Spells!$A$1:$H$11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5" l="1"/>
  <c r="H31" i="15"/>
  <c r="H29" i="15"/>
  <c r="D29" i="15"/>
  <c r="E29" i="15" s="1"/>
  <c r="H25" i="15"/>
  <c r="D25" i="15"/>
  <c r="G25" i="15" s="1"/>
  <c r="G29" i="15" l="1"/>
  <c r="I29" i="15" s="1"/>
  <c r="I25" i="15"/>
  <c r="E25" i="15"/>
  <c r="D11" i="30"/>
  <c r="D10" i="30"/>
  <c r="E59" i="15"/>
  <c r="E58" i="15"/>
  <c r="B5" i="15"/>
  <c r="B4" i="15"/>
  <c r="B3" i="15"/>
  <c r="B10" i="4"/>
  <c r="H25" i="6" s="1"/>
  <c r="I25" i="6"/>
  <c r="B33" i="6"/>
  <c r="J25" i="6" l="1"/>
  <c r="B12" i="4"/>
  <c r="F45" i="15" l="1"/>
  <c r="F39" i="15"/>
  <c r="F32" i="15"/>
  <c r="F23" i="15"/>
  <c r="F21" i="15"/>
  <c r="F9" i="15"/>
  <c r="F7" i="15"/>
  <c r="F16" i="15"/>
  <c r="E60" i="15"/>
  <c r="E57" i="15"/>
  <c r="B48" i="15"/>
  <c r="H46" i="15"/>
  <c r="H45" i="15"/>
  <c r="H44" i="15"/>
  <c r="H43" i="15"/>
  <c r="H41" i="15"/>
  <c r="H40" i="15"/>
  <c r="H39" i="15"/>
  <c r="H38" i="15"/>
  <c r="H37" i="15"/>
  <c r="H36" i="15"/>
  <c r="H35" i="15"/>
  <c r="H34" i="15"/>
  <c r="H33" i="15"/>
  <c r="H32" i="15"/>
  <c r="H30" i="15"/>
  <c r="H28" i="15"/>
  <c r="H27" i="15"/>
  <c r="H26" i="15"/>
  <c r="H24" i="15"/>
  <c r="H23" i="15"/>
  <c r="H22" i="15"/>
  <c r="H21" i="15"/>
  <c r="H20" i="15"/>
  <c r="H19" i="15"/>
  <c r="H18" i="15"/>
  <c r="H17" i="15"/>
  <c r="H16" i="15"/>
  <c r="H15" i="15"/>
  <c r="H14" i="15"/>
  <c r="H13" i="15"/>
  <c r="H12" i="15"/>
  <c r="H11" i="15"/>
  <c r="H10" i="15"/>
  <c r="H9" i="15"/>
  <c r="H8" i="15"/>
  <c r="D28" i="15"/>
  <c r="E28" i="15" s="1"/>
  <c r="D27" i="15"/>
  <c r="E27" i="15" s="1"/>
  <c r="M7" i="30"/>
  <c r="M1" i="30"/>
  <c r="E14" i="4"/>
  <c r="B13" i="4"/>
  <c r="D7" i="6"/>
  <c r="D6" i="6"/>
  <c r="D4" i="6"/>
  <c r="D3" i="6"/>
  <c r="G28" i="15" l="1"/>
  <c r="I28" i="15" s="1"/>
  <c r="G27" i="15"/>
  <c r="I27" i="15" s="1"/>
  <c r="I21" i="6"/>
  <c r="B17" i="4" l="1"/>
  <c r="C34" i="19"/>
  <c r="C47" i="19" l="1"/>
  <c r="G60" i="19"/>
  <c r="G47" i="19"/>
  <c r="M44" i="6"/>
  <c r="I23" i="6"/>
  <c r="M23" i="6"/>
  <c r="M46" i="6"/>
  <c r="M47" i="6"/>
  <c r="M48" i="6"/>
  <c r="I16" i="6" l="1"/>
  <c r="I14" i="6"/>
  <c r="I13" i="6"/>
  <c r="I12" i="6"/>
  <c r="I11" i="6"/>
  <c r="I10" i="6"/>
  <c r="I9" i="6"/>
  <c r="I7" i="6"/>
  <c r="I4" i="6"/>
  <c r="I3" i="6" l="1"/>
  <c r="D12" i="30" l="1"/>
  <c r="E2" i="26" l="1"/>
  <c r="G24" i="6" l="1"/>
  <c r="M43" i="6" l="1"/>
  <c r="M24" i="6" l="1"/>
  <c r="M50" i="6" l="1"/>
  <c r="M49" i="6"/>
  <c r="M45" i="6"/>
  <c r="M38" i="6"/>
  <c r="G38" i="6"/>
  <c r="G31" i="19" l="1"/>
  <c r="C31" i="19" l="1"/>
  <c r="G16" i="19" l="1"/>
  <c r="C15" i="19"/>
  <c r="C16" i="19"/>
  <c r="A4" i="26" l="1"/>
  <c r="D12" i="26" l="1"/>
  <c r="D13" i="26"/>
  <c r="D14" i="26"/>
  <c r="D15" i="26"/>
  <c r="D16" i="26"/>
  <c r="E17" i="26" l="1"/>
  <c r="E14" i="26"/>
  <c r="E18" i="26"/>
  <c r="E16" i="26"/>
  <c r="E15" i="26"/>
  <c r="F13" i="15"/>
  <c r="I26" i="6"/>
  <c r="K6" i="30" l="1"/>
  <c r="J6" i="30"/>
  <c r="I6" i="30"/>
  <c r="H6" i="30"/>
  <c r="G6" i="30"/>
  <c r="F6" i="30"/>
  <c r="E6" i="30"/>
  <c r="D6" i="30"/>
  <c r="C6" i="30"/>
  <c r="B6" i="30"/>
  <c r="H20" i="6" l="1"/>
  <c r="H21" i="6"/>
  <c r="J21" i="6" s="1"/>
  <c r="G9" i="19" l="1"/>
  <c r="G46" i="19"/>
  <c r="G56" i="19"/>
  <c r="C56" i="19"/>
  <c r="H7" i="15" l="1"/>
  <c r="M42" i="6" l="1"/>
  <c r="M51" i="6"/>
  <c r="C60" i="19" l="1"/>
  <c r="G54" i="19" l="1"/>
  <c r="I6" i="6"/>
  <c r="G23" i="19"/>
  <c r="G68" i="19" l="1"/>
  <c r="C68" i="19"/>
  <c r="G59" i="19"/>
  <c r="C59" i="19"/>
  <c r="G55" i="19"/>
  <c r="G33" i="19"/>
  <c r="G70" i="19" s="1"/>
  <c r="C33" i="19"/>
  <c r="C55" i="19"/>
  <c r="G15" i="19"/>
  <c r="I24" i="6"/>
  <c r="C69" i="19" l="1"/>
  <c r="B69" i="19" s="1"/>
  <c r="E13" i="4"/>
  <c r="H3" i="15"/>
  <c r="H4" i="15"/>
  <c r="H5" i="15"/>
  <c r="I22" i="6" l="1"/>
  <c r="I27" i="6" l="1"/>
  <c r="I20" i="6"/>
  <c r="I17" i="6"/>
  <c r="J20" i="6" l="1"/>
  <c r="I15" i="6" l="1"/>
  <c r="C17" i="4" l="1"/>
  <c r="C16" i="4"/>
  <c r="C15" i="4"/>
  <c r="C14" i="4"/>
  <c r="C13" i="4"/>
  <c r="E15" i="4" s="1"/>
  <c r="C12" i="4"/>
  <c r="E56" i="15" l="1"/>
  <c r="E55" i="15"/>
  <c r="F5" i="15"/>
  <c r="P11" i="30"/>
  <c r="P10" i="30"/>
  <c r="P9" i="30"/>
  <c r="H17" i="6"/>
  <c r="J17" i="6" s="1"/>
  <c r="E17" i="4"/>
  <c r="E16" i="4" s="1"/>
  <c r="H23" i="6"/>
  <c r="J23" i="6" s="1"/>
  <c r="C14" i="6"/>
  <c r="C13" i="6"/>
  <c r="C4" i="6"/>
  <c r="C7" i="6"/>
  <c r="C10" i="6"/>
  <c r="C12" i="6"/>
  <c r="C16" i="6"/>
  <c r="H3" i="6"/>
  <c r="H6" i="6"/>
  <c r="H9" i="6"/>
  <c r="H11" i="6"/>
  <c r="H15" i="6"/>
  <c r="H13" i="6"/>
  <c r="H24" i="6"/>
  <c r="J24" i="6" s="1"/>
  <c r="H26" i="6"/>
  <c r="J26" i="6" s="1"/>
  <c r="E54" i="15"/>
  <c r="D26" i="15"/>
  <c r="E53" i="15"/>
  <c r="E52" i="15"/>
  <c r="E51" i="15"/>
  <c r="E50" i="15"/>
  <c r="P5" i="30"/>
  <c r="G7" i="30"/>
  <c r="P4" i="30"/>
  <c r="F7" i="30"/>
  <c r="P3" i="30"/>
  <c r="E7" i="30"/>
  <c r="D7" i="30"/>
  <c r="K7" i="30"/>
  <c r="C7" i="30"/>
  <c r="B7" i="30"/>
  <c r="I7" i="30"/>
  <c r="H7" i="30"/>
  <c r="J7" i="30"/>
  <c r="C3" i="6"/>
  <c r="C6" i="6"/>
  <c r="C11" i="6"/>
  <c r="C9" i="6"/>
  <c r="B11" i="4"/>
  <c r="D3" i="15"/>
  <c r="D10" i="15"/>
  <c r="E10" i="15" s="1"/>
  <c r="D4" i="15"/>
  <c r="D21" i="15"/>
  <c r="E21" i="15" s="1"/>
  <c r="D39" i="15"/>
  <c r="E39" i="15" s="1"/>
  <c r="D7" i="15"/>
  <c r="E7" i="15" s="1"/>
  <c r="D32" i="15"/>
  <c r="E32" i="15" s="1"/>
  <c r="D45" i="15"/>
  <c r="E45" i="15" s="1"/>
  <c r="D33" i="15"/>
  <c r="E33" i="15" s="1"/>
  <c r="D47" i="15"/>
  <c r="E47" i="15" s="1"/>
  <c r="D16" i="15"/>
  <c r="E16" i="15" s="1"/>
  <c r="D36" i="15"/>
  <c r="E36" i="15" s="1"/>
  <c r="D8" i="15"/>
  <c r="E8" i="15" s="1"/>
  <c r="D22" i="15"/>
  <c r="E22" i="15" s="1"/>
  <c r="D18" i="15"/>
  <c r="E18" i="15" s="1"/>
  <c r="D15" i="15"/>
  <c r="E15" i="15" s="1"/>
  <c r="D13" i="15"/>
  <c r="E13" i="15" s="1"/>
  <c r="D19" i="15"/>
  <c r="E19" i="15" s="1"/>
  <c r="D34" i="15"/>
  <c r="E34" i="15" s="1"/>
  <c r="D46" i="15"/>
  <c r="E46" i="15" s="1"/>
  <c r="D38" i="15"/>
  <c r="E38" i="15" s="1"/>
  <c r="D5" i="15"/>
  <c r="D35" i="15"/>
  <c r="E35" i="15" s="1"/>
  <c r="D20" i="15"/>
  <c r="E20" i="15" s="1"/>
  <c r="D43" i="15"/>
  <c r="E43" i="15" s="1"/>
  <c r="D31" i="15"/>
  <c r="E31" i="15" s="1"/>
  <c r="D42" i="15"/>
  <c r="E42" i="15" s="1"/>
  <c r="D23" i="15"/>
  <c r="E23" i="15" s="1"/>
  <c r="D44" i="15"/>
  <c r="E44" i="15" s="1"/>
  <c r="D9" i="15"/>
  <c r="E9" i="15" s="1"/>
  <c r="E49" i="15"/>
  <c r="D6" i="15"/>
  <c r="E6" i="15" s="1"/>
  <c r="D14" i="15"/>
  <c r="E14" i="15" s="1"/>
  <c r="D30" i="15"/>
  <c r="E30" i="15" s="1"/>
  <c r="D11" i="15"/>
  <c r="E11" i="15" s="1"/>
  <c r="D24" i="15"/>
  <c r="E24" i="15" s="1"/>
  <c r="D17" i="15"/>
  <c r="E17" i="15" s="1"/>
  <c r="D41" i="15"/>
  <c r="E41" i="15" s="1"/>
  <c r="D12" i="15"/>
  <c r="E12" i="15" s="1"/>
  <c r="D40" i="15"/>
  <c r="E40" i="15" s="1"/>
  <c r="D37" i="15"/>
  <c r="E37" i="15" s="1"/>
  <c r="C15" i="6"/>
  <c r="H22" i="6"/>
  <c r="J22" i="6" s="1"/>
  <c r="H27" i="6"/>
  <c r="J27" i="6" s="1"/>
  <c r="H47" i="15"/>
  <c r="H6" i="15"/>
  <c r="H16" i="6" l="1"/>
  <c r="J16" i="6" s="1"/>
  <c r="J15" i="6"/>
  <c r="H12" i="6"/>
  <c r="J12" i="6" s="1"/>
  <c r="J11" i="6"/>
  <c r="H14" i="6"/>
  <c r="J14" i="6" s="1"/>
  <c r="J13" i="6"/>
  <c r="H10" i="6"/>
  <c r="J10" i="6" s="1"/>
  <c r="J9" i="6"/>
  <c r="H7" i="6"/>
  <c r="J7" i="6" s="1"/>
  <c r="J6" i="6"/>
  <c r="H4" i="6"/>
  <c r="J4" i="6" s="1"/>
  <c r="J3" i="6"/>
  <c r="E26" i="15"/>
  <c r="G26" i="15"/>
  <c r="I26" i="15" s="1"/>
  <c r="E3" i="15"/>
  <c r="G3" i="15"/>
  <c r="I3" i="15" s="1"/>
  <c r="E4" i="15"/>
  <c r="G4" i="15"/>
  <c r="I4" i="15" s="1"/>
  <c r="E48" i="15"/>
  <c r="E5" i="15"/>
  <c r="G5" i="15"/>
  <c r="I5" i="15" s="1"/>
  <c r="G30" i="15"/>
  <c r="I30" i="15" s="1"/>
  <c r="G24" i="15" l="1"/>
  <c r="I24" i="15" l="1"/>
  <c r="G35" i="15" l="1"/>
  <c r="G8" i="15" l="1"/>
  <c r="G6" i="15"/>
  <c r="I6" i="15" s="1"/>
  <c r="G10" i="15"/>
  <c r="G16" i="15"/>
  <c r="G21" i="15"/>
  <c r="G32" i="15"/>
  <c r="I32" i="15" s="1"/>
  <c r="G47" i="15"/>
  <c r="G33" i="15"/>
  <c r="I33" i="15" s="1"/>
  <c r="G42" i="15"/>
  <c r="G19" i="15"/>
  <c r="G7" i="15"/>
  <c r="G17" i="15"/>
  <c r="G22" i="15"/>
  <c r="I35" i="15"/>
  <c r="G34" i="15"/>
  <c r="I34" i="15" s="1"/>
  <c r="G12" i="15"/>
  <c r="G46" i="15"/>
  <c r="G45" i="15"/>
  <c r="G41" i="15"/>
  <c r="G13" i="15"/>
  <c r="I13" i="15" s="1"/>
  <c r="G18" i="15"/>
  <c r="G23" i="15"/>
  <c r="G36" i="15"/>
  <c r="G14" i="15"/>
  <c r="G37" i="15"/>
  <c r="G40" i="15"/>
  <c r="G11" i="15"/>
  <c r="I11" i="15" s="1"/>
  <c r="G9" i="15"/>
  <c r="G15" i="15"/>
  <c r="G20" i="15"/>
  <c r="G31" i="15"/>
  <c r="G38" i="15"/>
  <c r="I38" i="15" s="1"/>
  <c r="G39" i="15"/>
  <c r="G44" i="15"/>
  <c r="I44" i="15" s="1"/>
  <c r="G43" i="15"/>
  <c r="I40" i="15" l="1"/>
  <c r="I12" i="15"/>
  <c r="I45" i="15"/>
  <c r="I9" i="15"/>
  <c r="I23" i="15"/>
  <c r="I7" i="15"/>
  <c r="I31" i="15"/>
  <c r="I15" i="15"/>
  <c r="I36" i="15"/>
  <c r="I18" i="15"/>
  <c r="I17" i="15"/>
  <c r="I19" i="15"/>
  <c r="I16" i="15"/>
  <c r="I43" i="15"/>
  <c r="I39" i="15"/>
  <c r="I14" i="15"/>
  <c r="I46" i="15"/>
  <c r="I47" i="15"/>
  <c r="I21" i="15"/>
  <c r="I37" i="15"/>
  <c r="I41" i="15"/>
  <c r="I20" i="15"/>
  <c r="I42"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F9F071BE-64E9-4879-8C80-9D8FE6D282C5}">
      <text>
        <r>
          <rPr>
            <i/>
            <sz val="12"/>
            <color indexed="81"/>
            <rFont val="Times New Roman"/>
            <family val="1"/>
          </rPr>
          <t>divine favor +1
bane -1
haste +1</t>
        </r>
      </text>
    </comment>
    <comment ref="E10" authorId="0" shapeId="0" xr:uid="{81AC56B1-451D-49E3-AC58-FC737D4BB7C4}">
      <text>
        <r>
          <rPr>
            <b/>
            <sz val="12"/>
            <color indexed="81"/>
            <rFont val="Times New Roman"/>
            <family val="1"/>
          </rPr>
          <t>Extreme Leap (Skill Trick)</t>
        </r>
        <r>
          <rPr>
            <sz val="12"/>
            <color indexed="81"/>
            <rFont val="Times New Roman"/>
            <family val="1"/>
          </rPr>
          <t xml:space="preserve">
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C11" authorId="0" shapeId="0" xr:uid="{23C0A8AD-8B24-4DB4-98ED-1E592103C21C}">
      <text>
        <r>
          <rPr>
            <sz val="12"/>
            <color indexed="81"/>
            <rFont val="Times New Roman"/>
            <family val="1"/>
          </rPr>
          <t>Blooded +2</t>
        </r>
      </text>
    </comment>
    <comment ref="E11" authorId="0" shapeId="0" xr:uid="{1007607B-C2D1-43EF-B937-28BD8F66EF8B}">
      <text>
        <r>
          <rPr>
            <sz val="12"/>
            <color indexed="81"/>
            <rFont val="Times New Roman"/>
            <family val="1"/>
          </rPr>
          <t>Next level at 45,000 XPs</t>
        </r>
      </text>
    </comment>
    <comment ref="B12" authorId="0" shapeId="0" xr:uid="{23F6553F-6567-4A45-A0E8-EDCC3FD3CB9C}">
      <text>
        <r>
          <rPr>
            <i/>
            <sz val="12"/>
            <color indexed="81"/>
            <rFont val="Times New Roman"/>
            <family val="1"/>
          </rPr>
          <t>bull’s strength +4
enlarge person +2
Brute Gauntlets +2, 3, or 4</t>
        </r>
      </text>
    </comment>
    <comment ref="E12" authorId="0" shapeId="0" xr:uid="{950A73CF-FD15-4514-A687-6FBD9F49B8A7}">
      <text>
        <r>
          <rPr>
            <sz val="12"/>
            <color indexed="81"/>
            <rFont val="Times New Roman"/>
            <family val="1"/>
          </rPr>
          <t>See PHB 162</t>
        </r>
      </text>
    </comment>
    <comment ref="B13" authorId="0" shapeId="0" xr:uid="{D5394AA1-02C5-43C0-8B4C-219D314E776F}">
      <text>
        <r>
          <rPr>
            <i/>
            <sz val="12"/>
            <color indexed="81"/>
            <rFont val="Times New Roman"/>
            <family val="1"/>
          </rPr>
          <t>enlarge person -2
Fatigue -2</t>
        </r>
      </text>
    </comment>
    <comment ref="E13" authorId="0" shapeId="0" xr:uid="{26CD1242-8118-49FE-A240-0D13C5069AD8}">
      <text>
        <r>
          <rPr>
            <sz val="12"/>
            <color indexed="81"/>
            <rFont val="Times New Roman"/>
            <family val="1"/>
          </rPr>
          <t>Haversack is 5 lbs.</t>
        </r>
      </text>
    </comment>
    <comment ref="E14" authorId="0" shapeId="0" xr:uid="{00000000-0006-0000-0000-000004000000}">
      <text>
        <r>
          <rPr>
            <sz val="12"/>
            <color indexed="81"/>
            <rFont val="Times New Roman"/>
            <family val="1"/>
          </rPr>
          <t>[(4 * 8 Favored Soul) * 75%]
+[(2 * 10 Crusader) * 75%]
+[(2 * 6 Warlock) * 75%]
+[(1 * X Paragon) * 75%]
+ (9 * 1 Con)</t>
        </r>
      </text>
    </comment>
    <comment ref="E15" authorId="0" shapeId="0" xr:uid="{9400A056-C2BB-4FE5-823B-AEE1C062D298}">
      <text>
        <r>
          <rPr>
            <sz val="12"/>
            <color indexed="81"/>
            <rFont val="Times New Roman"/>
            <family val="1"/>
          </rPr>
          <t xml:space="preserve">Ring of Protection +2
</t>
        </r>
        <r>
          <rPr>
            <i/>
            <sz val="12"/>
            <color indexed="81"/>
            <rFont val="Times New Roman"/>
            <family val="1"/>
          </rPr>
          <t>haste +1
Enlarge Person -1</t>
        </r>
      </text>
    </comment>
    <comment ref="B17" authorId="0" shapeId="0" xr:uid="{DBF404F4-2ABD-4454-BB06-7FB1D56135CB}">
      <text>
        <r>
          <rPr>
            <sz val="12"/>
            <color indexed="81"/>
            <rFont val="Times New Roman"/>
            <family val="1"/>
          </rPr>
          <t>Cloak of Charisma +2</t>
        </r>
        <r>
          <rPr>
            <i/>
            <sz val="12"/>
            <color indexed="81"/>
            <rFont val="Times New Roman"/>
            <family val="1"/>
          </rPr>
          <t xml:space="preserve">
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8CF1BD1-2079-40BD-B440-C41AA81BC586}">
      <text>
        <r>
          <rPr>
            <sz val="12"/>
            <color indexed="81"/>
            <rFont val="Times New Roman"/>
            <family val="1"/>
          </rPr>
          <t>Vest of Resistance +1</t>
        </r>
      </text>
    </comment>
    <comment ref="F4" authorId="0" shapeId="0" xr:uid="{05AF2ACA-FFCC-4582-9872-A21FA5D8C667}">
      <text>
        <r>
          <rPr>
            <sz val="12"/>
            <color indexed="81"/>
            <rFont val="Times New Roman"/>
            <family val="1"/>
          </rPr>
          <t>Vest of Resistance +1</t>
        </r>
      </text>
    </comment>
    <comment ref="F5" authorId="0" shapeId="0" xr:uid="{11FFC983-5D43-456B-B24F-8ADA95F998E4}">
      <text>
        <r>
          <rPr>
            <sz val="12"/>
            <color indexed="81"/>
            <rFont val="Times New Roman"/>
            <family val="1"/>
          </rPr>
          <t>Fey heritage +3
Vest of Resistance +1
Indomitable Soul +Cha mod</t>
        </r>
      </text>
    </comment>
    <comment ref="F7" authorId="0" shapeId="0" xr:uid="{EEC338AA-01CF-4FC0-B86F-F8DF3D45F6DE}">
      <text>
        <r>
          <rPr>
            <sz val="12"/>
            <color indexed="81"/>
            <rFont val="Times New Roman"/>
            <family val="1"/>
          </rPr>
          <t>Tumble synergy +2
Armor penalty</t>
        </r>
      </text>
    </comment>
    <comment ref="F9" authorId="0" shapeId="0" xr:uid="{AC87610C-4908-4736-94BC-31D5B239F2E4}">
      <text>
        <r>
          <rPr>
            <sz val="12"/>
            <color indexed="81"/>
            <rFont val="Times New Roman"/>
            <family val="1"/>
          </rPr>
          <t>Armor penalty
Climber’s Kit +2</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+2
Bluff +2</t>
        </r>
      </text>
    </comment>
    <comment ref="F16" authorId="0" shapeId="0" xr:uid="{8681E728-1490-4A26-847C-89C1664AE8FC}">
      <text>
        <r>
          <rPr>
            <sz val="12"/>
            <color indexed="81"/>
            <rFont val="Times New Roman"/>
            <family val="1"/>
          </rPr>
          <t>Armor penalty</t>
        </r>
      </text>
    </comment>
    <comment ref="F20" authorId="0" shapeId="0" xr:uid="{9258D464-79FE-459C-B3AC-0C36D1D8220B}">
      <text>
        <r>
          <rPr>
            <sz val="12"/>
            <color indexed="81"/>
            <rFont val="Times New Roman"/>
            <family val="1"/>
          </rPr>
          <t>Healer’s Kit +2</t>
        </r>
      </text>
    </comment>
    <comment ref="F21" authorId="0" shapeId="0" xr:uid="{9BA237BF-295D-4B49-AC11-EFF3B517525F}">
      <text>
        <r>
          <rPr>
            <sz val="12"/>
            <color indexed="81"/>
            <rFont val="Times New Roman"/>
            <family val="1"/>
          </rPr>
          <t>Armor penalty</t>
        </r>
      </text>
    </comment>
    <comment ref="F22" authorId="0" shapeId="0" xr:uid="{12C10405-5391-4154-835E-91EDF3A6DA4C}">
      <text>
        <r>
          <rPr>
            <sz val="12"/>
            <color indexed="81"/>
            <rFont val="Times New Roman"/>
            <family val="1"/>
          </rPr>
          <t>Bluff +2</t>
        </r>
      </text>
    </comment>
    <comment ref="F23" authorId="0" shapeId="0" xr:uid="{9954535D-0B44-46E5-A949-8F12804A1892}">
      <text>
        <r>
          <rPr>
            <sz val="12"/>
            <color indexed="81"/>
            <rFont val="Times New Roman"/>
            <family val="1"/>
          </rPr>
          <t>Tumble synergy +2
Armor penalty</t>
        </r>
      </text>
    </comment>
    <comment ref="F32" authorId="0" shapeId="0" xr:uid="{FEAABE47-FE22-4571-B027-838DB519F77D}">
      <text>
        <r>
          <rPr>
            <sz val="12"/>
            <color indexed="81"/>
            <rFont val="Times New Roman"/>
            <family val="1"/>
          </rPr>
          <t>Armor penalty</t>
        </r>
      </text>
    </comment>
    <comment ref="F39" authorId="0" shapeId="0" xr:uid="{590B8E20-33CF-45A1-9151-6E34B1F8BCD7}">
      <text>
        <r>
          <rPr>
            <sz val="12"/>
            <color indexed="81"/>
            <rFont val="Times New Roman"/>
            <family val="1"/>
          </rPr>
          <t>Armor penalty</t>
        </r>
      </text>
    </comment>
    <comment ref="F42" authorId="0" shapeId="0" xr:uid="{1B300C74-5518-4AD7-8064-C7E1B016C7B1}">
      <text>
        <r>
          <rPr>
            <sz val="12"/>
            <color indexed="81"/>
            <rFont val="Times New Roman"/>
            <family val="1"/>
          </rPr>
          <t>Blooded +2</t>
        </r>
      </text>
    </comment>
    <comment ref="F44" authorId="0" shapeId="0" xr:uid="{0989F04B-E094-44F7-B5F2-8840410CDEB0}">
      <text>
        <r>
          <rPr>
            <sz val="12"/>
            <color indexed="81"/>
            <rFont val="Times New Roman"/>
            <family val="1"/>
          </rPr>
          <t>Crystal of Aquatic Action, Lesser</t>
        </r>
      </text>
    </comment>
    <comment ref="F45"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8" authorId="0" shapeId="0" xr:uid="{00000000-0006-0000-0200-000003000000}">
      <text>
        <r>
          <rPr>
            <sz val="12"/>
            <color indexed="81"/>
            <rFont val="Times New Roman"/>
            <family val="1"/>
          </rPr>
          <t>Prism, lens, or monocle</t>
        </r>
      </text>
    </comment>
    <comment ref="D11" authorId="0" shapeId="0" xr:uid="{00000000-0006-0000-0200-00000E000000}">
      <text>
        <r>
          <rPr>
            <sz val="12"/>
            <color indexed="81"/>
            <rFont val="Times New Roman"/>
            <family val="1"/>
          </rPr>
          <t>Powdered silver</t>
        </r>
      </text>
    </comment>
    <comment ref="D13" authorId="0" shapeId="0" xr:uid="{D4365AD2-88CD-4BB9-BDC5-5584AE365908}">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C2"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A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A6" authorId="0" shapeId="0" xr:uid="{1736E379-1F9F-4B19-A49B-6812EF74F626}">
      <text>
        <r>
          <rPr>
            <sz val="12"/>
            <color indexed="81"/>
            <rFont val="Times New Roman"/>
            <family val="1"/>
          </rPr>
          <t xml:space="preserve">You share your ancestors’ knack for playing tricks on the minds of others.
</t>
        </r>
        <r>
          <rPr>
            <b/>
            <sz val="12"/>
            <color indexed="81"/>
            <rFont val="Times New Roman"/>
            <family val="1"/>
          </rPr>
          <t xml:space="preserve">Prerequisites:  </t>
        </r>
        <r>
          <rPr>
            <sz val="12"/>
            <color indexed="81"/>
            <rFont val="Times New Roman"/>
            <family val="1"/>
          </rPr>
          <t xml:space="preserve">Nonlawful alignment, Fey Heritage, character level 6th.
</t>
        </r>
        <r>
          <rPr>
            <b/>
            <sz val="12"/>
            <color indexed="81"/>
            <rFont val="Times New Roman"/>
            <family val="1"/>
          </rPr>
          <t xml:space="preserve">Benefit:  </t>
        </r>
        <r>
          <rPr>
            <sz val="12"/>
            <color indexed="81"/>
            <rFont val="Times New Roman"/>
            <family val="1"/>
          </rPr>
          <t xml:space="preserve">You gain the following spell-like abilities, each usable once per day: </t>
        </r>
        <r>
          <rPr>
            <i/>
            <sz val="12"/>
            <color indexed="81"/>
            <rFont val="Times New Roman"/>
            <family val="1"/>
          </rPr>
          <t xml:space="preserve">charm monster, deep slumber, </t>
        </r>
        <r>
          <rPr>
            <sz val="12"/>
            <color indexed="81"/>
            <rFont val="Times New Roman"/>
            <family val="1"/>
          </rPr>
          <t xml:space="preserve">and </t>
        </r>
        <r>
          <rPr>
            <i/>
            <sz val="12"/>
            <color indexed="81"/>
            <rFont val="Times New Roman"/>
            <family val="1"/>
          </rPr>
          <t xml:space="preserve">disguise self.  </t>
        </r>
        <r>
          <rPr>
            <sz val="12"/>
            <color indexed="81"/>
            <rFont val="Times New Roman"/>
            <family val="1"/>
          </rPr>
          <t>Your caster level equals your character level.
Complete Mage 43</t>
        </r>
      </text>
    </comment>
    <comment ref="C6" authorId="0" shapeId="0" xr:uid="{BDD4F96A-B18E-494E-BB57-3063FB62DD56}">
      <text>
        <r>
          <rPr>
            <sz val="12"/>
            <color indexed="81"/>
            <rFont val="Times New Roman"/>
            <family val="1"/>
          </rPr>
          <t xml:space="preserve">You can channel the pain of your injuries into a boiling rage that lets you lash out at your enemies with renewed vigor and power.  Each attack that strikes you only pushes you onward to greater glory.
During your turn, you gain a bonus on attack rolls and damage rolls equal to the current value of your delayed damage pool (see steely resolve, above) divided by 5, and rounding down (minimum +1).  You can only gain a maximum bonus on attack rolls and damage rolls of +6 from furious counterstrike.  Use the table below to quickly determine the attack bonus and damage bonus from furious counterstrike, based on the amount of damage in your delayed damage pool.  This ability’s benefits last until the end of your turn.
</t>
        </r>
        <r>
          <rPr>
            <b/>
            <sz val="12"/>
            <color indexed="81"/>
            <rFont val="Times New Roman"/>
            <family val="1"/>
          </rPr>
          <t>Delayed Damage Pool Points         Furious Counterstrike Bonus</t>
        </r>
        <r>
          <rPr>
            <sz val="12"/>
            <color indexed="81"/>
            <rFont val="Times New Roman"/>
            <family val="1"/>
          </rPr>
          <t xml:space="preserve">
1–9                                                 +1
10–14                                             +2
15–19                                             +3
20–24                                             +4
25–29                                             +5
30+                                                 +6
Bo9S 10</t>
        </r>
      </text>
    </comment>
    <comment ref="E6" authorId="0" shapeId="0" xr:uid="{F0EE3B0F-8F71-4BC2-9A74-EF85F7A6F190}">
      <text>
        <r>
          <rPr>
            <sz val="12"/>
            <color indexed="81"/>
            <rFont val="Times New Roman"/>
            <family val="1"/>
          </rPr>
          <t xml:space="preserve">Your extraordinary leaping ability carries you over great distances.
</t>
        </r>
        <r>
          <rPr>
            <b/>
            <sz val="12"/>
            <color indexed="81"/>
            <rFont val="Times New Roman"/>
            <family val="1"/>
          </rPr>
          <t xml:space="preserve">Prerequisite:  </t>
        </r>
        <r>
          <rPr>
            <sz val="12"/>
            <color indexed="81"/>
            <rFont val="Times New Roman"/>
            <family val="1"/>
          </rPr>
          <t xml:space="preserve">Jump 5 ranks.
</t>
        </r>
        <r>
          <rPr>
            <b/>
            <sz val="12"/>
            <color indexed="81"/>
            <rFont val="Times New Roman"/>
            <family val="1"/>
          </rPr>
          <t xml:space="preserve">Benefit:  </t>
        </r>
        <r>
          <rPr>
            <sz val="12"/>
            <color indexed="81"/>
            <rFont val="Times New Roman"/>
            <family val="1"/>
          </rPr>
          <t>If you make a horizontal jump of at least 10 feet during your turn, you can spend a swift action to move an additional 10 feet on that turn.
Complete Scoundrel 86</t>
        </r>
      </text>
    </comment>
    <comment ref="A7" authorId="0" shapeId="0" xr:uid="{2041C4C7-FE3A-45A7-8DB7-0079EA0EB5B0}">
      <text>
        <r>
          <rPr>
            <sz val="12"/>
            <color indexed="81"/>
            <rFont val="Times New Roman"/>
            <family val="1"/>
          </rPr>
          <t xml:space="preserve">The magical powers of your ancestors manifest in you.
</t>
        </r>
        <r>
          <rPr>
            <b/>
            <sz val="12"/>
            <color indexed="81"/>
            <rFont val="Times New Roman"/>
            <family val="1"/>
          </rPr>
          <t xml:space="preserve">Prerequisites:  </t>
        </r>
        <r>
          <rPr>
            <sz val="12"/>
            <color indexed="81"/>
            <rFont val="Times New Roman"/>
            <family val="1"/>
          </rPr>
          <t xml:space="preserve">Nonlawful alignment, Fey Heritage, character level 9th.
</t>
        </r>
        <r>
          <rPr>
            <b/>
            <sz val="12"/>
            <color indexed="81"/>
            <rFont val="Times New Roman"/>
            <family val="1"/>
          </rPr>
          <t xml:space="preserve">Benefit:  </t>
        </r>
        <r>
          <rPr>
            <sz val="12"/>
            <color indexed="81"/>
            <rFont val="Times New Roman"/>
            <family val="1"/>
          </rPr>
          <t xml:space="preserve">You gain the following spell-like abilities, each usable once per day: </t>
        </r>
        <r>
          <rPr>
            <i/>
            <sz val="12"/>
            <color indexed="81"/>
            <rFont val="Times New Roman"/>
            <family val="1"/>
          </rPr>
          <t>confusion</t>
        </r>
        <r>
          <rPr>
            <b/>
            <i/>
            <sz val="12"/>
            <color indexed="81"/>
            <rFont val="Times New Roman"/>
            <family val="1"/>
          </rPr>
          <t>,</t>
        </r>
        <r>
          <rPr>
            <i/>
            <sz val="12"/>
            <color indexed="81"/>
            <rFont val="Times New Roman"/>
            <family val="1"/>
          </rPr>
          <t xml:space="preserve"> dimension door</t>
        </r>
        <r>
          <rPr>
            <b/>
            <i/>
            <sz val="12"/>
            <color indexed="81"/>
            <rFont val="Times New Roman"/>
            <family val="1"/>
          </rPr>
          <t xml:space="preserve">, and </t>
        </r>
        <r>
          <rPr>
            <i/>
            <sz val="12"/>
            <color indexed="81"/>
            <rFont val="Times New Roman"/>
            <family val="1"/>
          </rPr>
          <t>summon nature's ally V</t>
        </r>
        <r>
          <rPr>
            <sz val="12"/>
            <color indexed="81"/>
            <rFont val="Times New Roman"/>
            <family val="1"/>
          </rPr>
          <t>.  Your caster level equals your character level.
Complete Mage 43</t>
        </r>
      </text>
    </comment>
    <comment ref="C8" authorId="0" shapeId="0" xr:uid="{7884FE7A-06C5-4898-917B-666653DB1201}">
      <text>
        <r>
          <rPr>
            <sz val="12"/>
            <color indexed="81"/>
            <rFont val="Times New Roman"/>
            <family val="1"/>
          </rPr>
          <t xml:space="preserve">White Raven (Stance)
</t>
        </r>
        <r>
          <rPr>
            <b/>
            <sz val="12"/>
            <color indexed="81"/>
            <rFont val="Times New Roman"/>
            <family val="1"/>
          </rPr>
          <t xml:space="preserve">Level:  </t>
        </r>
        <r>
          <rPr>
            <sz val="12"/>
            <color indexed="81"/>
            <rFont val="Times New Roman"/>
            <family val="1"/>
          </rPr>
          <t xml:space="preserve">Crusader 1, warblade 1
</t>
        </r>
        <r>
          <rPr>
            <b/>
            <sz val="12"/>
            <color indexed="81"/>
            <rFont val="Times New Roman"/>
            <family val="1"/>
          </rPr>
          <t xml:space="preserve">Initiation Action:  </t>
        </r>
        <r>
          <rPr>
            <sz val="12"/>
            <color indexed="81"/>
            <rFont val="Times New Roman"/>
            <family val="1"/>
          </rPr>
          <t xml:space="preserve">1 swift action
</t>
        </r>
        <r>
          <rPr>
            <b/>
            <sz val="12"/>
            <color indexed="81"/>
            <rFont val="Times New Roman"/>
            <family val="1"/>
          </rPr>
          <t xml:space="preserve">Range:  </t>
        </r>
        <r>
          <rPr>
            <sz val="12"/>
            <color indexed="81"/>
            <rFont val="Times New Roman"/>
            <family val="1"/>
          </rPr>
          <t xml:space="preserve">60’
</t>
        </r>
        <r>
          <rPr>
            <b/>
            <sz val="12"/>
            <color indexed="81"/>
            <rFont val="Times New Roman"/>
            <family val="1"/>
          </rPr>
          <t xml:space="preserve">Area:  </t>
        </r>
        <r>
          <rPr>
            <sz val="12"/>
            <color indexed="81"/>
            <rFont val="Times New Roman"/>
            <family val="1"/>
          </rPr>
          <t xml:space="preserve">60’ radius emanation centered on you
</t>
        </r>
        <r>
          <rPr>
            <b/>
            <sz val="12"/>
            <color indexed="81"/>
            <rFont val="Times New Roman"/>
            <family val="1"/>
          </rPr>
          <t xml:space="preserve">Duration:  </t>
        </r>
        <r>
          <rPr>
            <sz val="12"/>
            <color indexed="81"/>
            <rFont val="Times New Roman"/>
            <family val="1"/>
          </rPr>
          <t>Stance
You fire the confidence and martial spirit of your allies, giving them the energy and bravery needed to make a devastating charge against your enemies.
The White Raven discipline teaches that tactics, leadership, and planning can overcome an opponent’s superior individual abilities. This stance embodies that teaching, allowing you to spur your allies on to greater feats of martial skill.
While you are in this stance, all allies who hear you and make a charge attack in the area gain a bonus on damage rolls equal to your initiator level.
Bo9S 92</t>
        </r>
      </text>
    </comment>
    <comment ref="C9" authorId="0" shapeId="0" xr:uid="{3AB6CD92-7E2E-4883-8D35-C62428E6D213}">
      <text>
        <r>
          <rPr>
            <sz val="12"/>
            <color indexed="81"/>
            <rFont val="Times New Roman"/>
            <family val="1"/>
          </rPr>
          <t xml:space="preserve">Devoted Spirit (Stance)
</t>
        </r>
        <r>
          <rPr>
            <b/>
            <sz val="12"/>
            <color indexed="81"/>
            <rFont val="Times New Roman"/>
            <family val="1"/>
          </rPr>
          <t xml:space="preserve">Level:  </t>
        </r>
        <r>
          <rPr>
            <sz val="12"/>
            <color indexed="81"/>
            <rFont val="Times New Roman"/>
            <family val="1"/>
          </rPr>
          <t xml:space="preserve">Crusader 3
</t>
        </r>
        <r>
          <rPr>
            <b/>
            <sz val="12"/>
            <color indexed="81"/>
            <rFont val="Times New Roman"/>
            <family val="1"/>
          </rPr>
          <t xml:space="preserve">Prerequisite:  </t>
        </r>
        <r>
          <rPr>
            <sz val="12"/>
            <color indexed="81"/>
            <rFont val="Times New Roman"/>
            <family val="1"/>
          </rPr>
          <t xml:space="preserve">One Devoted Spirit maneuver
</t>
        </r>
        <r>
          <rPr>
            <b/>
            <sz val="12"/>
            <color indexed="81"/>
            <rFont val="Times New Roman"/>
            <family val="1"/>
          </rPr>
          <t xml:space="preserve">Initiation Action:  </t>
        </r>
        <r>
          <rPr>
            <sz val="12"/>
            <color indexed="81"/>
            <rFont val="Times New Roman"/>
            <family val="1"/>
          </rPr>
          <t xml:space="preserve">1 swift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Stance
You maintain a careful guard as you search for any gaps in your opponent’s awareness.  Even the slightest move provokes a stinging counter from you.
While you are in this stance, any opponent you threaten that takes any sort of movement, including a 5-foot step, provokes an attack of opportunity from you.  Your foes provoke this attack before leaving the area you threaten.
Your opponents also cannot use the withdraw action (PH 143) to treat the square they start in as no longer threatened by you.
Bo9S 61</t>
        </r>
      </text>
    </comment>
    <comment ref="C10" authorId="0" shapeId="0" xr:uid="{C166C6EC-5770-4CFE-ABB6-F150495F47F1}">
      <text>
        <r>
          <rPr>
            <sz val="12"/>
            <color indexed="81"/>
            <rFont val="Times New Roman"/>
            <family val="1"/>
          </rPr>
          <t>Beginning at 2nd level, you draw upon the power of your unwavering faith to steel yourself against the enemies you face. Your personality, energy, and dedication to your faith make it possible for you to shrug off attacks that target your willpower.
You add your Charisma bonus (if any) as a bonus on Will saves. This bonus does not stack with that from a paladin’s divine grace ability.
Bo9S 11</t>
        </r>
      </text>
    </comment>
    <comment ref="E11" authorId="0" shapeId="0" xr:uid="{1EAA3EDA-AF01-47AD-88A2-732AA9B15369}">
      <text>
        <r>
          <rPr>
            <sz val="12"/>
            <color indexed="81"/>
            <rFont val="Times New Roman"/>
            <family val="1"/>
          </rPr>
          <t>At 1st level, a human paragon can designate any one of his human paragon class skills as an adaptive skill. This skill is treated as a class skill in all respects for all classes that character has levels in, both current and future.  For example, if a human paragon chooses  Spot as an adaptive skill, he treats Spot as a class skill for all future class levels he gains, even if it is not normally a class skill for the class in question.
Unearthed Arcana 44</t>
        </r>
      </text>
    </comment>
    <comment ref="C12" authorId="0" shapeId="0" xr:uid="{379514A9-4AFB-43EC-9B6D-1B29613FB70F}">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Your throw yourself behind your attack, lending your blow such great weight and force that you leave injuries that even magical defenses cannot mend.  Your devotion to your cause gives you boundless energy that allows you to smash through supernatural defenses. When you land an attack, you hit with such force that damage reduction offers little resistance against you.
When you use this maneuver, you make a melee attack against a single foe.  This attack automatically overcomes the opponent’s damage reduction and deals an extra 2d6 points of damage.
Bo9S 85</t>
        </r>
      </text>
    </comment>
    <comment ref="C13" authorId="0" shapeId="0" xr:uid="{F12F2619-AED0-4B66-8E13-7A105274ADFA}">
      <text>
        <r>
          <rPr>
            <sz val="12"/>
            <color indexed="81"/>
            <rFont val="Times New Roman"/>
            <family val="1"/>
          </rPr>
          <t xml:space="preserve">Devoted Spirit (Counter)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immediate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Instantaneous
With a heroic burst of effort, you thrust your shield between your defenseless ally and your enemy.
As an immediate action, you can grant an AC bonus to an adjacent ally equal to your shield’s AC bonus + 4.  You apply this bonus in response to a single melee or ranged attack that targets your ally.  You can initiate this maneuver after an opponent makes his attack roll, but you must do so before you know whether the attack was a success or a failure.
Bo9S 60</t>
        </r>
      </text>
    </comment>
    <comment ref="C14" authorId="0" shapeId="0" xr:uid="{4ED27929-D713-4854-8707-281A6E63D885}">
      <text>
        <r>
          <rPr>
            <sz val="12"/>
            <color indexed="81"/>
            <rFont val="Times New Roman"/>
            <family val="1"/>
          </rPr>
          <t xml:space="preserve">Stone Dragon (Strike)
</t>
        </r>
        <r>
          <rPr>
            <b/>
            <sz val="12"/>
            <color indexed="81"/>
            <rFont val="Times New Roman"/>
            <family val="1"/>
          </rPr>
          <t xml:space="preserve">Level: </t>
        </r>
        <r>
          <rPr>
            <sz val="12"/>
            <color indexed="81"/>
            <rFont val="Times New Roman"/>
            <family val="1"/>
          </rPr>
          <t xml:space="preserve">Crusader 2, swordsage 2, warblade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 xml:space="preserve">Creature struck
</t>
        </r>
        <r>
          <rPr>
            <b/>
            <sz val="12"/>
            <color indexed="81"/>
            <rFont val="Times New Roman"/>
            <family val="1"/>
          </rPr>
          <t xml:space="preserve">Duration: </t>
        </r>
        <r>
          <rPr>
            <sz val="12"/>
            <color indexed="81"/>
            <rFont val="Times New Roman"/>
            <family val="1"/>
          </rPr>
          <t xml:space="preserve">1 round
</t>
        </r>
        <r>
          <rPr>
            <b/>
            <sz val="12"/>
            <color indexed="81"/>
            <rFont val="Times New Roman"/>
            <family val="1"/>
          </rPr>
          <t xml:space="preserve">Saving Throw: </t>
        </r>
        <r>
          <rPr>
            <sz val="12"/>
            <color indexed="81"/>
            <rFont val="Times New Roman"/>
            <family val="1"/>
          </rPr>
          <t>Fortitude partial
You make a crushing blow that staggers your opponent, leaving it unable to move.  By making a powerful, focused blow, you leave your opponent unable to move.  The crushing weight of your blow forces it to waste a precious moment regaining its footing.
As part of this maneuver, you make a single melee attack.  This attack deals an extra 1d6 points of damage.  If the creature hit is standing on the ground, your attack also drops the target’s speed to 0 feet (for all movement capabilities) for 1 round.  It can otherwise act normally.
A successful Fortitude save (DC 12 + your Str modifier) by the creature struck negates the immobilization, but not the extra damage.
This maneuver functions only against opponents standing on the ground.  A flying creature or a levitating target need not save against the speed reduction effect, but still takes the extra damage.
Bo9S 85</t>
        </r>
      </text>
    </comment>
    <comment ref="C15" authorId="0" shapeId="0" xr:uid="{6D0BEA6F-6800-4091-9A39-F50D47AB1AE2}">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1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Divine energy surrounds your weapon as you strike.  This power washes over you as your weapon finds its mark, mending your wounds and giving you the strength to fight on.
As part of initiating this strike, you must make a successful melee attack against an enemy whose alignment has at least one component different from yours.  This foe must pose a threat to you or your allies in some direct, immediate way.  If your attack hits, you or an ally within 10 feet of you heals 1d6 points of damage + 1 point per initiator level (maximum +5).
Bo9S 58</t>
        </r>
      </text>
    </comment>
    <comment ref="C16" authorId="0" shapeId="0" xr:uid="{5112EB7E-EB97-4A02-883F-5F9B9370BC1E}">
      <text>
        <r>
          <rPr>
            <sz val="12"/>
            <color indexed="81"/>
            <rFont val="Times New Roman"/>
            <family val="1"/>
          </rPr>
          <t xml:space="preserve">White Raven (Strike)
</t>
        </r>
        <r>
          <rPr>
            <b/>
            <sz val="12"/>
            <color indexed="81"/>
            <rFont val="Times New Roman"/>
            <family val="1"/>
          </rPr>
          <t xml:space="preserve">Level: </t>
        </r>
        <r>
          <rPr>
            <sz val="12"/>
            <color indexed="81"/>
            <rFont val="Times New Roman"/>
            <family val="1"/>
          </rPr>
          <t xml:space="preserve">Crusader 2, warblade 2
</t>
        </r>
        <r>
          <rPr>
            <b/>
            <sz val="12"/>
            <color indexed="81"/>
            <rFont val="Times New Roman"/>
            <family val="1"/>
          </rPr>
          <t xml:space="preserve">Prerequisite: </t>
        </r>
        <r>
          <rPr>
            <sz val="12"/>
            <color indexed="81"/>
            <rFont val="Times New Roman"/>
            <family val="1"/>
          </rPr>
          <t xml:space="preserve">One White Raven maneuver
</t>
        </r>
        <r>
          <rPr>
            <b/>
            <sz val="12"/>
            <color indexed="81"/>
            <rFont val="Times New Roman"/>
            <family val="1"/>
          </rPr>
          <t xml:space="preserve">Initiation Action: </t>
        </r>
        <r>
          <rPr>
            <sz val="12"/>
            <color indexed="81"/>
            <rFont val="Times New Roman"/>
            <family val="1"/>
          </rPr>
          <t xml:space="preserve">1 full-round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 lead from the front, charging your enemies so that your allies can follow in your wake.  The White Raven discipline teaches that he who seizes the initiative also seizes victory.  You have learned to lead an attack with a mighty charge, the better to disrupt the enemy and inspire your allies in battle.
As part of this maneuver, you charge an opponent.  You do not provoke attacks of opportunity for moving as part of this charge.  If your charge attack hits, it deals an extra 10 points of damage.
Bo9S 90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9D247F4B-6A93-403D-A878-3F6426CB28B7}">
      <text>
        <r>
          <rPr>
            <sz val="12"/>
            <color indexed="81"/>
            <rFont val="Times New Roman"/>
            <family val="1"/>
          </rPr>
          <t>Damage when Large:  1d10 ==&gt; 2d8.
Damage when Small:  1d10 ==&gt; 1d8.</t>
        </r>
      </text>
    </comment>
    <comment ref="D3" authorId="0" shapeId="0" xr:uid="{0AC2D0DD-8608-4B0E-B23B-9CC4F23970E7}">
      <text>
        <r>
          <rPr>
            <sz val="12"/>
            <color indexed="81"/>
            <rFont val="Times New Roman"/>
            <family val="1"/>
          </rPr>
          <t>Weapon Focus +1
Weapon +1
Inspire Courage +2</t>
        </r>
      </text>
    </comment>
    <comment ref="B4" authorId="0" shapeId="0" xr:uid="{AFD059EE-C649-4370-855E-553E4F96E0C0}">
      <text>
        <r>
          <rPr>
            <sz val="12"/>
            <color indexed="81"/>
            <rFont val="Times New Roman"/>
            <family val="1"/>
          </rPr>
          <t>Damage when Large:  1d10 ==&gt; 2d8.
Damage when Small:  1d10 ==&gt; 1d8.</t>
        </r>
      </text>
    </comment>
    <comment ref="D4" authorId="0" shapeId="0" xr:uid="{FCC5EE16-E80A-40A7-A0D0-AE03CBBBB501}">
      <text>
        <r>
          <rPr>
            <sz val="12"/>
            <color indexed="81"/>
            <rFont val="Times New Roman"/>
            <family val="1"/>
          </rPr>
          <t>Weapon Focus +1
Weapon +1
Inspire Courage +2</t>
        </r>
      </text>
    </comment>
    <comment ref="A5" authorId="0" shapeId="0" xr:uid="{18460AE3-AA50-4148-81C0-F866E5E9D460}">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amethyst is carved in the shape of a humanoid skull.
Clerics craft truedeath crystals to aid themselves and others in sending undead to their final rest.
</t>
        </r>
        <r>
          <rPr>
            <b/>
            <sz val="12"/>
            <color indexed="81"/>
            <rFont val="Times New Roman"/>
            <family val="1"/>
          </rPr>
          <t xml:space="preserve">Least: </t>
        </r>
        <r>
          <rPr>
            <sz val="12"/>
            <color indexed="81"/>
            <rFont val="Times New Roman"/>
            <family val="1"/>
          </rPr>
          <t xml:space="preserve">A weapon with this crystal attached deals an extra 1d6 points of damage to undead.
</t>
        </r>
        <r>
          <rPr>
            <b/>
            <sz val="12"/>
            <color indexed="81"/>
            <rFont val="Times New Roman"/>
            <family val="1"/>
          </rPr>
          <t xml:space="preserve">Lesser: </t>
        </r>
        <r>
          <rPr>
            <sz val="12"/>
            <color indexed="81"/>
            <rFont val="Times New Roman"/>
            <family val="1"/>
          </rPr>
          <t xml:space="preserve">As the least crystal, and the weapon also functions as a ghost touch weapon (DMG 224).
</t>
        </r>
        <r>
          <rPr>
            <b/>
            <sz val="12"/>
            <color indexed="81"/>
            <rFont val="Times New Roman"/>
            <family val="1"/>
          </rPr>
          <t xml:space="preserve">Greater: </t>
        </r>
        <r>
          <rPr>
            <sz val="12"/>
            <color indexed="81"/>
            <rFont val="Times New Roman"/>
            <family val="1"/>
          </rPr>
          <t>As the lesser crystal, and the weapon can deliver sneak attacks and critical hits against undead as if they were living creatures.
MIC 66</t>
        </r>
      </text>
    </comment>
    <comment ref="D6" authorId="0" shapeId="0" xr:uid="{59E08BF5-AC4A-4334-82EC-1582E5D67ACA}">
      <text>
        <r>
          <rPr>
            <sz val="12"/>
            <color indexed="81"/>
            <rFont val="Times New Roman"/>
            <family val="1"/>
          </rPr>
          <t>Masterwork +1
Inspire Courage +2</t>
        </r>
      </text>
    </comment>
    <comment ref="D7" authorId="0" shapeId="0" xr:uid="{8650753B-64F4-4AAE-8A3B-991620DDE8F6}">
      <text>
        <r>
          <rPr>
            <sz val="12"/>
            <color indexed="81"/>
            <rFont val="Times New Roman"/>
            <family val="1"/>
          </rPr>
          <t>Masterwork +1
Inspire Courage +2</t>
        </r>
      </text>
    </comment>
    <comment ref="A8" authorId="0" shapeId="0" xr:uid="{8C948273-0C9A-428B-94FA-E11AF54A86DD}">
      <text>
        <r>
          <rPr>
            <b/>
            <sz val="12"/>
            <color indexed="81"/>
            <rFont val="Times New Roman"/>
            <family val="1"/>
          </rPr>
          <t xml:space="preserve">Price (Item Level): </t>
        </r>
        <r>
          <rPr>
            <sz val="12"/>
            <color indexed="81"/>
            <rFont val="Times New Roman"/>
            <family val="1"/>
          </rPr>
          <t xml:space="preserve">1,000 gp (4th) (least); 3,000 gp (7th) (lesser); 5,000 gp (9th)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perfect crystal sphere emits a faint white glow.
A fiendslayer crystal helps you fi ght creatures infused with evil.
Least: A weapon with this crystal attached deals an extra 1d6 points of damage to evil outsiders.  Lesser: As the least crystal, and the weapon is treated as good-aligned for the purpose of overcoming damage reduction.
Greater: As the lesser crystal, and if the weapon scores a critical hit against an evil outsider, that creature can’t use any teleportation abilities or spells for 1 round.  Any evil creature grasping a weapon that bears a fiendslayer crystal gains one negative level, which remains as long as it holds the weapon and disappears when the weapon is no longer wielded.  This negative level never results in actual level loss, but it cannot be overcome in any way (including restoration spells) while the weapon is wielded.
MIC 65</t>
        </r>
      </text>
    </comment>
    <comment ref="D9" authorId="0" shapeId="0" xr:uid="{EB8DE98C-884B-403A-BD98-78E007A549E3}">
      <text>
        <r>
          <rPr>
            <sz val="12"/>
            <color indexed="81"/>
            <rFont val="Times New Roman"/>
            <family val="1"/>
          </rPr>
          <t>Inspire Courage +2</t>
        </r>
      </text>
    </comment>
    <comment ref="D10" authorId="0" shapeId="0" xr:uid="{0612BE9C-2FD5-46BF-B8C3-0AA49E198D6C}">
      <text>
        <r>
          <rPr>
            <sz val="12"/>
            <color indexed="81"/>
            <rFont val="Times New Roman"/>
            <family val="1"/>
          </rPr>
          <t>Inspire Courage +2</t>
        </r>
      </text>
    </comment>
    <comment ref="D11" authorId="0" shapeId="0" xr:uid="{422625F1-6B08-48D1-9B34-F0FFB96D6211}">
      <text>
        <r>
          <rPr>
            <sz val="12"/>
            <color indexed="81"/>
            <rFont val="Times New Roman"/>
            <family val="1"/>
          </rPr>
          <t>Inspire Courage +2</t>
        </r>
      </text>
    </comment>
    <comment ref="D12" authorId="0" shapeId="0" xr:uid="{A6E607B1-B129-4F4D-B9E0-6298FC45A3B5}">
      <text>
        <r>
          <rPr>
            <sz val="12"/>
            <color indexed="81"/>
            <rFont val="Times New Roman"/>
            <family val="1"/>
          </rPr>
          <t>Inspire Courage +2</t>
        </r>
      </text>
    </comment>
    <comment ref="D13" authorId="0" shapeId="0" xr:uid="{EFE4BBE2-82C1-40AE-A364-2255B51F6258}">
      <text>
        <r>
          <rPr>
            <sz val="12"/>
            <color indexed="81"/>
            <rFont val="Times New Roman"/>
            <family val="1"/>
          </rPr>
          <t>Inspire Courage +2</t>
        </r>
      </text>
    </comment>
    <comment ref="D14" authorId="0" shapeId="0" xr:uid="{9C2D8666-F7EA-4F59-BE2A-FEC0CDD19551}">
      <text>
        <r>
          <rPr>
            <sz val="12"/>
            <color indexed="81"/>
            <rFont val="Times New Roman"/>
            <family val="1"/>
          </rPr>
          <t>Inspire Courage +2</t>
        </r>
      </text>
    </comment>
    <comment ref="D15" authorId="0" shapeId="0" xr:uid="{D5EE3F79-9B57-4A16-88A4-91E7DEE299BD}">
      <text>
        <r>
          <rPr>
            <sz val="12"/>
            <color indexed="81"/>
            <rFont val="Times New Roman"/>
            <family val="1"/>
          </rPr>
          <t>Inspire Courage +2</t>
        </r>
      </text>
    </comment>
    <comment ref="D16" authorId="0" shapeId="0" xr:uid="{DFE6D3EC-C017-4B68-BCAA-F378D98D7056}">
      <text>
        <r>
          <rPr>
            <sz val="12"/>
            <color indexed="81"/>
            <rFont val="Times New Roman"/>
            <family val="1"/>
          </rPr>
          <t>Inspire Courage +2</t>
        </r>
      </text>
    </comment>
    <comment ref="D17" authorId="0" shapeId="0" xr:uid="{52B86011-34D9-4449-A5C7-D30A5C8CCDD6}">
      <text>
        <r>
          <rPr>
            <sz val="12"/>
            <color indexed="81"/>
            <rFont val="Times New Roman"/>
            <family val="1"/>
          </rPr>
          <t>Inspire Courage +2</t>
        </r>
      </text>
    </comment>
    <comment ref="D29" authorId="0" shapeId="0" xr:uid="{00000000-0006-0000-0500-000005000000}">
      <text>
        <r>
          <rPr>
            <sz val="12"/>
            <color indexed="81"/>
            <rFont val="Times New Roman"/>
            <family val="1"/>
          </rPr>
          <t>Balance, Climb, Escape Artist, Hide, Jump, Move Silently, Sleight of Hand, Tumble.</t>
        </r>
      </text>
    </comment>
    <comment ref="A30" authorId="0" shapeId="0" xr:uid="{C575D7D5-B33B-4199-87FA-E95CC4A23E91}">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weigh less than it should.
When wearing armor that has this property, you can carry up to a medium load as if it were a light load (ignoring the maximum Dexterity bonus, check penalty, and reduced speed normally incurred by a medium load). These reductions apply only to penalties for the load you carry, not to any reduction in speed caused by the armor itself.
In addition, you can walk for up to 10 hours in a day before having to make Constitution checks to avoid taking nonlethal damage (PH 164).
MIC 10</t>
        </r>
      </text>
    </comment>
    <comment ref="A31" authorId="0" shapeId="0" xr:uid="{7407C80F-CDF1-418C-BA97-353BC2DA02B8}">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sea-green crystal always feels moist to the touch.
A crystal of aquatic action aids the wearer while underwater.
Least: Any armor bearing this augment crystal does not impose an armor check
penalty on your Swim checks.
Lesser: As the least crystal, and you also gain a Swim speed equal to one-half
your land speed (round down to the next 5-foot increment).
Greater: As the lesser crystal, and you also take no penalties on attacks or movement while underwater (as if under the effect of freedom of movement) and you can breathe water as easily as air.
MIC 25</t>
        </r>
      </text>
    </comment>
    <comment ref="A32" authorId="0" shapeId="0" xr:uid="{34702EEA-4909-42B9-B951-27E1AB3CE73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immediate (mental)
</t>
        </r>
        <r>
          <rPr>
            <b/>
            <sz val="12"/>
            <color indexed="81"/>
            <rFont val="Times New Roman"/>
            <family val="1"/>
          </rPr>
          <t xml:space="preserve">Weight: </t>
        </r>
        <r>
          <rPr>
            <sz val="12"/>
            <color indexed="81"/>
            <rFont val="Times New Roman"/>
            <family val="1"/>
          </rPr>
          <t>1/2 lb.
These matching leather wristbands feel light but strong.
Bracers of opportunity allow you to take advantage of opponents who let down their defenses.
If you have the Combat Refl exes feat, you gain a +2 competence bonus on any attack of opportunity you make (whether the attack of opportunity is granted by the bracers or not).  This is a continuous effect and requires no activation.
When you activate these bracers, you can take an attack of opportunity granted to you by an opponent, even if you have already reached your normal limit of attacks of opportunity in the round.  This ability functions two times per day.
MIC 81</t>
        </r>
      </text>
    </comment>
    <comment ref="B34" authorId="0" shapeId="0" xr:uid="{117F8254-41A3-43F6-91E5-3939F32C1211}">
      <text>
        <r>
          <rPr>
            <sz val="12"/>
            <color indexed="81"/>
            <rFont val="Times New Roman"/>
            <family val="1"/>
          </rPr>
          <t>This is a deflection bonus, so it's hard-coded into the TAC calculation in the Personal File.</t>
        </r>
      </text>
    </comment>
    <comment ref="A35" authorId="0" shapeId="0" xr:uid="{982973DE-9CA6-4434-97C6-2A77DE64B579}">
      <text>
        <r>
          <rPr>
            <b/>
            <sz val="12"/>
            <color indexed="81"/>
            <rFont val="Times New Roman"/>
            <family val="1"/>
          </rPr>
          <t xml:space="preserve">Price (Item Level): </t>
        </r>
        <r>
          <rPr>
            <sz val="12"/>
            <color indexed="81"/>
            <rFont val="Times New Roman"/>
            <family val="1"/>
          </rPr>
          <t xml:space="preserve">500 gp (3rd) (least), 2,500 gp (7th) (lesser), or 5,000 gp (9th) (greater)
</t>
        </r>
        <r>
          <rPr>
            <b/>
            <sz val="12"/>
            <color indexed="81"/>
            <rFont val="Times New Roman"/>
            <family val="1"/>
          </rPr>
          <t xml:space="preserve">Body Slot: </t>
        </r>
        <r>
          <rPr>
            <sz val="12"/>
            <color indexed="81"/>
            <rFont val="Times New Roman"/>
            <family val="1"/>
          </rPr>
          <t xml:space="preserve">— (shield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blue sapphire is cut into a large cabochon.  It contains a small fl int arrowhead in its center.
A crystal of arrow defl ection protects you from ranged weapon attacks.
</t>
        </r>
        <r>
          <rPr>
            <b/>
            <sz val="12"/>
            <color indexed="81"/>
            <rFont val="Times New Roman"/>
            <family val="1"/>
          </rPr>
          <t xml:space="preserve">Least: </t>
        </r>
        <r>
          <rPr>
            <sz val="12"/>
            <color indexed="81"/>
            <rFont val="Times New Roman"/>
            <family val="1"/>
          </rPr>
          <t xml:space="preserve">This augment crystal grants you a +2 bonus to AC against ranged attacks.
</t>
        </r>
        <r>
          <rPr>
            <b/>
            <sz val="12"/>
            <color indexed="81"/>
            <rFont val="Times New Roman"/>
            <family val="1"/>
          </rPr>
          <t xml:space="preserve">Lesser: </t>
        </r>
        <r>
          <rPr>
            <sz val="12"/>
            <color indexed="81"/>
            <rFont val="Times New Roman"/>
            <family val="1"/>
          </rPr>
          <t xml:space="preserve">As the least crystal, except the bonus is +5.
</t>
        </r>
        <r>
          <rPr>
            <b/>
            <sz val="12"/>
            <color indexed="81"/>
            <rFont val="Times New Roman"/>
            <family val="1"/>
          </rPr>
          <t xml:space="preserve">Greater: </t>
        </r>
        <r>
          <rPr>
            <sz val="12"/>
            <color indexed="81"/>
            <rFont val="Times New Roman"/>
            <family val="1"/>
          </rPr>
          <t>As the least crystal, and you can deflect one ranged attack per round as if you had the Deflect Arrows feat.
MIC 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66BE915B-4E5C-4FA9-AB44-E8C31A69F386}">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5" authorId="0" shapeId="0" xr:uid="{09D46464-A6D4-4BC3-84D7-79087BBC5F12}">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MIC 71</t>
        </r>
      </text>
    </comment>
    <comment ref="A6" authorId="0" shapeId="0" xr:uid="{EF0C0A44-C164-40AC-AF6D-2AB9A6BDF00E}">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7" authorId="0" shapeId="0" xr:uid="{C9670EAC-08C0-43BD-9AB6-8AADE92F67B3}">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pair of heavy black leather gauntlets is set with metal studs.
Brute gauntlets allow you to temporarily increase your physical might.  These gauntlets have 3 charges, which are renewed each day at dawn.  Spending 1 or more charges grants you a morale bonus on Strength checks, Strength-based skill checks, and melee weapon damage for 1 round.
</t>
        </r>
        <r>
          <rPr>
            <b/>
            <sz val="12"/>
            <color indexed="81"/>
            <rFont val="Times New Roman"/>
            <family val="1"/>
          </rPr>
          <t xml:space="preserve">1 charge:  </t>
        </r>
        <r>
          <rPr>
            <sz val="12"/>
            <color indexed="81"/>
            <rFont val="Times New Roman"/>
            <family val="1"/>
          </rPr>
          <t xml:space="preserve">+2 morale bonus.
</t>
        </r>
        <r>
          <rPr>
            <b/>
            <sz val="12"/>
            <color indexed="81"/>
            <rFont val="Times New Roman"/>
            <family val="1"/>
          </rPr>
          <t xml:space="preserve">2 charges:  </t>
        </r>
        <r>
          <rPr>
            <sz val="12"/>
            <color indexed="81"/>
            <rFont val="Times New Roman"/>
            <family val="1"/>
          </rPr>
          <t xml:space="preserve">+3 morale bonus.
</t>
        </r>
        <r>
          <rPr>
            <b/>
            <sz val="12"/>
            <color indexed="81"/>
            <rFont val="Times New Roman"/>
            <family val="1"/>
          </rPr>
          <t xml:space="preserve">3 charges:  </t>
        </r>
        <r>
          <rPr>
            <sz val="12"/>
            <color indexed="81"/>
            <rFont val="Times New Roman"/>
            <family val="1"/>
          </rPr>
          <t>+4 morale bonus.
MIC 83</t>
        </r>
      </text>
    </comment>
    <comment ref="A18" authorId="0" shapeId="0" xr:uid="{67B52D3C-38E9-4AF6-9421-4AD91CC0ADC3}">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26" authorId="0" shapeId="0" xr:uid="{9BF94E10-ABF2-4DFE-907A-6234120BABFA}">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<sst xmlns="http://schemas.openxmlformats.org/spreadsheetml/2006/main" count="771" uniqueCount="419">
  <si>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</si>
  <si>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</si>
  <si>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</si>
  <si>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</si>
  <si>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</si>
  <si>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</si>
  <si>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</si>
  <si>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</si>
  <si>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</si>
  <si>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</si>
  <si>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</si>
  <si>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</si>
  <si>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</si>
  <si>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</si>
  <si>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</si>
  <si>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</si>
  <si>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</si>
  <si>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</si>
  <si>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</si>
  <si>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</si>
  <si>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</si>
  <si>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</si>
  <si>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</si>
  <si>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</si>
  <si>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</si>
  <si>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</si>
  <si>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</si>
  <si>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</si>
  <si>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</si>
  <si>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</si>
  <si>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</si>
  <si>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</si>
  <si>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</si>
  <si>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</si>
  <si>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</si>
  <si>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</si>
  <si>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</si>
  <si>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</si>
  <si>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</si>
  <si>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</si>
  <si>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</si>
  <si>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</si>
  <si>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</si>
  <si>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</si>
  <si>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</si>
  <si>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</si>
  <si>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</si>
  <si>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</si>
  <si>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</si>
  <si>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</si>
  <si>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</si>
  <si>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</si>
  <si>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</si>
  <si>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</si>
  <si>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</si>
  <si>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</si>
  <si>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</si>
  <si>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</si>
  <si>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</si>
  <si>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</si>
  <si>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</si>
  <si>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</si>
  <si>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</si>
  <si>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</si>
  <si>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</si>
  <si>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</si>
  <si>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</si>
  <si>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</si>
  <si>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</si>
  <si>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</si>
  <si>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</si>
  <si>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</si>
  <si>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</si>
  <si>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</si>
  <si>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</si>
  <si>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</si>
  <si>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</si>
  <si>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</si>
  <si>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</si>
  <si>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</si>
  <si>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</si>
  <si>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</si>
  <si>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</si>
  <si>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</si>
  <si>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</si>
  <si>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</si>
  <si>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</si>
  <si>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</si>
  <si>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</si>
  <si>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</si>
  <si>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</si>
  <si>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</si>
  <si>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</si>
  <si>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</si>
  <si>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</si>
  <si>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</si>
  <si>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</si>
  <si>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</si>
  <si>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</si>
  <si>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</si>
  <si>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</si>
  <si>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</si>
  <si>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</si>
  <si>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</si>
  <si>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 Level</t>
  </si>
  <si>
    <t>0th</t>
  </si>
  <si>
    <t>7th</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</si>
  <si>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</si>
  <si>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</si>
  <si>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</si>
  <si>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</si>
  <si>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</si>
  <si>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</si>
  <si>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</si>
  <si>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</si>
  <si>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</si>
  <si>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</si>
  <si>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</si>
  <si>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</si>
  <si>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</si>
  <si>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</si>
  <si>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</si>
  <si>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</si>
  <si>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</si>
  <si>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</si>
  <si>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</si>
  <si>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</si>
  <si>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</si>
  <si>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</si>
  <si>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</si>
  <si>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</si>
  <si>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</si>
  <si>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</si>
  <si>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</si>
  <si>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</si>
  <si>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</si>
  <si>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</si>
  <si>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</si>
  <si>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</si>
  <si>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</si>
  <si>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</si>
  <si>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</si>
  <si>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</si>
  <si>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</si>
  <si>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</si>
  <si>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</si>
  <si>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</si>
  <si>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</si>
  <si>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</si>
  <si>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</si>
  <si>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</si>
  <si>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</si>
  <si>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</si>
  <si>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</si>
  <si>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</si>
  <si>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</si>
  <si>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</si>
  <si>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</si>
  <si>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</si>
  <si>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</si>
  <si>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</si>
  <si>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</si>
  <si>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</si>
  <si>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</si>
  <si>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</si>
  <si>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</si>
  <si>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</si>
  <si>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Female</t>
  </si>
  <si>
    <t>5’ 11”</t>
  </si>
  <si>
    <t>211 lbs.</t>
  </si>
  <si>
    <t>Neutral Good</t>
  </si>
  <si>
    <t>Elsabet</t>
  </si>
  <si>
    <t>Played by Ernest Hakey</t>
  </si>
  <si>
    <t>favored soul 1</t>
  </si>
  <si>
    <t>Human:  Fey Heritage</t>
  </si>
  <si>
    <t>Charisma Bonus</t>
  </si>
  <si>
    <t>Favored Soul Spells</t>
  </si>
  <si>
    <t>8th</t>
  </si>
  <si>
    <t>9th</t>
  </si>
  <si>
    <t>DC</t>
  </si>
  <si>
    <t>Cast?</t>
  </si>
  <si>
    <t>Profession:  [type]</t>
  </si>
  <si>
    <t>Slashing</t>
  </si>
  <si>
    <t>AC</t>
  </si>
  <si>
    <t>The Dale</t>
  </si>
  <si>
    <t>Dagger</t>
  </si>
  <si>
    <t>Right Hand</t>
  </si>
  <si>
    <t>Left Hand</t>
  </si>
  <si>
    <t xml:space="preserve">Silver Holy Symbol of Mayaheine </t>
  </si>
  <si>
    <t>Flask of Acid</t>
  </si>
  <si>
    <t>Flask of Alchemist’s Fire</t>
  </si>
  <si>
    <t>Used as a journal</t>
  </si>
  <si>
    <t>Gold Coins</t>
  </si>
  <si>
    <t>Vials of Ink</t>
  </si>
  <si>
    <t>Quills</t>
  </si>
  <si>
    <t>Vials of Antitoxin</t>
  </si>
  <si>
    <t>Bedroll</t>
  </si>
  <si>
    <t>Winter Blanket</t>
  </si>
  <si>
    <t>Waterskin</t>
  </si>
  <si>
    <t>Masterwork Weaponsmith’s Tools</t>
  </si>
  <si>
    <t>Trail Rations, Day’s Supply</t>
  </si>
  <si>
    <t>Torches</t>
  </si>
  <si>
    <t>Flint &amp; Steel</t>
  </si>
  <si>
    <t>Iron Pot</t>
  </si>
  <si>
    <t>Sledge</t>
  </si>
  <si>
    <t>Spade</t>
  </si>
  <si>
    <t>Cold Weather Outfit</t>
  </si>
  <si>
    <t>seven</t>
  </si>
  <si>
    <t>Weaponsmith’s (Artisan’s) Outfit</t>
  </si>
  <si>
    <t>Brown &amp; Green</t>
  </si>
  <si>
    <t>Red &amp; Blue</t>
  </si>
  <si>
    <t>Soap</t>
  </si>
  <si>
    <t>10’</t>
  </si>
  <si>
    <t>1d4</t>
  </si>
  <si>
    <t>Piercing</t>
  </si>
  <si>
    <t>4</t>
  </si>
  <si>
    <t>Crusader</t>
  </si>
  <si>
    <t>+3 vs. Enchantments</t>
  </si>
  <si>
    <t>2</t>
  </si>
  <si>
    <t>Conjuration</t>
  </si>
  <si>
    <t>XP</t>
  </si>
  <si>
    <t>Regional:  Blooded</t>
  </si>
  <si>
    <t>Amanuensis</t>
  </si>
  <si>
    <t>Transmutation</t>
  </si>
  <si>
    <t>25’ + 2½’/lvl</t>
  </si>
  <si>
    <t>Spell Compendium</t>
  </si>
  <si>
    <t>CROSS-CLASS</t>
  </si>
  <si>
    <t>Holy Water, Flask</t>
  </si>
  <si>
    <t>Everburning Torch</t>
  </si>
  <si>
    <t>Tanglefoot Bag</t>
  </si>
  <si>
    <t>Thunderstone</t>
  </si>
  <si>
    <t>Tindertwigs</t>
  </si>
  <si>
    <t>Ice Axe</t>
  </si>
  <si>
    <t>Percolator</t>
  </si>
  <si>
    <t>Mess Kit</t>
  </si>
  <si>
    <t>Zakharan Tea</t>
  </si>
  <si>
    <t>favored soul 2</t>
  </si>
  <si>
    <t>Simple Weapons, Bastard Sword</t>
  </si>
  <si>
    <t>favored soul 3</t>
  </si>
  <si>
    <t>Speak Language:  Giant</t>
  </si>
  <si>
    <t>Favored Soul Features</t>
  </si>
  <si>
    <t>Weapon Focus:  Bastard Sword</t>
  </si>
  <si>
    <t>3rd:  Exotic Proficiency:  Bastard Sword</t>
  </si>
  <si>
    <t>*</t>
  </si>
  <si>
    <t>MW Light Crossbow</t>
  </si>
  <si>
    <t>1</t>
  </si>
  <si>
    <r>
      <t xml:space="preserve">Scroll of </t>
    </r>
    <r>
      <rPr>
        <i/>
        <sz val="12"/>
        <rFont val="Times New Roman"/>
        <family val="1"/>
      </rPr>
      <t>Comprehend Languages</t>
    </r>
  </si>
  <si>
    <t>Silk Rope</t>
  </si>
  <si>
    <t>50’</t>
  </si>
  <si>
    <t>Resurgence</t>
  </si>
  <si>
    <t>Complete Divine</t>
  </si>
  <si>
    <t>Mending</t>
  </si>
  <si>
    <t>Bull’s Strength</t>
  </si>
  <si>
    <t>Restoration, Lesser</t>
  </si>
  <si>
    <t>Silence</t>
  </si>
  <si>
    <t>Illusion</t>
  </si>
  <si>
    <t>400’ + 40’/lvl</t>
  </si>
  <si>
    <t>1d6</t>
  </si>
  <si>
    <t>Grappling Hook</t>
  </si>
  <si>
    <t>Attached to Silk Rope</t>
  </si>
  <si>
    <t>Hourglass</t>
  </si>
  <si>
    <t>Manacles</t>
  </si>
  <si>
    <t>favored soul 4</t>
  </si>
  <si>
    <t>Climber’s Kit</t>
  </si>
  <si>
    <t>Healer’s Kit</t>
  </si>
  <si>
    <t>Favored Soul Level</t>
  </si>
  <si>
    <r>
      <t xml:space="preserve">Scroll of </t>
    </r>
    <r>
      <rPr>
        <i/>
        <sz val="12"/>
        <rFont val="Times New Roman"/>
        <family val="1"/>
      </rPr>
      <t>Magic Weapon</t>
    </r>
  </si>
  <si>
    <t>Soft Equity Ceiling:</t>
  </si>
  <si>
    <t>Heward’s Handy Haversack</t>
  </si>
  <si>
    <t>% Full:</t>
  </si>
  <si>
    <t>Brute Gauntlets</t>
  </si>
  <si>
    <t>crusader 1</t>
  </si>
  <si>
    <t>Knowledge:  History</t>
  </si>
  <si>
    <t>Crusader Features</t>
  </si>
  <si>
    <t>Known Favored Soul Spells</t>
  </si>
  <si>
    <t>Stance:  Leading the Charge (White Raven)</t>
  </si>
  <si>
    <t>Initiator Level:</t>
  </si>
  <si>
    <t>Current Maneuvers</t>
  </si>
  <si>
    <t>Tent</t>
  </si>
  <si>
    <t>Fishing Net</t>
  </si>
  <si>
    <t>Crowbar</t>
  </si>
  <si>
    <t>Hammer</t>
  </si>
  <si>
    <t>Bell</t>
  </si>
  <si>
    <t>4 different tones</t>
  </si>
  <si>
    <t>Signal Whistles, Engraved</t>
  </si>
  <si>
    <t>Smokestick</t>
  </si>
  <si>
    <t>Piton</t>
  </si>
  <si>
    <t>Warlock</t>
  </si>
  <si>
    <t>warlock 1</t>
  </si>
  <si>
    <t>Invocations</t>
  </si>
  <si>
    <t>Grade</t>
  </si>
  <si>
    <t>ESP</t>
  </si>
  <si>
    <t>Properties</t>
  </si>
  <si>
    <t>Eldritch Blast</t>
  </si>
  <si>
    <t>n/a</t>
  </si>
  <si>
    <t>60’</t>
  </si>
  <si>
    <t>1d6, x2 on 20</t>
  </si>
  <si>
    <t>Least</t>
  </si>
  <si>
    <t>24 hours</t>
  </si>
  <si>
    <t>Call of the Beast</t>
  </si>
  <si>
    <t>+2 to act in character</t>
  </si>
  <si>
    <t>6th:  Fey Presence</t>
  </si>
  <si>
    <t>SF</t>
  </si>
  <si>
    <t>q</t>
  </si>
  <si>
    <t>Charm Monster</t>
  </si>
  <si>
    <t>Deep Slumber</t>
  </si>
  <si>
    <t>Disguise Self</t>
  </si>
  <si>
    <t>Favored Soul Spells per Day</t>
  </si>
  <si>
    <t>Bastard Sword +1, 1-handed</t>
  </si>
  <si>
    <t>Anklet of Translocation</t>
  </si>
  <si>
    <t>MIC p. 25</t>
  </si>
  <si>
    <r>
      <t xml:space="preserve">Potion of </t>
    </r>
    <r>
      <rPr>
        <i/>
        <sz val="12"/>
        <rFont val="Times New Roman"/>
        <family val="1"/>
      </rPr>
      <t>Enlarge Person</t>
    </r>
  </si>
  <si>
    <t>Small Mammal Treats</t>
  </si>
  <si>
    <t>Speak with Animals &amp; Wild Empathy</t>
  </si>
  <si>
    <t>60’ max.</t>
  </si>
  <si>
    <t>Furious Counterstrike</t>
  </si>
  <si>
    <t>Steely Resolve 5</t>
  </si>
  <si>
    <t>Foehammer</t>
  </si>
  <si>
    <t>Shield Block</t>
  </si>
  <si>
    <t>Stone Vise</t>
  </si>
  <si>
    <t>Crusader’s Strike</t>
  </si>
  <si>
    <t>Battle Leader’s Charge</t>
  </si>
  <si>
    <t>Maneuvers</t>
  </si>
  <si>
    <t>Cold Iron Spiked Knuckles</t>
  </si>
  <si>
    <t>Silver Spiked Knuckles</t>
  </si>
  <si>
    <t>Total Spells</t>
  </si>
  <si>
    <t>1d10+1</t>
  </si>
  <si>
    <t>Platinum Coins</t>
  </si>
  <si>
    <t>Shawl</t>
  </si>
  <si>
    <t>Mintary weaving</t>
  </si>
  <si>
    <t>Birdseed Bowl</t>
  </si>
  <si>
    <t>MW Candles</t>
  </si>
  <si>
    <t>Last twice as long</t>
  </si>
  <si>
    <t>Prc &amp; Slsh</t>
  </si>
  <si>
    <r>
      <t xml:space="preserve">Scroll of </t>
    </r>
    <r>
      <rPr>
        <i/>
        <sz val="12"/>
        <rFont val="Times New Roman"/>
        <family val="1"/>
      </rPr>
      <t>Remove Paralysis</t>
    </r>
  </si>
  <si>
    <r>
      <t xml:space="preserve">Scroll of </t>
    </r>
    <r>
      <rPr>
        <i/>
        <sz val="12"/>
        <rFont val="Times New Roman"/>
        <family val="1"/>
      </rPr>
      <t>Shield Other</t>
    </r>
  </si>
  <si>
    <r>
      <t xml:space="preserve">Scroll of </t>
    </r>
    <r>
      <rPr>
        <i/>
        <sz val="12"/>
        <rFont val="Times New Roman"/>
        <family val="1"/>
      </rPr>
      <t>Hide from Undead</t>
    </r>
  </si>
  <si>
    <r>
      <t xml:space="preserve">Scroll of </t>
    </r>
    <r>
      <rPr>
        <i/>
        <sz val="12"/>
        <rFont val="Times New Roman"/>
        <family val="1"/>
      </rPr>
      <t>Hold Person</t>
    </r>
  </si>
  <si>
    <t>Bracers of Opportunity</t>
  </si>
  <si>
    <t>warlock 2</t>
  </si>
  <si>
    <t>Warlock Features</t>
  </si>
  <si>
    <t>See the Unseen</t>
  </si>
  <si>
    <t>S</t>
  </si>
  <si>
    <t>Darkvision &amp; See Invisibility</t>
  </si>
  <si>
    <t>For Skill Trick(s)</t>
  </si>
  <si>
    <t>Skill Tricks</t>
  </si>
  <si>
    <t>Extreme Leap</t>
  </si>
  <si>
    <t>Touch Attack</t>
  </si>
  <si>
    <t>Healing Belt</t>
  </si>
  <si>
    <t>List of Culprits at Large</t>
  </si>
  <si>
    <t>Updated Highsun, 6 Tarsakh, 2 fugitives left</t>
  </si>
  <si>
    <t>Copy of Arrest Papers for Kid</t>
  </si>
  <si>
    <t>Parchment</t>
  </si>
  <si>
    <t>Copy of contract to kill the members of the Fist of Light</t>
  </si>
  <si>
    <t>one</t>
  </si>
  <si>
    <r>
      <t xml:space="preserve">+1 </t>
    </r>
    <r>
      <rPr>
        <i/>
        <sz val="13"/>
        <rFont val="Times New Roman"/>
        <family val="1"/>
      </rPr>
      <t>haste</t>
    </r>
  </si>
  <si>
    <t>Indomitable Soul</t>
  </si>
  <si>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</si>
  <si>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crusader 2</t>
  </si>
  <si>
    <t>Stance:  Thicket of Blades</t>
  </si>
  <si>
    <t>Wizard’s Spellbook 1</t>
  </si>
  <si>
    <t>Wizard’s Spellbook 2</t>
  </si>
  <si>
    <r>
      <t xml:space="preserve">Scroll of </t>
    </r>
    <r>
      <rPr>
        <i/>
        <sz val="12"/>
        <rFont val="Times New Roman"/>
        <family val="1"/>
      </rPr>
      <t>Dispel Magic</t>
    </r>
  </si>
  <si>
    <r>
      <t xml:space="preserve">Scroll of </t>
    </r>
    <r>
      <rPr>
        <i/>
        <sz val="12"/>
        <rFont val="Times New Roman"/>
        <family val="1"/>
      </rPr>
      <t>Shatter</t>
    </r>
  </si>
  <si>
    <t>Grapple, 2nd Strike</t>
  </si>
  <si>
    <t>Spiked Knuckles, 2nd Strike</t>
  </si>
  <si>
    <t>Dagger, 2nd Attack</t>
  </si>
  <si>
    <t>Bastard Sword, 2nd Attack</t>
  </si>
  <si>
    <t>Amulet of Tears</t>
  </si>
  <si>
    <t>Crystal of Arrow Deflection, Lesser</t>
  </si>
  <si>
    <t>Crystal of Aquatic Action, Lesser</t>
  </si>
  <si>
    <t>+5 vs. ranged weapons (on shield)</t>
  </si>
  <si>
    <t>Fiendslayer Crystal, Least</t>
  </si>
  <si>
    <t>Everfull Mug</t>
  </si>
  <si>
    <t>Flail, 2nd Attack</t>
  </si>
  <si>
    <t>vs.</t>
  </si>
  <si>
    <t>undead</t>
  </si>
  <si>
    <t>Least Truedeath Crystal</t>
  </si>
  <si>
    <t>MW Silver Flail</t>
  </si>
  <si>
    <t>vs. Evil Outsiders</t>
  </si>
  <si>
    <t>1d8-1</t>
  </si>
  <si>
    <t>1d4-1</t>
  </si>
  <si>
    <r>
      <t xml:space="preserve">Scroll of </t>
    </r>
    <r>
      <rPr>
        <i/>
        <sz val="12"/>
        <rFont val="Times New Roman"/>
        <family val="1"/>
      </rPr>
      <t>Resist Energy</t>
    </r>
  </si>
  <si>
    <t>Scroll Case</t>
  </si>
  <si>
    <t>All Armor, Martial Weapons</t>
  </si>
  <si>
    <t>Candles</t>
  </si>
  <si>
    <t>Ring of Protection +2</t>
  </si>
  <si>
    <t>Dispel Magic</t>
  </si>
  <si>
    <t>two</t>
  </si>
  <si>
    <t>9th:  Fey Legacy</t>
  </si>
  <si>
    <t>Human Paragon</t>
  </si>
  <si>
    <t>Confusion</t>
  </si>
  <si>
    <t>Dimension Door</t>
  </si>
  <si>
    <t>Paragon Features</t>
  </si>
  <si>
    <t>Adaptive Learning</t>
  </si>
  <si>
    <t>Knowledge:  Nature</t>
  </si>
  <si>
    <t>Knowledge:  Nobility &amp; Royalty</t>
  </si>
  <si>
    <t>human paragon 1</t>
  </si>
  <si>
    <t>Summon Nature’s Ally V</t>
  </si>
  <si>
    <t>Can take 10</t>
  </si>
  <si>
    <t>Mithral Breastplate of Easy Travel +1</t>
  </si>
  <si>
    <t>Vest of Resistance +1</t>
  </si>
  <si>
    <t>Buckler +2</t>
  </si>
  <si>
    <t>Swim speed = 15’, ½ of land speed</t>
  </si>
  <si>
    <t>15’</t>
  </si>
  <si>
    <t>Common, Goblinoid, Sylvan, Giant</t>
  </si>
  <si>
    <t>Flask, 2nd Lob</t>
  </si>
  <si>
    <t>as above</t>
  </si>
  <si>
    <t>human paragon 2</t>
  </si>
  <si>
    <t>human paragon 3</t>
  </si>
  <si>
    <t>Effective Warlock Level:</t>
  </si>
  <si>
    <t>Knowledge:  Dungeoneering</t>
  </si>
  <si>
    <t>Knowledge:  Planes</t>
  </si>
  <si>
    <t>Feat:  Leadership</t>
  </si>
  <si>
    <t>Feat:  ?</t>
  </si>
  <si>
    <t>12th: ?</t>
  </si>
  <si>
    <t xml:space="preserve">Beguiling Influence </t>
  </si>
  <si>
    <t>Mielikki</t>
  </si>
  <si>
    <t>Bluff, Diplomacy &amp; Intimidate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</si>
</sst>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7"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i/>
      <sz val="17"/>
      <name val="Times New Roman"/>
      <family val="1"/>
    </font>
    <font>
      <i/>
      <sz val="18"/>
      <color theme="0"/>
      <name val="Times New Roman"/>
      <family val="1"/>
    </font>
    <font>
      <sz val="13"/>
      <color theme="0"/>
      <name val="Times New Roman"/>
      <family val="1"/>
    </font>
    <font>
      <i/>
      <sz val="18"/>
      <color indexed="20"/>
      <name val="Times New Roman"/>
      <family val="1"/>
    </font>
    <font>
      <sz val="13"/>
      <color indexed="20"/>
      <name val="Times New Roman"/>
      <family val="1"/>
    </font>
    <font>
      <i/>
      <sz val="16"/>
      <name val="Times New Roman"/>
      <family val="1"/>
    </font>
    <font>
      <b/>
      <sz val="13"/>
      <color theme="0"/>
      <name val="Times New Roman"/>
      <family val="1"/>
    </font>
    <font>
      <sz val="13"/>
      <name val="Wingdings"/>
      <charset val="2"/>
    </font>
    <font>
      <b/>
      <i/>
      <sz val="16"/>
      <color theme="0"/>
      <name val="Times New Roman"/>
      <family val="1"/>
    </font>
    <font>
      <sz val="12"/>
      <name val="Wingdings"/>
      <charset val="2"/>
    </font>
    <font>
      <b/>
      <sz val="12"/>
      <color rgb="FF33CC33"/>
      <name val="Times New Roman"/>
      <family val="1"/>
    </font>
    <font>
      <b/>
      <sz val="12"/>
      <color rgb="FF7030A0"/>
      <name val="Times New Roman"/>
      <family val="1"/>
    </font>
    <font>
      <b/>
      <i/>
      <sz val="12"/>
      <color indexed="81"/>
      <name val="Times New Roman"/>
      <family val="1"/>
    </font>
  </fonts>
  <fills count="2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55"/>
      </patternFill>
    </fill>
    <fill>
      <patternFill patternType="solid">
        <fgColor rgb="FF0066FF"/>
        <bgColor indexed="64"/>
      </patternFill>
    </fill>
    <fill>
      <patternFill patternType="solid">
        <fgColor indexed="46"/>
        <bgColor indexed="64"/>
      </patternFill>
    </fill>
    <fill>
      <patternFill patternType="solid">
        <fgColor rgb="FF9999FF"/>
        <bgColor indexed="64"/>
      </patternFill>
    </fill>
    <fill>
      <patternFill patternType="solid">
        <fgColor rgb="FFCC66FF"/>
        <bgColor indexed="64"/>
      </patternFill>
    </fill>
    <fill>
      <patternFill patternType="solid">
        <fgColor rgb="FFFFC000"/>
        <bgColor indexed="64"/>
      </patternFill>
    </fill>
    <fill>
      <patternFill patternType="solid">
        <fgColor theme="0" tint="-0.499984740745262"/>
        <bgColor indexed="64"/>
      </patternFill>
    </fill>
    <fill>
      <patternFill patternType="solid">
        <fgColor rgb="FF9900FF"/>
        <bgColor indexed="64"/>
      </patternFill>
    </fill>
    <fill>
      <patternFill patternType="solid">
        <fgColor rgb="FF33CC33"/>
        <bgColor indexed="64"/>
      </patternFill>
    </fill>
    <fill>
      <patternFill patternType="solid">
        <fgColor rgb="FF00B0F0"/>
        <bgColor indexed="64"/>
      </patternFill>
    </fill>
    <fill>
      <patternFill patternType="solid">
        <fgColor rgb="FFFFFF00"/>
        <bgColor indexed="64"/>
      </patternFill>
    </fill>
  </fills>
  <borders count="14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double">
        <color indexed="64"/>
      </top>
      <bottom/>
      <diagonal/>
    </border>
    <border>
      <left style="double">
        <color indexed="64"/>
      </left>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571">
    <xf numFmtId="0" fontId="0" fillId="0" borderId="0" xfId="0"/>
    <xf numFmtId="9" fontId="7" fillId="0" borderId="28" xfId="2" applyFont="1" applyFill="1" applyBorder="1" applyAlignment="1">
      <alignment horizontal="center" vertical="center" shrinkToFit="1"/>
    </xf>
    <xf numFmtId="0" fontId="12" fillId="3" borderId="39" xfId="0" applyFont="1" applyFill="1" applyBorder="1" applyAlignment="1">
      <alignment horizontal="center" vertical="center" wrapText="1"/>
    </xf>
    <xf numFmtId="0" fontId="4" fillId="0" borderId="0" xfId="0" applyFont="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7" xfId="0" applyFont="1" applyBorder="1" applyAlignment="1">
      <alignment horizontal="centerContinuous" vertical="center"/>
    </xf>
    <xf numFmtId="0" fontId="35" fillId="2" borderId="64" xfId="0" applyFont="1" applyFill="1" applyBorder="1" applyAlignment="1">
      <alignment horizontal="righ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4"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4" xfId="0" applyFont="1" applyFill="1" applyBorder="1" applyAlignment="1">
      <alignment horizontal="right" vertical="center"/>
    </xf>
    <xf numFmtId="49" fontId="7" fillId="0" borderId="70"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5" fillId="0" borderId="14" xfId="0"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3"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16" fillId="0" borderId="0" xfId="0" applyFont="1" applyAlignment="1">
      <alignment horizontal="centerContinuous" vertical="center"/>
    </xf>
    <xf numFmtId="0" fontId="19"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7" fillId="0" borderId="27" xfId="8" applyFont="1" applyBorder="1" applyAlignment="1">
      <alignment horizontal="center" vertical="center" wrapText="1"/>
    </xf>
    <xf numFmtId="0" fontId="7" fillId="0" borderId="48" xfId="8" applyFont="1" applyBorder="1" applyAlignment="1">
      <alignment horizontal="center" vertical="center" wrapText="1"/>
    </xf>
    <xf numFmtId="9" fontId="7" fillId="0" borderId="48" xfId="2" applyFont="1" applyFill="1" applyBorder="1" applyAlignment="1">
      <alignment horizontal="center" vertical="center" shrinkToFit="1"/>
    </xf>
    <xf numFmtId="0" fontId="7" fillId="0" borderId="29" xfId="0" applyFont="1" applyBorder="1" applyAlignment="1">
      <alignment horizontal="center" vertical="center" wrapText="1"/>
    </xf>
    <xf numFmtId="0" fontId="7" fillId="0" borderId="35" xfId="0" applyFont="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Alignment="1">
      <alignment horizontal="centerContinuous" vertical="center"/>
    </xf>
    <xf numFmtId="0" fontId="48" fillId="0" borderId="33" xfId="0" applyFont="1" applyBorder="1" applyAlignment="1">
      <alignment horizontal="centerContinuous" vertical="center"/>
    </xf>
    <xf numFmtId="0" fontId="26" fillId="0" borderId="37" xfId="0" applyFont="1" applyBorder="1" applyAlignment="1">
      <alignment horizontal="centerContinuous" vertical="center"/>
    </xf>
    <xf numFmtId="0" fontId="52" fillId="0" borderId="37" xfId="0" applyFont="1" applyBorder="1" applyAlignment="1">
      <alignment horizontal="center" vertical="center" shrinkToFit="1"/>
    </xf>
    <xf numFmtId="0" fontId="7" fillId="0" borderId="55" xfId="0" applyFont="1" applyBorder="1" applyAlignment="1">
      <alignment horizontal="centerContinuous" vertical="center"/>
    </xf>
    <xf numFmtId="0" fontId="7" fillId="0" borderId="50" xfId="0" applyFont="1" applyBorder="1" applyAlignment="1">
      <alignment horizontal="centerContinuous" vertical="center"/>
    </xf>
    <xf numFmtId="0" fontId="7" fillId="0" borderId="56"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78" xfId="0" applyFont="1" applyBorder="1" applyAlignment="1">
      <alignment horizontal="center" vertical="center" shrinkToFit="1"/>
    </xf>
    <xf numFmtId="0" fontId="2" fillId="0" borderId="43"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1"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0" xfId="0" applyNumberFormat="1" applyFont="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1" xfId="0" applyFont="1" applyFill="1" applyBorder="1" applyAlignment="1">
      <alignment horizontal="centerContinuous" vertical="center"/>
    </xf>
    <xf numFmtId="164" fontId="2" fillId="0" borderId="74" xfId="0" applyNumberFormat="1"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49" fontId="2" fillId="0" borderId="9" xfId="0" applyNumberFormat="1" applyFont="1" applyBorder="1" applyAlignment="1">
      <alignment horizontal="centerContinuous" vertical="center"/>
    </xf>
    <xf numFmtId="49" fontId="17" fillId="0" borderId="35" xfId="0" applyNumberFormat="1" applyFont="1" applyBorder="1" applyAlignment="1">
      <alignment horizontal="center" shrinkToFit="1"/>
    </xf>
    <xf numFmtId="0" fontId="2" fillId="0" borderId="43" xfId="0" applyFont="1" applyBorder="1" applyAlignment="1">
      <alignment horizontal="center" vertical="center"/>
    </xf>
    <xf numFmtId="164" fontId="2" fillId="0" borderId="43" xfId="0" applyNumberFormat="1" applyFont="1" applyBorder="1" applyAlignment="1">
      <alignment horizontal="center" vertical="center"/>
    </xf>
    <xf numFmtId="0" fontId="21" fillId="11" borderId="33"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 fillId="0" borderId="41" xfId="0" applyFont="1" applyBorder="1" applyAlignment="1">
      <alignment horizontal="center" vertical="center"/>
    </xf>
    <xf numFmtId="164" fontId="2" fillId="0" borderId="41" xfId="0" applyNumberFormat="1" applyFont="1" applyBorder="1" applyAlignment="1">
      <alignment horizontal="center" vertical="center"/>
    </xf>
    <xf numFmtId="1" fontId="2" fillId="0" borderId="41" xfId="0" applyNumberFormat="1" applyFont="1" applyBorder="1" applyAlignment="1">
      <alignment horizontal="center" vertical="center"/>
    </xf>
    <xf numFmtId="0" fontId="7" fillId="0" borderId="47" xfId="8" applyFont="1" applyBorder="1" applyAlignment="1">
      <alignment horizontal="center" vertical="center" wrapTex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1" fontId="2" fillId="0" borderId="57"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0" fontId="2" fillId="0" borderId="42" xfId="0" applyFont="1" applyBorder="1" applyAlignment="1">
      <alignment horizontal="left" vertical="center" shrinkToFit="1"/>
    </xf>
    <xf numFmtId="0" fontId="2" fillId="0" borderId="0" xfId="0" applyFont="1" applyAlignment="1">
      <alignment vertical="center"/>
    </xf>
    <xf numFmtId="1" fontId="2" fillId="0" borderId="37" xfId="0" applyNumberFormat="1" applyFont="1" applyBorder="1" applyAlignment="1">
      <alignment horizontal="center" vertical="center"/>
    </xf>
    <xf numFmtId="1" fontId="2" fillId="0" borderId="81" xfId="0" applyNumberFormat="1" applyFont="1" applyBorder="1" applyAlignment="1">
      <alignment horizontal="center" vertical="center"/>
    </xf>
    <xf numFmtId="1" fontId="2" fillId="0" borderId="50" xfId="0" applyNumberFormat="1" applyFont="1" applyBorder="1" applyAlignment="1">
      <alignment horizontal="center" vertical="center"/>
    </xf>
    <xf numFmtId="0" fontId="6" fillId="4" borderId="11" xfId="0" applyFont="1" applyFill="1" applyBorder="1" applyAlignment="1">
      <alignment horizontal="right" vertical="center"/>
    </xf>
    <xf numFmtId="49" fontId="7" fillId="0" borderId="93" xfId="0" applyNumberFormat="1" applyFont="1" applyBorder="1" applyAlignment="1">
      <alignment horizontal="centerContinuous" vertical="center"/>
    </xf>
    <xf numFmtId="0" fontId="2" fillId="0" borderId="94" xfId="0" applyFont="1" applyBorder="1" applyAlignment="1">
      <alignment horizontal="centerContinuous" vertical="center"/>
    </xf>
    <xf numFmtId="0" fontId="5" fillId="0" borderId="43"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quotePrefix="1" applyFont="1" applyBorder="1" applyAlignment="1">
      <alignment horizontal="center" vertical="center" wrapText="1"/>
    </xf>
    <xf numFmtId="0" fontId="7" fillId="0" borderId="14" xfId="0" applyFont="1" applyBorder="1" applyAlignment="1">
      <alignment horizontal="center" vertical="center" shrinkToFit="1"/>
    </xf>
    <xf numFmtId="0" fontId="7" fillId="0" borderId="49" xfId="0" applyFont="1" applyBorder="1" applyAlignment="1">
      <alignment horizontal="center" vertical="center" shrinkToFit="1"/>
    </xf>
    <xf numFmtId="0" fontId="2" fillId="14" borderId="76" xfId="0" applyFont="1" applyFill="1" applyBorder="1" applyAlignment="1">
      <alignment horizontal="center" vertical="center"/>
    </xf>
    <xf numFmtId="0" fontId="2" fillId="14" borderId="46" xfId="0" applyFont="1" applyFill="1" applyBorder="1" applyAlignment="1">
      <alignment horizontal="center" vertical="center"/>
    </xf>
    <xf numFmtId="49" fontId="2" fillId="14" borderId="46" xfId="0" applyNumberFormat="1" applyFont="1" applyFill="1" applyBorder="1" applyAlignment="1">
      <alignment horizontal="center" vertical="center"/>
    </xf>
    <xf numFmtId="0" fontId="2" fillId="14" borderId="45" xfId="0" applyFont="1" applyFill="1" applyBorder="1" applyAlignment="1">
      <alignment horizontal="center" vertical="center"/>
    </xf>
    <xf numFmtId="0" fontId="2" fillId="14" borderId="57" xfId="0" applyFont="1" applyFill="1" applyBorder="1" applyAlignment="1">
      <alignment horizontal="center" vertical="center"/>
    </xf>
    <xf numFmtId="1" fontId="2" fillId="14" borderId="41" xfId="0" applyNumberFormat="1" applyFont="1" applyFill="1" applyBorder="1" applyAlignment="1">
      <alignment horizontal="center" vertical="center"/>
    </xf>
    <xf numFmtId="0" fontId="2" fillId="0" borderId="77" xfId="0" applyFont="1" applyBorder="1" applyAlignment="1">
      <alignment horizontal="center" vertical="center"/>
    </xf>
    <xf numFmtId="49" fontId="2" fillId="0" borderId="41" xfId="0" applyNumberFormat="1" applyFont="1" applyBorder="1" applyAlignment="1">
      <alignment horizontal="center" vertical="center"/>
    </xf>
    <xf numFmtId="0" fontId="2" fillId="0" borderId="42" xfId="0" applyFont="1" applyBorder="1" applyAlignment="1">
      <alignment horizontal="center" vertical="center"/>
    </xf>
    <xf numFmtId="0" fontId="2" fillId="14" borderId="43" xfId="0" applyFont="1" applyFill="1" applyBorder="1" applyAlignment="1">
      <alignment horizontal="center" vertical="center"/>
    </xf>
    <xf numFmtId="49" fontId="2" fillId="14" borderId="43" xfId="0" applyNumberFormat="1" applyFont="1" applyFill="1" applyBorder="1" applyAlignment="1">
      <alignment horizontal="center" vertical="center"/>
    </xf>
    <xf numFmtId="1" fontId="2" fillId="14" borderId="43" xfId="0" applyNumberFormat="1" applyFont="1" applyFill="1" applyBorder="1" applyAlignment="1">
      <alignment horizontal="center" vertical="center"/>
    </xf>
    <xf numFmtId="0" fontId="2" fillId="0" borderId="43" xfId="0" quotePrefix="1" applyFont="1" applyBorder="1" applyAlignment="1">
      <alignment horizontal="center" vertical="center"/>
    </xf>
    <xf numFmtId="9" fontId="2" fillId="0" borderId="43" xfId="0" applyNumberFormat="1" applyFont="1" applyBorder="1" applyAlignment="1">
      <alignment horizontal="center" vertical="center"/>
    </xf>
    <xf numFmtId="0" fontId="2" fillId="0" borderId="89" xfId="0" applyFont="1" applyBorder="1" applyAlignment="1">
      <alignment horizontal="centerContinuous" vertical="center"/>
    </xf>
    <xf numFmtId="0" fontId="5" fillId="0" borderId="75" xfId="0" quotePrefix="1" applyFont="1" applyBorder="1" applyAlignment="1">
      <alignment horizontal="centerContinuous" vertical="center"/>
    </xf>
    <xf numFmtId="0" fontId="49" fillId="0" borderId="33" xfId="0" applyFont="1" applyBorder="1" applyAlignment="1">
      <alignment horizontal="centerContinuous" vertical="center"/>
    </xf>
    <xf numFmtId="0" fontId="50" fillId="0" borderId="33"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Continuous" vertical="center" wrapText="1"/>
    </xf>
    <xf numFmtId="0" fontId="53" fillId="0" borderId="1" xfId="8" applyFont="1" applyBorder="1" applyAlignment="1">
      <alignment horizontal="center" vertical="center" shrinkToFit="1"/>
    </xf>
    <xf numFmtId="0" fontId="53" fillId="0" borderId="34" xfId="8" applyFont="1" applyBorder="1" applyAlignment="1">
      <alignment horizontal="center" vertical="center" shrinkToFit="1"/>
    </xf>
    <xf numFmtId="0" fontId="53" fillId="0" borderId="8" xfId="8" applyFont="1" applyBorder="1" applyAlignment="1">
      <alignment horizontal="center" vertical="center" shrinkToFit="1"/>
    </xf>
    <xf numFmtId="0" fontId="21" fillId="11" borderId="95" xfId="0" applyFont="1" applyFill="1" applyBorder="1" applyAlignment="1">
      <alignment horizontal="center" vertical="center"/>
    </xf>
    <xf numFmtId="1" fontId="21" fillId="11" borderId="33" xfId="0" applyNumberFormat="1" applyFont="1" applyFill="1" applyBorder="1" applyAlignment="1">
      <alignment horizontal="center" vertical="center"/>
    </xf>
    <xf numFmtId="0" fontId="2" fillId="0" borderId="82" xfId="0" applyFont="1" applyBorder="1" applyAlignment="1">
      <alignment horizontal="centerContinuous" vertical="center" shrinkToFit="1"/>
    </xf>
    <xf numFmtId="0" fontId="21" fillId="0" borderId="72" xfId="0" applyFont="1" applyBorder="1" applyAlignment="1">
      <alignment horizontal="centerContinuous" vertical="center"/>
    </xf>
    <xf numFmtId="0" fontId="21" fillId="0" borderId="58" xfId="0" applyFont="1" applyBorder="1" applyAlignment="1">
      <alignment horizontal="centerContinuous" vertical="center"/>
    </xf>
    <xf numFmtId="0" fontId="2" fillId="0" borderId="90" xfId="0" applyFont="1" applyBorder="1" applyAlignment="1">
      <alignment horizontal="center" vertical="center"/>
    </xf>
    <xf numFmtId="0" fontId="2" fillId="0" borderId="73" xfId="0" applyFont="1" applyBorder="1" applyAlignment="1">
      <alignment horizontal="centerContinuous" vertical="center"/>
    </xf>
    <xf numFmtId="0" fontId="2" fillId="0" borderId="83" xfId="0" applyFont="1" applyBorder="1" applyAlignment="1">
      <alignment horizontal="centerContinuous" vertical="center" shrinkToFit="1"/>
    </xf>
    <xf numFmtId="0" fontId="2" fillId="0" borderId="74" xfId="0" applyFont="1" applyBorder="1" applyAlignment="1">
      <alignment horizontal="centerContinuous" vertical="center"/>
    </xf>
    <xf numFmtId="0" fontId="2" fillId="0" borderId="63" xfId="0" applyFont="1" applyBorder="1" applyAlignment="1">
      <alignment horizontal="centerContinuous" vertical="center"/>
    </xf>
    <xf numFmtId="49" fontId="2" fillId="0" borderId="87"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2" fillId="0" borderId="75" xfId="0" applyFont="1" applyBorder="1" applyAlignment="1">
      <alignment horizontal="centerContinuous" vertical="center"/>
    </xf>
    <xf numFmtId="0" fontId="52" fillId="0" borderId="37" xfId="0" applyFont="1" applyBorder="1" applyAlignment="1">
      <alignment horizontal="centerContinuous" vertical="center"/>
    </xf>
    <xf numFmtId="49" fontId="4" fillId="0" borderId="0" xfId="0" applyNumberFormat="1"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82" xfId="0" applyFont="1" applyBorder="1" applyAlignment="1">
      <alignment horizontal="center" vertical="center" shrinkToFit="1"/>
    </xf>
    <xf numFmtId="1" fontId="2" fillId="0" borderId="41" xfId="0" applyNumberFormat="1" applyFont="1" applyBorder="1" applyAlignment="1">
      <alignment horizontal="center" vertical="center" shrinkToFit="1"/>
    </xf>
    <xf numFmtId="0" fontId="2" fillId="0" borderId="90" xfId="0" applyFont="1" applyBorder="1" applyAlignment="1">
      <alignment horizontal="left" vertical="center"/>
    </xf>
    <xf numFmtId="1" fontId="2" fillId="0" borderId="37"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45" fillId="12" borderId="38" xfId="0" applyFont="1" applyFill="1" applyBorder="1" applyAlignment="1">
      <alignment horizontal="center" vertical="center"/>
    </xf>
    <xf numFmtId="0" fontId="12" fillId="3" borderId="68" xfId="0" applyFont="1" applyFill="1" applyBorder="1" applyAlignment="1">
      <alignment horizontal="center" vertical="center"/>
    </xf>
    <xf numFmtId="0" fontId="43" fillId="0" borderId="1" xfId="0" applyFont="1" applyBorder="1" applyAlignment="1">
      <alignment vertical="center"/>
    </xf>
    <xf numFmtId="0" fontId="6" fillId="0" borderId="27" xfId="0" applyFont="1" applyBorder="1" applyAlignment="1">
      <alignment horizontal="center" vertical="center"/>
    </xf>
    <xf numFmtId="0" fontId="52" fillId="0" borderId="27" xfId="0" applyFont="1" applyBorder="1" applyAlignment="1">
      <alignment horizontal="center" vertical="center"/>
    </xf>
    <xf numFmtId="0" fontId="7" fillId="0" borderId="27" xfId="0" applyFont="1" applyBorder="1" applyAlignment="1">
      <alignment horizontal="center" vertical="center"/>
    </xf>
    <xf numFmtId="0" fontId="44" fillId="0" borderId="27" xfId="0" applyFont="1" applyBorder="1" applyAlignment="1">
      <alignment horizontal="center" vertical="center"/>
    </xf>
    <xf numFmtId="1" fontId="7" fillId="0" borderId="27" xfId="0" applyNumberFormat="1" applyFont="1" applyBorder="1" applyAlignment="1">
      <alignment horizontal="center" vertical="center"/>
    </xf>
    <xf numFmtId="0" fontId="42" fillId="12" borderId="28" xfId="0" applyFont="1" applyFill="1" applyBorder="1" applyAlignment="1">
      <alignment horizontal="center" vertical="center"/>
    </xf>
    <xf numFmtId="0" fontId="7" fillId="0" borderId="29" xfId="0" quotePrefix="1" applyFont="1" applyBorder="1" applyAlignment="1">
      <alignment horizontal="center" vertical="center"/>
    </xf>
    <xf numFmtId="0" fontId="57" fillId="0" borderId="1" xfId="0" applyFont="1" applyBorder="1" applyAlignment="1">
      <alignment vertical="center"/>
    </xf>
    <xf numFmtId="0" fontId="56" fillId="0" borderId="27" xfId="0" applyFont="1" applyBorder="1" applyAlignment="1">
      <alignment horizontal="center" vertical="center"/>
    </xf>
    <xf numFmtId="0" fontId="13" fillId="0" borderId="28" xfId="0" applyFont="1" applyBorder="1" applyAlignment="1">
      <alignment horizontal="center" vertical="center"/>
    </xf>
    <xf numFmtId="0" fontId="44" fillId="0" borderId="34" xfId="0" applyFont="1" applyBorder="1" applyAlignment="1">
      <alignment vertical="center"/>
    </xf>
    <xf numFmtId="0" fontId="6" fillId="0" borderId="48" xfId="0" applyFont="1" applyBorder="1" applyAlignment="1">
      <alignment horizontal="center" vertical="center"/>
    </xf>
    <xf numFmtId="0" fontId="7" fillId="0" borderId="48" xfId="0" applyFont="1" applyBorder="1" applyAlignment="1">
      <alignment horizontal="center" vertical="center"/>
    </xf>
    <xf numFmtId="0" fontId="45" fillId="0" borderId="48" xfId="0" applyFont="1" applyBorder="1" applyAlignment="1">
      <alignment horizontal="center" vertical="center"/>
    </xf>
    <xf numFmtId="1" fontId="7" fillId="0" borderId="48" xfId="0" applyNumberFormat="1" applyFont="1" applyBorder="1" applyAlignment="1">
      <alignment horizontal="center" vertical="center"/>
    </xf>
    <xf numFmtId="0" fontId="42" fillId="12" borderId="48" xfId="0" applyFont="1" applyFill="1" applyBorder="1" applyAlignment="1">
      <alignment horizontal="center" vertical="center"/>
    </xf>
    <xf numFmtId="0" fontId="7" fillId="0" borderId="35"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49" fontId="56" fillId="0" borderId="27" xfId="0" applyNumberFormat="1" applyFont="1" applyBorder="1" applyAlignment="1">
      <alignment horizontal="center" vertical="center"/>
    </xf>
    <xf numFmtId="0" fontId="56" fillId="0" borderId="28" xfId="0" applyFont="1" applyBorder="1" applyAlignment="1">
      <alignment horizontal="center" vertical="center"/>
    </xf>
    <xf numFmtId="0" fontId="57" fillId="0" borderId="28" xfId="0" applyFont="1" applyBorder="1" applyAlignment="1">
      <alignment horizontal="center"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Font="1" applyFill="1" applyBorder="1" applyAlignment="1">
      <alignment horizontal="center"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49"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22" fillId="0" borderId="28" xfId="0" applyFont="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Font="1" applyFill="1" applyBorder="1" applyAlignment="1">
      <alignment horizontal="center" vertical="center"/>
    </xf>
    <xf numFmtId="0" fontId="57" fillId="5" borderId="28" xfId="0"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Font="1" applyFill="1" applyBorder="1" applyAlignment="1">
      <alignment horizontal="center" vertical="center"/>
    </xf>
    <xf numFmtId="0" fontId="22" fillId="9" borderId="28" xfId="0"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0" fontId="22" fillId="9" borderId="1" xfId="0" applyFont="1" applyFill="1" applyBorder="1" applyAlignment="1">
      <alignment vertical="center"/>
    </xf>
    <xf numFmtId="0" fontId="57" fillId="0" borderId="8" xfId="0" applyFont="1" applyBorder="1" applyAlignment="1">
      <alignment vertical="center"/>
    </xf>
    <xf numFmtId="0" fontId="7" fillId="0" borderId="47" xfId="0" applyFont="1" applyBorder="1" applyAlignment="1">
      <alignment horizontal="center" vertical="center"/>
    </xf>
    <xf numFmtId="49" fontId="56" fillId="0" borderId="47" xfId="0" applyNumberFormat="1" applyFont="1" applyBorder="1" applyAlignment="1">
      <alignment horizontal="center" vertical="center"/>
    </xf>
    <xf numFmtId="0" fontId="56" fillId="0" borderId="49" xfId="0" applyFont="1" applyBorder="1" applyAlignment="1">
      <alignment horizontal="center" vertical="center"/>
    </xf>
    <xf numFmtId="0" fontId="57"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42" fillId="12" borderId="47" xfId="0" applyFont="1" applyFill="1" applyBorder="1" applyAlignment="1">
      <alignment horizontal="center" vertical="center"/>
    </xf>
    <xf numFmtId="0" fontId="7" fillId="0" borderId="36" xfId="0" quotePrefix="1" applyFont="1" applyBorder="1" applyAlignment="1">
      <alignment horizontal="center" vertical="center"/>
    </xf>
    <xf numFmtId="0" fontId="4" fillId="0" borderId="0" xfId="0" applyFont="1" applyAlignment="1">
      <alignment horizontal="left" vertical="center"/>
    </xf>
    <xf numFmtId="0" fontId="51" fillId="0" borderId="0" xfId="0" applyFont="1" applyAlignment="1">
      <alignment horizontal="centerContinuous" vertical="center"/>
    </xf>
    <xf numFmtId="0" fontId="38" fillId="0" borderId="0" xfId="0" applyFont="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4" fillId="0" borderId="37" xfId="0" applyFont="1" applyBorder="1" applyAlignment="1">
      <alignment horizontal="right" vertical="center"/>
    </xf>
    <xf numFmtId="0" fontId="2" fillId="0" borderId="58" xfId="0" applyFont="1" applyBorder="1" applyAlignment="1">
      <alignment horizontal="center" vertical="center"/>
    </xf>
    <xf numFmtId="0" fontId="4" fillId="0" borderId="50" xfId="0" applyFont="1" applyBorder="1" applyAlignment="1">
      <alignment horizontal="right" vertical="center"/>
    </xf>
    <xf numFmtId="0" fontId="39" fillId="13" borderId="63" xfId="0" applyFont="1" applyFill="1" applyBorder="1" applyAlignment="1">
      <alignment horizontal="center" vertical="center"/>
    </xf>
    <xf numFmtId="0" fontId="39" fillId="13" borderId="43" xfId="0" applyFont="1" applyFill="1" applyBorder="1" applyAlignment="1">
      <alignment horizontal="center" vertical="center"/>
    </xf>
    <xf numFmtId="0" fontId="55" fillId="0" borderId="0" xfId="0" applyFont="1" applyAlignment="1">
      <alignment vertical="center"/>
    </xf>
    <xf numFmtId="0" fontId="2" fillId="15" borderId="60" xfId="0" applyFont="1" applyFill="1" applyBorder="1" applyAlignment="1">
      <alignment horizontal="center" vertical="center"/>
    </xf>
    <xf numFmtId="0" fontId="2" fillId="15" borderId="61" xfId="0" applyFont="1" applyFill="1" applyBorder="1" applyAlignment="1">
      <alignment horizontal="center" vertical="center"/>
    </xf>
    <xf numFmtId="0" fontId="2" fillId="15" borderId="41" xfId="0" applyFont="1" applyFill="1" applyBorder="1" applyAlignment="1">
      <alignment horizontal="center" vertical="center"/>
    </xf>
    <xf numFmtId="0" fontId="2" fillId="15" borderId="42" xfId="0" applyFont="1" applyFill="1" applyBorder="1" applyAlignment="1">
      <alignment horizontal="center" vertical="center"/>
    </xf>
    <xf numFmtId="0" fontId="4" fillId="15" borderId="44" xfId="0" applyFont="1" applyFill="1" applyBorder="1" applyAlignment="1">
      <alignment horizontal="center" vertical="center"/>
    </xf>
    <xf numFmtId="0" fontId="4" fillId="15" borderId="43" xfId="0" applyFont="1" applyFill="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7" xfId="0" applyFont="1" applyBorder="1" applyAlignment="1">
      <alignment horizontal="right" vertical="center"/>
    </xf>
    <xf numFmtId="49" fontId="2" fillId="0" borderId="96" xfId="0" applyNumberFormat="1" applyFont="1" applyBorder="1" applyAlignment="1">
      <alignment horizontal="center" vertical="center"/>
    </xf>
    <xf numFmtId="0" fontId="4" fillId="16" borderId="44" xfId="0" applyFont="1" applyFill="1" applyBorder="1" applyAlignment="1">
      <alignment horizontal="center" vertical="center"/>
    </xf>
    <xf numFmtId="49" fontId="2" fillId="16" borderId="60" xfId="0" applyNumberFormat="1" applyFont="1" applyFill="1" applyBorder="1" applyAlignment="1">
      <alignment horizontal="center" vertical="center"/>
    </xf>
    <xf numFmtId="49" fontId="2" fillId="16" borderId="61" xfId="0" applyNumberFormat="1" applyFont="1" applyFill="1" applyBorder="1" applyAlignment="1">
      <alignment horizontal="center" vertical="center"/>
    </xf>
    <xf numFmtId="0" fontId="4" fillId="16" borderId="43"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Font="1" applyFill="1" applyBorder="1" applyAlignment="1">
      <alignment horizontal="center" vertical="center"/>
    </xf>
    <xf numFmtId="0" fontId="8" fillId="9" borderId="28" xfId="0" applyFont="1" applyFill="1" applyBorder="1" applyAlignment="1">
      <alignment horizontal="center" vertical="center"/>
    </xf>
    <xf numFmtId="0" fontId="2" fillId="0" borderId="97" xfId="0" applyFont="1" applyBorder="1" applyAlignment="1">
      <alignment horizontal="center" vertical="center" shrinkToFit="1"/>
    </xf>
    <xf numFmtId="0" fontId="2" fillId="0" borderId="91" xfId="0" applyFont="1" applyBorder="1" applyAlignment="1">
      <alignment horizontal="center" vertical="center"/>
    </xf>
    <xf numFmtId="49" fontId="2" fillId="0" borderId="91" xfId="0" applyNumberFormat="1" applyFont="1" applyBorder="1" applyAlignment="1">
      <alignment horizontal="center" vertical="center"/>
    </xf>
    <xf numFmtId="164" fontId="2" fillId="0" borderId="91" xfId="0" applyNumberFormat="1" applyFont="1" applyBorder="1" applyAlignment="1">
      <alignment horizontal="center" vertical="center"/>
    </xf>
    <xf numFmtId="1" fontId="2" fillId="0" borderId="91" xfId="0" applyNumberFormat="1" applyFont="1" applyBorder="1" applyAlignment="1">
      <alignment horizontal="center" vertical="center"/>
    </xf>
    <xf numFmtId="0" fontId="2" fillId="0" borderId="92" xfId="0" quotePrefix="1" applyFont="1" applyBorder="1" applyAlignment="1">
      <alignment horizontal="center" vertical="center"/>
    </xf>
    <xf numFmtId="0" fontId="2" fillId="14" borderId="78" xfId="0" applyFont="1" applyFill="1" applyBorder="1" applyAlignment="1">
      <alignment horizontal="center" vertical="center"/>
    </xf>
    <xf numFmtId="0" fontId="2" fillId="14" borderId="44" xfId="0" applyFont="1" applyFill="1" applyBorder="1" applyAlignment="1">
      <alignment horizontal="center" vertical="center"/>
    </xf>
    <xf numFmtId="0" fontId="2" fillId="14" borderId="50" xfId="0" applyFont="1" applyFill="1" applyBorder="1" applyAlignment="1">
      <alignment horizontal="center" vertical="center"/>
    </xf>
    <xf numFmtId="164" fontId="2" fillId="0" borderId="50"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2" fillId="0" borderId="0" xfId="0" applyFont="1"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Font="1" applyFill="1" applyBorder="1" applyAlignment="1">
      <alignment horizontal="center" vertical="center"/>
    </xf>
    <xf numFmtId="0" fontId="57" fillId="9" borderId="28" xfId="0" applyFont="1" applyFill="1" applyBorder="1" applyAlignment="1">
      <alignment horizontal="center" vertical="center"/>
    </xf>
    <xf numFmtId="49" fontId="7" fillId="17" borderId="28" xfId="0" applyNumberFormat="1" applyFont="1" applyFill="1" applyBorder="1" applyAlignment="1">
      <alignment horizontal="center" vertical="center"/>
    </xf>
    <xf numFmtId="2" fontId="5" fillId="0" borderId="41" xfId="0" applyNumberFormat="1" applyFont="1" applyBorder="1" applyAlignment="1">
      <alignment horizontal="center" vertical="center" shrinkToFit="1"/>
    </xf>
    <xf numFmtId="0" fontId="7" fillId="17" borderId="28" xfId="0" applyFont="1" applyFill="1" applyBorder="1" applyAlignment="1">
      <alignment horizontal="center" vertical="center"/>
    </xf>
    <xf numFmtId="0" fontId="60" fillId="0" borderId="0" xfId="0" applyFont="1" applyAlignment="1">
      <alignment horizontal="centerContinuous" vertical="center" wrapText="1"/>
    </xf>
    <xf numFmtId="0" fontId="51" fillId="0" borderId="0" xfId="0" applyFont="1" applyAlignment="1">
      <alignment horizontal="centerContinuous" vertical="center" wrapText="1"/>
    </xf>
    <xf numFmtId="0" fontId="61" fillId="0" borderId="16" xfId="0" applyFont="1" applyBorder="1" applyAlignment="1">
      <alignment horizontal="center"/>
    </xf>
    <xf numFmtId="0" fontId="61" fillId="0" borderId="98" xfId="0" applyFont="1" applyBorder="1" applyAlignment="1">
      <alignment horizontal="center"/>
    </xf>
    <xf numFmtId="0" fontId="61" fillId="0" borderId="99" xfId="0" applyFont="1" applyBorder="1" applyAlignment="1">
      <alignment horizontal="center"/>
    </xf>
    <xf numFmtId="0" fontId="61" fillId="0" borderId="100" xfId="0" applyFont="1" applyBorder="1" applyAlignment="1">
      <alignment horizontal="center"/>
    </xf>
    <xf numFmtId="0" fontId="0" fillId="0" borderId="101" xfId="0" applyBorder="1" applyAlignment="1">
      <alignment horizontal="center"/>
    </xf>
    <xf numFmtId="0" fontId="0" fillId="10" borderId="91" xfId="0" applyFill="1" applyBorder="1" applyAlignment="1">
      <alignment horizontal="center"/>
    </xf>
    <xf numFmtId="0" fontId="0" fillId="10" borderId="92" xfId="0" applyFill="1" applyBorder="1" applyAlignment="1">
      <alignment horizontal="center"/>
    </xf>
    <xf numFmtId="0" fontId="0" fillId="0" borderId="102" xfId="0" applyBorder="1" applyAlignment="1">
      <alignment horizontal="center"/>
    </xf>
    <xf numFmtId="0" fontId="0" fillId="0" borderId="58" xfId="0" applyBorder="1" applyAlignment="1">
      <alignment horizontal="center"/>
    </xf>
    <xf numFmtId="0" fontId="0" fillId="10" borderId="41" xfId="0" applyFill="1" applyBorder="1" applyAlignment="1">
      <alignment horizontal="center"/>
    </xf>
    <xf numFmtId="0" fontId="0" fillId="10" borderId="42" xfId="0" applyFill="1" applyBorder="1" applyAlignment="1">
      <alignment horizontal="center"/>
    </xf>
    <xf numFmtId="0" fontId="0" fillId="0" borderId="41" xfId="0" applyBorder="1" applyAlignment="1">
      <alignment horizontal="center"/>
    </xf>
    <xf numFmtId="0" fontId="62" fillId="0" borderId="102" xfId="0" applyFont="1" applyBorder="1" applyAlignment="1">
      <alignment horizontal="center"/>
    </xf>
    <xf numFmtId="0" fontId="62" fillId="0" borderId="58" xfId="0" applyFont="1" applyBorder="1" applyAlignment="1">
      <alignment horizontal="center"/>
    </xf>
    <xf numFmtId="0" fontId="0" fillId="0" borderId="103" xfId="0" applyBorder="1" applyAlignment="1">
      <alignment horizontal="center"/>
    </xf>
    <xf numFmtId="0" fontId="0" fillId="0" borderId="63"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49" fontId="2" fillId="0" borderId="96" xfId="0" applyNumberFormat="1" applyFont="1"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2" fillId="0" borderId="63" xfId="0" applyFont="1" applyBorder="1" applyAlignment="1">
      <alignment horizontal="center"/>
    </xf>
    <xf numFmtId="0" fontId="7" fillId="0" borderId="36" xfId="0" applyFont="1" applyBorder="1" applyAlignment="1">
      <alignment horizontal="center" vertical="center" wrapText="1"/>
    </xf>
    <xf numFmtId="0" fontId="7" fillId="0" borderId="35" xfId="0" quotePrefix="1" applyFont="1" applyBorder="1" applyAlignment="1">
      <alignment horizontal="center" vertical="center" wrapText="1"/>
    </xf>
    <xf numFmtId="0" fontId="46" fillId="0" borderId="41" xfId="0" applyFont="1" applyBorder="1" applyAlignment="1">
      <alignment horizontal="center" vertical="center"/>
    </xf>
    <xf numFmtId="0" fontId="5" fillId="0" borderId="4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90" xfId="0" applyFont="1" applyBorder="1" applyAlignment="1">
      <alignment horizontal="left" vertical="center"/>
    </xf>
    <xf numFmtId="2" fontId="2" fillId="0" borderId="37" xfId="0" applyNumberFormat="1" applyFont="1" applyBorder="1" applyAlignment="1">
      <alignment horizontal="center" vertical="center" shrinkToFit="1"/>
    </xf>
    <xf numFmtId="165" fontId="2" fillId="0" borderId="0" xfId="0" applyNumberFormat="1" applyFont="1" applyAlignment="1">
      <alignment horizontal="center" vertical="center"/>
    </xf>
    <xf numFmtId="0" fontId="2" fillId="0" borderId="0" xfId="0" applyFont="1" applyAlignment="1">
      <alignment horizontal="centerContinuous" vertical="center" shrinkToFit="1"/>
    </xf>
    <xf numFmtId="0" fontId="64" fillId="0" borderId="0" xfId="0" applyFont="1" applyAlignment="1">
      <alignment horizontal="centerContinuous" vertical="center"/>
    </xf>
    <xf numFmtId="9" fontId="21" fillId="3" borderId="20" xfId="2" applyFont="1" applyFill="1" applyBorder="1" applyAlignment="1">
      <alignment horizontal="center" vertical="center"/>
    </xf>
    <xf numFmtId="0" fontId="2" fillId="0" borderId="91" xfId="0" applyFont="1" applyBorder="1" applyAlignment="1">
      <alignment horizontal="center" vertical="center" shrinkToFit="1"/>
    </xf>
    <xf numFmtId="164" fontId="2" fillId="0" borderId="91" xfId="0" applyNumberFormat="1" applyFont="1" applyBorder="1" applyAlignment="1">
      <alignment horizontal="center" vertical="center" shrinkToFit="1"/>
    </xf>
    <xf numFmtId="0" fontId="5" fillId="0" borderId="92" xfId="0" applyFont="1" applyBorder="1" applyAlignment="1">
      <alignment horizontal="left" vertical="center" shrinkToFit="1"/>
    </xf>
    <xf numFmtId="1" fontId="7" fillId="14" borderId="27" xfId="0" applyNumberFormat="1" applyFont="1" applyFill="1" applyBorder="1" applyAlignment="1">
      <alignment horizontal="center" vertical="center"/>
    </xf>
    <xf numFmtId="1" fontId="7" fillId="14" borderId="48" xfId="0" applyNumberFormat="1" applyFont="1" applyFill="1" applyBorder="1" applyAlignment="1">
      <alignment horizontal="center" vertical="center"/>
    </xf>
    <xf numFmtId="0" fontId="2" fillId="0" borderId="91" xfId="0" applyFont="1" applyBorder="1" applyAlignment="1">
      <alignment horizontal="left" vertical="center"/>
    </xf>
    <xf numFmtId="0" fontId="7" fillId="9" borderId="28" xfId="0" applyFont="1" applyFill="1" applyBorder="1" applyAlignment="1">
      <alignment horizontal="center" vertical="center"/>
    </xf>
    <xf numFmtId="0" fontId="65" fillId="11" borderId="33" xfId="0" applyFont="1" applyFill="1" applyBorder="1" applyAlignment="1">
      <alignment horizontal="centerContinuous" vertical="center"/>
    </xf>
    <xf numFmtId="0" fontId="66" fillId="11" borderId="57" xfId="0" applyFont="1" applyFill="1" applyBorder="1" applyAlignment="1">
      <alignment horizontal="centerContinuous" vertical="center"/>
    </xf>
    <xf numFmtId="0" fontId="65" fillId="18" borderId="33" xfId="0" applyFont="1" applyFill="1" applyBorder="1" applyAlignment="1">
      <alignment horizontal="centerContinuous" vertical="center"/>
    </xf>
    <xf numFmtId="0" fontId="66" fillId="18" borderId="37" xfId="0" applyFont="1" applyFill="1" applyBorder="1" applyAlignment="1">
      <alignment horizontal="centerContinuous" vertical="center"/>
    </xf>
    <xf numFmtId="0" fontId="66" fillId="18" borderId="50" xfId="0" applyFont="1" applyFill="1" applyBorder="1" applyAlignment="1">
      <alignment horizontal="centerContinuous" vertical="center"/>
    </xf>
    <xf numFmtId="0" fontId="52" fillId="0" borderId="81" xfId="0" applyFont="1" applyBorder="1" applyAlignment="1">
      <alignment horizontal="center" vertical="center" shrinkToFit="1"/>
    </xf>
    <xf numFmtId="0" fontId="68" fillId="0" borderId="1" xfId="0" applyFont="1" applyBorder="1" applyAlignment="1">
      <alignment horizontal="center" vertical="center" shrinkToFit="1"/>
    </xf>
    <xf numFmtId="0" fontId="7" fillId="0" borderId="27" xfId="0" applyFont="1" applyBorder="1" applyAlignment="1">
      <alignment horizontal="center" vertical="center" shrinkToFit="1"/>
    </xf>
    <xf numFmtId="0" fontId="68" fillId="0" borderId="8" xfId="0"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67" fillId="0" borderId="25" xfId="0" applyFont="1" applyBorder="1" applyAlignment="1">
      <alignment horizontal="centerContinuous"/>
    </xf>
    <xf numFmtId="0" fontId="16" fillId="0" borderId="0" xfId="0" applyFont="1" applyAlignment="1">
      <alignment horizontal="centerContinuous"/>
    </xf>
    <xf numFmtId="0" fontId="2" fillId="0" borderId="0" xfId="0" applyFont="1"/>
    <xf numFmtId="0" fontId="4" fillId="0" borderId="0" xfId="0" applyFont="1"/>
    <xf numFmtId="49" fontId="7" fillId="0" borderId="29" xfId="0" applyNumberFormat="1" applyFont="1" applyBorder="1" applyAlignment="1">
      <alignment horizontal="center" vertical="center"/>
    </xf>
    <xf numFmtId="0" fontId="7" fillId="0" borderId="0" xfId="0" applyFont="1" applyAlignment="1">
      <alignment horizontal="center"/>
    </xf>
    <xf numFmtId="9" fontId="7" fillId="0" borderId="0" xfId="2" applyFont="1" applyFill="1" applyBorder="1" applyAlignment="1">
      <alignment horizontal="center"/>
    </xf>
    <xf numFmtId="0" fontId="7" fillId="0" borderId="0" xfId="0" applyFont="1"/>
    <xf numFmtId="0" fontId="4" fillId="0" borderId="0" xfId="0" applyFont="1" applyAlignment="1">
      <alignment horizontal="right"/>
    </xf>
    <xf numFmtId="0" fontId="2" fillId="0" borderId="0" xfId="0" applyFont="1" applyAlignment="1">
      <alignment horizontal="left"/>
    </xf>
    <xf numFmtId="0" fontId="69" fillId="0" borderId="106" xfId="0" applyFont="1" applyBorder="1" applyAlignment="1">
      <alignment horizontal="centerContinuous" vertical="center"/>
    </xf>
    <xf numFmtId="0" fontId="6" fillId="0" borderId="107" xfId="0" applyFont="1" applyBorder="1" applyAlignment="1">
      <alignment horizontal="centerContinuous" vertical="center"/>
    </xf>
    <xf numFmtId="0" fontId="6" fillId="0" borderId="108" xfId="0" applyFont="1" applyBorder="1" applyAlignment="1">
      <alignment horizontal="centerContinuous" vertical="center"/>
    </xf>
    <xf numFmtId="0" fontId="70" fillId="12" borderId="34" xfId="0" applyFont="1" applyFill="1" applyBorder="1" applyAlignment="1">
      <alignment horizontal="centerContinuous" vertical="center"/>
    </xf>
    <xf numFmtId="0" fontId="70" fillId="12" borderId="109" xfId="0" applyFont="1" applyFill="1" applyBorder="1" applyAlignment="1">
      <alignment horizontal="centerContinuous" vertical="center"/>
    </xf>
    <xf numFmtId="0" fontId="70" fillId="12" borderId="110" xfId="0" applyFont="1" applyFill="1" applyBorder="1" applyAlignment="1">
      <alignment horizontal="center" vertical="center"/>
    </xf>
    <xf numFmtId="0" fontId="70" fillId="12" borderId="111" xfId="0" applyFont="1" applyFill="1" applyBorder="1" applyAlignment="1">
      <alignment horizontal="centerContinuous" vertical="center"/>
    </xf>
    <xf numFmtId="0" fontId="7" fillId="0" borderId="112" xfId="0" applyFont="1" applyBorder="1" applyAlignment="1">
      <alignment horizontal="center" vertical="center"/>
    </xf>
    <xf numFmtId="0" fontId="7" fillId="0" borderId="113" xfId="0" applyFont="1" applyBorder="1" applyAlignment="1">
      <alignment horizontal="centerContinuous" vertical="center"/>
    </xf>
    <xf numFmtId="49" fontId="7" fillId="0" borderId="114" xfId="0" applyNumberFormat="1" applyFont="1" applyBorder="1" applyAlignment="1">
      <alignment horizontal="center" vertical="center"/>
    </xf>
    <xf numFmtId="0" fontId="71" fillId="8" borderId="115" xfId="2" applyNumberFormat="1" applyFont="1" applyFill="1" applyBorder="1" applyAlignment="1">
      <alignment horizontal="centerContinuous" vertical="center" shrinkToFit="1"/>
    </xf>
    <xf numFmtId="0" fontId="7" fillId="0" borderId="1" xfId="0" applyFont="1" applyBorder="1" applyAlignment="1">
      <alignment horizontal="center" vertical="center"/>
    </xf>
    <xf numFmtId="0" fontId="7" fillId="0" borderId="28" xfId="0" applyFont="1" applyBorder="1" applyAlignment="1">
      <alignment horizontal="centerContinuous" vertical="center"/>
    </xf>
    <xf numFmtId="49" fontId="7" fillId="0" borderId="27" xfId="0" applyNumberFormat="1" applyFont="1" applyBorder="1" applyAlignment="1">
      <alignment horizontal="center" vertical="center"/>
    </xf>
    <xf numFmtId="0" fontId="71" fillId="8" borderId="2" xfId="2" applyNumberFormat="1" applyFont="1" applyFill="1" applyBorder="1" applyAlignment="1">
      <alignment horizontal="centerContinuous" vertical="center" shrinkToFit="1"/>
    </xf>
    <xf numFmtId="0" fontId="7" fillId="0" borderId="8" xfId="0" applyFont="1" applyBorder="1" applyAlignment="1">
      <alignment horizontal="center" vertical="center"/>
    </xf>
    <xf numFmtId="0" fontId="7" fillId="0" borderId="49" xfId="0" applyFont="1" applyBorder="1" applyAlignment="1">
      <alignment horizontal="centerContinuous" vertical="center"/>
    </xf>
    <xf numFmtId="49" fontId="7" fillId="0" borderId="47" xfId="0" applyNumberFormat="1" applyFont="1" applyBorder="1" applyAlignment="1">
      <alignment horizontal="center" vertical="center"/>
    </xf>
    <xf numFmtId="0" fontId="71" fillId="8" borderId="10" xfId="2" applyNumberFormat="1" applyFont="1" applyFill="1" applyBorder="1" applyAlignment="1">
      <alignment horizontal="centerContinuous" vertical="center" shrinkToFit="1"/>
    </xf>
    <xf numFmtId="0" fontId="2" fillId="0" borderId="117" xfId="0" applyFont="1" applyBorder="1" applyAlignment="1">
      <alignment horizontal="centerContinuous" vertical="center" shrinkToFit="1"/>
    </xf>
    <xf numFmtId="0" fontId="21" fillId="0" borderId="88" xfId="0" applyFont="1" applyBorder="1" applyAlignment="1">
      <alignment horizontal="centerContinuous" vertical="center"/>
    </xf>
    <xf numFmtId="0" fontId="21" fillId="0" borderId="105" xfId="0" applyFont="1" applyBorder="1" applyAlignment="1">
      <alignment horizontal="centerContinuous" vertical="center"/>
    </xf>
    <xf numFmtId="0" fontId="2" fillId="0" borderId="118" xfId="0" applyFont="1" applyBorder="1" applyAlignment="1">
      <alignment horizontal="center" vertical="center"/>
    </xf>
    <xf numFmtId="0" fontId="2" fillId="0" borderId="79" xfId="0" applyFont="1" applyBorder="1" applyAlignment="1">
      <alignment horizontal="center" vertical="center"/>
    </xf>
    <xf numFmtId="1" fontId="2" fillId="20" borderId="81" xfId="0" applyNumberFormat="1" applyFont="1" applyFill="1" applyBorder="1" applyAlignment="1">
      <alignment horizontal="center" vertical="center"/>
    </xf>
    <xf numFmtId="0" fontId="2" fillId="20" borderId="119" xfId="0" applyFont="1" applyFill="1" applyBorder="1" applyAlignment="1">
      <alignment horizontal="center" vertical="center"/>
    </xf>
    <xf numFmtId="49" fontId="2" fillId="20" borderId="79" xfId="0" applyNumberFormat="1" applyFont="1" applyFill="1" applyBorder="1" applyAlignment="1">
      <alignment horizontal="center" vertical="center"/>
    </xf>
    <xf numFmtId="0" fontId="2" fillId="20" borderId="79" xfId="0" applyFont="1" applyFill="1" applyBorder="1" applyAlignment="1">
      <alignment horizontal="center" vertical="center"/>
    </xf>
    <xf numFmtId="164" fontId="2" fillId="20" borderId="79" xfId="0" applyNumberFormat="1" applyFont="1" applyFill="1" applyBorder="1" applyAlignment="1">
      <alignment horizontal="center" vertical="center"/>
    </xf>
    <xf numFmtId="1" fontId="2" fillId="20" borderId="79" xfId="0" applyNumberFormat="1" applyFont="1" applyFill="1" applyBorder="1" applyAlignment="1">
      <alignment horizontal="center" vertical="center"/>
    </xf>
    <xf numFmtId="0" fontId="2" fillId="20" borderId="80" xfId="0" applyFont="1" applyFill="1" applyBorder="1" applyAlignment="1">
      <alignment horizontal="center" vertical="center"/>
    </xf>
    <xf numFmtId="0" fontId="66" fillId="11" borderId="120" xfId="0" applyFont="1" applyFill="1" applyBorder="1" applyAlignment="1">
      <alignment horizontal="centerContinuous" vertical="center"/>
    </xf>
    <xf numFmtId="0" fontId="55" fillId="0" borderId="0" xfId="0" applyFont="1" applyAlignment="1">
      <alignment horizontal="center" vertical="center"/>
    </xf>
    <xf numFmtId="0" fontId="66" fillId="0" borderId="0" xfId="0" applyFont="1" applyAlignment="1">
      <alignment vertical="center"/>
    </xf>
    <xf numFmtId="0" fontId="54" fillId="0" borderId="33" xfId="0" applyFont="1" applyBorder="1" applyAlignment="1">
      <alignment horizontal="center" vertical="center"/>
    </xf>
    <xf numFmtId="0" fontId="7" fillId="0" borderId="116" xfId="0" applyFont="1" applyBorder="1" applyAlignment="1">
      <alignment horizontal="center" vertical="center"/>
    </xf>
    <xf numFmtId="0" fontId="7" fillId="0" borderId="56" xfId="0" applyFont="1" applyBorder="1" applyAlignment="1">
      <alignment horizontal="center" vertical="center"/>
    </xf>
    <xf numFmtId="0" fontId="66" fillId="0" borderId="0" xfId="0" applyFont="1" applyAlignment="1">
      <alignment horizontal="center" vertical="center"/>
    </xf>
    <xf numFmtId="0" fontId="66" fillId="21" borderId="57" xfId="0" applyFont="1" applyFill="1" applyBorder="1" applyAlignment="1">
      <alignment horizontal="centerContinuous" vertical="center"/>
    </xf>
    <xf numFmtId="0" fontId="72" fillId="21" borderId="121" xfId="0" applyFont="1" applyFill="1" applyBorder="1" applyAlignment="1">
      <alignment horizontal="centerContinuous" vertical="center"/>
    </xf>
    <xf numFmtId="0" fontId="12" fillId="19" borderId="67" xfId="0" applyFont="1" applyFill="1" applyBorder="1" applyAlignment="1">
      <alignment horizontal="centerContinuous" vertical="center"/>
    </xf>
    <xf numFmtId="0" fontId="12" fillId="19" borderId="39" xfId="0" applyFont="1" applyFill="1" applyBorder="1" applyAlignment="1">
      <alignment horizontal="center" vertical="center"/>
    </xf>
    <xf numFmtId="0" fontId="12" fillId="19" borderId="68" xfId="0" applyFont="1" applyFill="1" applyBorder="1" applyAlignment="1">
      <alignment horizontal="centerContinuous" vertical="center"/>
    </xf>
    <xf numFmtId="0" fontId="2" fillId="0" borderId="46" xfId="0" applyFont="1" applyBorder="1" applyAlignment="1">
      <alignment horizontal="center" vertical="center"/>
    </xf>
    <xf numFmtId="0" fontId="2" fillId="0" borderId="46" xfId="0" quotePrefix="1" applyFont="1" applyBorder="1" applyAlignment="1">
      <alignment horizontal="center" vertical="center"/>
    </xf>
    <xf numFmtId="164" fontId="5" fillId="0" borderId="46" xfId="0" applyNumberFormat="1" applyFont="1" applyBorder="1" applyAlignment="1">
      <alignment horizontal="center" vertical="center"/>
    </xf>
    <xf numFmtId="164" fontId="2" fillId="0" borderId="122" xfId="0" applyNumberFormat="1" applyFont="1" applyBorder="1" applyAlignment="1">
      <alignment horizontal="centerContinuous" vertical="center"/>
    </xf>
    <xf numFmtId="164" fontId="2" fillId="0" borderId="123" xfId="0" applyNumberFormat="1" applyFont="1" applyBorder="1" applyAlignment="1">
      <alignment horizontal="centerContinuous" vertical="center"/>
    </xf>
    <xf numFmtId="0" fontId="5" fillId="0" borderId="124" xfId="0" quotePrefix="1" applyFont="1" applyBorder="1" applyAlignment="1">
      <alignment horizontal="centerContinuous" vertical="center"/>
    </xf>
    <xf numFmtId="0" fontId="2" fillId="0" borderId="41" xfId="0" quotePrefix="1" applyFont="1" applyBorder="1" applyAlignment="1">
      <alignment horizontal="center" vertical="center"/>
    </xf>
    <xf numFmtId="164" fontId="2" fillId="0" borderId="90" xfId="0" applyNumberFormat="1" applyFont="1" applyBorder="1" applyAlignment="1">
      <alignment horizontal="centerContinuous" vertical="center"/>
    </xf>
    <xf numFmtId="164" fontId="2" fillId="0" borderId="72" xfId="0" applyNumberFormat="1" applyFont="1" applyBorder="1" applyAlignment="1">
      <alignment horizontal="centerContinuous" vertical="center"/>
    </xf>
    <xf numFmtId="0" fontId="2" fillId="0" borderId="8" xfId="0" applyFont="1" applyBorder="1" applyAlignment="1">
      <alignment horizontal="centerContinuous" vertical="center"/>
    </xf>
    <xf numFmtId="0" fontId="5" fillId="0" borderId="125" xfId="0" applyFont="1" applyBorder="1" applyAlignment="1">
      <alignment horizontal="centerContinuous" vertical="center"/>
    </xf>
    <xf numFmtId="0" fontId="5" fillId="0" borderId="126" xfId="0" applyFont="1" applyBorder="1" applyAlignment="1">
      <alignment horizontal="centerContinuous" vertical="center"/>
    </xf>
    <xf numFmtId="164" fontId="5" fillId="0" borderId="126" xfId="0" applyNumberFormat="1" applyFont="1" applyBorder="1" applyAlignment="1">
      <alignment horizontal="center" vertical="center"/>
    </xf>
    <xf numFmtId="49" fontId="2" fillId="0" borderId="126" xfId="0" applyNumberFormat="1" applyFont="1" applyBorder="1" applyAlignment="1">
      <alignment horizontal="center" vertical="center"/>
    </xf>
    <xf numFmtId="49" fontId="2" fillId="0" borderId="127" xfId="0" applyNumberFormat="1" applyFont="1" applyBorder="1" applyAlignment="1">
      <alignment horizontal="centerContinuous" vertical="center"/>
    </xf>
    <xf numFmtId="0" fontId="5" fillId="0" borderId="10" xfId="0" applyFont="1" applyBorder="1" applyAlignment="1">
      <alignment horizontal="centerContinuous" vertical="center"/>
    </xf>
    <xf numFmtId="2" fontId="2" fillId="0" borderId="56" xfId="0" applyNumberFormat="1" applyFont="1" applyBorder="1" applyAlignment="1">
      <alignment horizontal="center" vertical="center"/>
    </xf>
    <xf numFmtId="0" fontId="2" fillId="0" borderId="128" xfId="0" applyFont="1" applyBorder="1" applyAlignment="1">
      <alignment horizontal="centerContinuous" vertical="center"/>
    </xf>
    <xf numFmtId="0" fontId="2" fillId="0" borderId="129" xfId="0" applyFont="1" applyBorder="1" applyAlignment="1">
      <alignment horizontal="centerContinuous" vertical="center"/>
    </xf>
    <xf numFmtId="0" fontId="2" fillId="0" borderId="46" xfId="0" applyFont="1" applyBorder="1" applyAlignment="1">
      <alignment horizontal="centerContinuous" vertical="center"/>
    </xf>
    <xf numFmtId="0" fontId="2" fillId="0" borderId="122" xfId="0" applyFont="1" applyBorder="1" applyAlignment="1">
      <alignment horizontal="centerContinuous" vertical="center"/>
    </xf>
    <xf numFmtId="0" fontId="2" fillId="0" borderId="123" xfId="0" applyFont="1" applyBorder="1" applyAlignment="1">
      <alignment horizontal="centerContinuous" vertical="center"/>
    </xf>
    <xf numFmtId="0" fontId="2" fillId="0" borderId="124" xfId="0" applyFont="1" applyBorder="1" applyAlignment="1">
      <alignment horizontal="centerContinuous" vertical="center"/>
    </xf>
    <xf numFmtId="0" fontId="2" fillId="0" borderId="57" xfId="0" applyFont="1" applyBorder="1" applyAlignment="1">
      <alignment horizontal="center" vertical="center"/>
    </xf>
    <xf numFmtId="0" fontId="2" fillId="0" borderId="91" xfId="0" quotePrefix="1" applyFont="1" applyBorder="1" applyAlignment="1">
      <alignment horizontal="center" vertical="center"/>
    </xf>
    <xf numFmtId="164" fontId="5" fillId="0" borderId="91" xfId="0" applyNumberFormat="1" applyFont="1" applyBorder="1" applyAlignment="1">
      <alignment horizontal="center" vertical="center"/>
    </xf>
    <xf numFmtId="164" fontId="2" fillId="0" borderId="131" xfId="0" applyNumberFormat="1" applyFont="1" applyBorder="1" applyAlignment="1">
      <alignment horizontal="centerContinuous" vertical="center"/>
    </xf>
    <xf numFmtId="0" fontId="5" fillId="0" borderId="132" xfId="0" quotePrefix="1" applyFont="1" applyBorder="1" applyAlignment="1">
      <alignment horizontal="centerContinuous" vertical="center"/>
    </xf>
    <xf numFmtId="0" fontId="73" fillId="0" borderId="0" xfId="0" applyFont="1" applyAlignment="1">
      <alignment vertical="center"/>
    </xf>
    <xf numFmtId="9" fontId="2" fillId="15" borderId="91" xfId="0" applyNumberFormat="1" applyFont="1" applyFill="1" applyBorder="1" applyAlignment="1">
      <alignment horizontal="center" vertical="center"/>
    </xf>
    <xf numFmtId="0" fontId="65" fillId="23" borderId="33" xfId="0" applyFont="1" applyFill="1" applyBorder="1" applyAlignment="1">
      <alignment horizontal="centerContinuous" vertical="center"/>
    </xf>
    <xf numFmtId="0" fontId="66" fillId="23" borderId="37" xfId="0" applyFont="1" applyFill="1" applyBorder="1" applyAlignment="1">
      <alignment horizontal="centerContinuous" vertical="center"/>
    </xf>
    <xf numFmtId="0" fontId="66" fillId="23" borderId="50" xfId="0" applyFont="1" applyFill="1" applyBorder="1" applyAlignment="1">
      <alignment horizontal="centerContinuous" vertical="center"/>
    </xf>
    <xf numFmtId="0" fontId="14" fillId="17" borderId="1" xfId="0" applyFont="1" applyFill="1" applyBorder="1" applyAlignment="1">
      <alignment vertical="center"/>
    </xf>
    <xf numFmtId="0" fontId="7" fillId="17" borderId="27" xfId="0" applyFont="1" applyFill="1" applyBorder="1" applyAlignment="1">
      <alignment horizontal="center" vertical="center"/>
    </xf>
    <xf numFmtId="49" fontId="23" fillId="17" borderId="27" xfId="0" applyNumberFormat="1" applyFont="1" applyFill="1" applyBorder="1" applyAlignment="1">
      <alignment horizontal="center" vertical="center"/>
    </xf>
    <xf numFmtId="0" fontId="23" fillId="17" borderId="28" xfId="0" applyFont="1" applyFill="1" applyBorder="1" applyAlignment="1">
      <alignment horizontal="center" vertical="center"/>
    </xf>
    <xf numFmtId="0" fontId="14" fillId="17" borderId="28" xfId="0" applyFont="1" applyFill="1" applyBorder="1" applyAlignment="1">
      <alignment horizontal="center" vertical="center"/>
    </xf>
    <xf numFmtId="0" fontId="7" fillId="17" borderId="29" xfId="0" quotePrefix="1" applyFont="1" applyFill="1" applyBorder="1" applyAlignment="1">
      <alignment horizontal="center" vertical="center"/>
    </xf>
    <xf numFmtId="0" fontId="51" fillId="22" borderId="33" xfId="0" applyFont="1" applyFill="1" applyBorder="1" applyAlignment="1">
      <alignment horizontal="centerContinuous" vertical="center"/>
    </xf>
    <xf numFmtId="0" fontId="52" fillId="22" borderId="50" xfId="0" applyFont="1" applyFill="1" applyBorder="1" applyAlignment="1">
      <alignment horizontal="centerContinuous" vertical="center"/>
    </xf>
    <xf numFmtId="0" fontId="2" fillId="0" borderId="117" xfId="0" applyFont="1" applyBorder="1" applyAlignment="1">
      <alignment horizontal="center" vertical="center" shrinkToFit="1"/>
    </xf>
    <xf numFmtId="1" fontId="2" fillId="0" borderId="79" xfId="0" applyNumberFormat="1" applyFont="1" applyBorder="1" applyAlignment="1">
      <alignment horizontal="center" vertical="center" shrinkToFit="1"/>
    </xf>
    <xf numFmtId="164" fontId="2" fillId="0" borderId="79" xfId="0" applyNumberFormat="1" applyFont="1" applyBorder="1" applyAlignment="1">
      <alignment horizontal="center" vertical="center" shrinkToFit="1"/>
    </xf>
    <xf numFmtId="0" fontId="2" fillId="0" borderId="118" xfId="0" applyFont="1" applyBorder="1" applyAlignment="1">
      <alignment horizontal="left" vertical="center"/>
    </xf>
    <xf numFmtId="0" fontId="2" fillId="0" borderId="80" xfId="0" applyFont="1" applyBorder="1" applyAlignment="1">
      <alignment horizontal="left" vertical="center" shrinkToFit="1"/>
    </xf>
    <xf numFmtId="1" fontId="2" fillId="0" borderId="81" xfId="0" applyNumberFormat="1" applyFont="1" applyBorder="1" applyAlignment="1">
      <alignment horizontal="center" vertical="center" shrinkToFit="1"/>
    </xf>
    <xf numFmtId="0" fontId="66" fillId="11" borderId="116" xfId="0" applyFont="1" applyFill="1" applyBorder="1" applyAlignment="1">
      <alignment horizontal="centerContinuous" vertical="center"/>
    </xf>
    <xf numFmtId="0" fontId="66" fillId="21" borderId="50" xfId="0" applyFont="1" applyFill="1" applyBorder="1" applyAlignment="1">
      <alignment horizontal="centerContinuous" vertical="center"/>
    </xf>
    <xf numFmtId="1" fontId="2" fillId="0" borderId="116" xfId="0" applyNumberFormat="1" applyFont="1" applyBorder="1" applyAlignment="1">
      <alignment horizontal="center" vertical="center"/>
    </xf>
    <xf numFmtId="0" fontId="2" fillId="0" borderId="133" xfId="0" applyFont="1" applyBorder="1" applyAlignment="1">
      <alignment horizontal="center" vertical="center" shrinkToFit="1"/>
    </xf>
    <xf numFmtId="49" fontId="2" fillId="0" borderId="134" xfId="0" applyNumberFormat="1" applyFont="1" applyBorder="1" applyAlignment="1">
      <alignment horizontal="center" vertical="center"/>
    </xf>
    <xf numFmtId="0" fontId="2" fillId="0" borderId="134" xfId="0" applyFont="1" applyBorder="1" applyAlignment="1">
      <alignment horizontal="center" vertical="center"/>
    </xf>
    <xf numFmtId="164" fontId="2" fillId="0" borderId="134" xfId="0" applyNumberFormat="1" applyFont="1" applyBorder="1" applyAlignment="1">
      <alignment horizontal="center" vertical="center"/>
    </xf>
    <xf numFmtId="1" fontId="2" fillId="0" borderId="134" xfId="0" applyNumberFormat="1" applyFont="1" applyBorder="1" applyAlignment="1">
      <alignment horizontal="center" vertical="center"/>
    </xf>
    <xf numFmtId="0" fontId="2" fillId="0" borderId="135" xfId="0" quotePrefix="1" applyFont="1" applyBorder="1" applyAlignment="1">
      <alignment horizontal="center" vertical="center"/>
    </xf>
    <xf numFmtId="1" fontId="2" fillId="0" borderId="136" xfId="0" applyNumberFormat="1" applyFont="1" applyBorder="1" applyAlignment="1">
      <alignment horizontal="center" vertical="center"/>
    </xf>
    <xf numFmtId="0" fontId="2" fillId="0" borderId="97" xfId="0" applyFont="1" applyBorder="1" applyAlignment="1">
      <alignment horizontal="center" vertical="center"/>
    </xf>
    <xf numFmtId="0" fontId="2" fillId="0" borderId="91" xfId="0" quotePrefix="1" applyFont="1" applyBorder="1" applyAlignment="1">
      <alignment horizontal="center" vertical="center" wrapText="1"/>
    </xf>
    <xf numFmtId="49" fontId="2" fillId="0" borderId="91" xfId="2" applyNumberFormat="1" applyFont="1" applyBorder="1" applyAlignment="1">
      <alignment horizontal="center" vertical="center"/>
    </xf>
    <xf numFmtId="1" fontId="5" fillId="0" borderId="91" xfId="0" applyNumberFormat="1" applyFont="1" applyBorder="1" applyAlignment="1">
      <alignment horizontal="center" vertical="center"/>
    </xf>
    <xf numFmtId="1" fontId="2" fillId="10" borderId="116" xfId="0" applyNumberFormat="1" applyFont="1" applyFill="1" applyBorder="1" applyAlignment="1">
      <alignment horizontal="center" vertical="center"/>
    </xf>
    <xf numFmtId="0" fontId="2" fillId="14" borderId="137" xfId="0" applyFont="1" applyFill="1" applyBorder="1" applyAlignment="1">
      <alignment horizontal="center" vertical="center" shrinkToFit="1"/>
    </xf>
    <xf numFmtId="0" fontId="2" fillId="14" borderId="126" xfId="0" applyFont="1" applyFill="1" applyBorder="1" applyAlignment="1">
      <alignment horizontal="center" vertical="center"/>
    </xf>
    <xf numFmtId="49" fontId="2" fillId="14" borderId="126" xfId="0" applyNumberFormat="1" applyFont="1" applyFill="1" applyBorder="1" applyAlignment="1">
      <alignment horizontal="center" vertical="center"/>
    </xf>
    <xf numFmtId="164" fontId="2" fillId="14" borderId="126" xfId="0" applyNumberFormat="1" applyFont="1" applyFill="1" applyBorder="1" applyAlignment="1">
      <alignment horizontal="center" vertical="center"/>
    </xf>
    <xf numFmtId="1" fontId="2" fillId="14" borderId="126" xfId="0" applyNumberFormat="1" applyFont="1" applyFill="1" applyBorder="1" applyAlignment="1">
      <alignment horizontal="center" vertical="center"/>
    </xf>
    <xf numFmtId="0" fontId="2" fillId="14" borderId="138" xfId="0" quotePrefix="1" applyFont="1" applyFill="1" applyBorder="1" applyAlignment="1">
      <alignment horizontal="center" vertical="center"/>
    </xf>
    <xf numFmtId="1" fontId="2" fillId="14" borderId="56" xfId="0" applyNumberFormat="1" applyFont="1" applyFill="1" applyBorder="1" applyAlignment="1">
      <alignment horizontal="center"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0" xfId="0" quotePrefix="1" applyFont="1" applyBorder="1" applyAlignment="1">
      <alignment horizontal="center" vertical="center" wrapText="1"/>
    </xf>
    <xf numFmtId="49" fontId="2" fillId="0" borderId="140" xfId="2" applyNumberFormat="1" applyFont="1" applyBorder="1" applyAlignment="1">
      <alignment horizontal="center" vertical="center"/>
    </xf>
    <xf numFmtId="0" fontId="2" fillId="0" borderId="140" xfId="0" applyFont="1" applyBorder="1" applyAlignment="1">
      <alignment horizontal="center" vertical="center" shrinkToFit="1"/>
    </xf>
    <xf numFmtId="164" fontId="5" fillId="0" borderId="140" xfId="0" applyNumberFormat="1" applyFont="1" applyBorder="1" applyAlignment="1">
      <alignment horizontal="center" vertical="center"/>
    </xf>
    <xf numFmtId="1" fontId="5" fillId="0" borderId="140" xfId="0" applyNumberFormat="1" applyFont="1" applyBorder="1" applyAlignment="1">
      <alignment horizontal="center" vertical="center"/>
    </xf>
    <xf numFmtId="0" fontId="2" fillId="0" borderId="141" xfId="0" quotePrefix="1" applyFont="1" applyBorder="1" applyAlignment="1">
      <alignment horizontal="center" vertical="center"/>
    </xf>
    <xf numFmtId="1" fontId="2" fillId="10" borderId="136" xfId="0" applyNumberFormat="1" applyFont="1" applyFill="1" applyBorder="1" applyAlignment="1">
      <alignment horizontal="center" vertical="center"/>
    </xf>
    <xf numFmtId="0" fontId="74" fillId="0" borderId="41" xfId="0" applyFont="1" applyBorder="1" applyAlignment="1">
      <alignment horizontal="center" vertical="center"/>
    </xf>
    <xf numFmtId="0" fontId="75" fillId="20" borderId="79" xfId="0" applyFont="1" applyFill="1" applyBorder="1" applyAlignment="1">
      <alignment horizontal="center" vertical="center"/>
    </xf>
    <xf numFmtId="164" fontId="2" fillId="0" borderId="87" xfId="0" quotePrefix="1" applyNumberFormat="1" applyFont="1" applyBorder="1" applyAlignment="1">
      <alignment horizontal="centerContinuous" vertical="center"/>
    </xf>
    <xf numFmtId="0" fontId="2" fillId="0" borderId="119" xfId="0" applyFont="1" applyBorder="1" applyAlignment="1">
      <alignment horizontal="center" vertical="center" shrinkToFit="1"/>
    </xf>
    <xf numFmtId="0" fontId="2" fillId="0" borderId="79" xfId="0" quotePrefix="1" applyFont="1" applyBorder="1" applyAlignment="1">
      <alignment horizontal="center" vertical="center"/>
    </xf>
    <xf numFmtId="9" fontId="2" fillId="15" borderId="142" xfId="0" applyNumberFormat="1" applyFont="1" applyFill="1" applyBorder="1" applyAlignment="1">
      <alignment horizontal="center" vertical="center"/>
    </xf>
    <xf numFmtId="164" fontId="2" fillId="0" borderId="79" xfId="0" applyNumberFormat="1" applyFont="1" applyBorder="1" applyAlignment="1">
      <alignment horizontal="center" vertical="center"/>
    </xf>
    <xf numFmtId="164" fontId="2" fillId="0" borderId="118" xfId="0" applyNumberFormat="1" applyFont="1" applyBorder="1" applyAlignment="1">
      <alignment horizontal="centerContinuous" vertical="center"/>
    </xf>
    <xf numFmtId="164" fontId="2" fillId="0" borderId="88" xfId="0" applyNumberFormat="1" applyFont="1" applyBorder="1" applyAlignment="1">
      <alignment horizontal="centerContinuous" vertical="center"/>
    </xf>
    <xf numFmtId="0" fontId="2" fillId="0" borderId="82" xfId="0" applyFont="1" applyBorder="1" applyAlignment="1">
      <alignment horizontal="center" shrinkToFit="1"/>
    </xf>
    <xf numFmtId="0" fontId="2" fillId="10" borderId="140" xfId="0" applyFont="1" applyFill="1" applyBorder="1" applyAlignment="1">
      <alignment horizontal="center" vertical="center" shrinkToFit="1"/>
    </xf>
    <xf numFmtId="0" fontId="2" fillId="0" borderId="143" xfId="0" applyFont="1" applyBorder="1" applyAlignment="1">
      <alignment vertical="center"/>
    </xf>
    <xf numFmtId="1" fontId="47" fillId="24" borderId="91" xfId="0" applyNumberFormat="1" applyFont="1" applyFill="1" applyBorder="1" applyAlignment="1">
      <alignment horizontal="center" vertical="center"/>
    </xf>
    <xf numFmtId="1" fontId="47" fillId="24" borderId="134" xfId="0" applyNumberFormat="1" applyFont="1" applyFill="1" applyBorder="1" applyAlignment="1">
      <alignment horizontal="center" vertical="center"/>
    </xf>
    <xf numFmtId="1" fontId="47" fillId="24" borderId="140" xfId="0" applyNumberFormat="1" applyFont="1" applyFill="1" applyBorder="1" applyAlignment="1">
      <alignment horizontal="center" vertical="center"/>
    </xf>
    <xf numFmtId="1" fontId="47" fillId="24" borderId="126" xfId="0" applyNumberFormat="1" applyFont="1" applyFill="1" applyBorder="1" applyAlignment="1">
      <alignment horizontal="center" vertical="center"/>
    </xf>
    <xf numFmtId="0" fontId="46" fillId="24" borderId="21" xfId="0" applyFont="1" applyFill="1" applyBorder="1" applyAlignment="1">
      <alignment horizontal="center" vertical="center"/>
    </xf>
    <xf numFmtId="1" fontId="47" fillId="24" borderId="41" xfId="0" applyNumberFormat="1" applyFont="1" applyFill="1" applyBorder="1" applyAlignment="1">
      <alignment horizontal="center" vertical="center"/>
    </xf>
    <xf numFmtId="1" fontId="47" fillId="24" borderId="43" xfId="0" applyNumberFormat="1" applyFont="1" applyFill="1" applyBorder="1" applyAlignment="1">
      <alignment horizontal="center" vertical="center"/>
    </xf>
    <xf numFmtId="0" fontId="47" fillId="24" borderId="140" xfId="0" applyFont="1" applyFill="1" applyBorder="1" applyAlignment="1">
      <alignment horizontal="center" vertical="center" shrinkToFit="1"/>
    </xf>
    <xf numFmtId="0" fontId="2" fillId="10" borderId="135" xfId="0" quotePrefix="1" applyFont="1" applyFill="1" applyBorder="1" applyAlignment="1">
      <alignment horizontal="center" vertical="center"/>
    </xf>
    <xf numFmtId="1" fontId="2" fillId="0" borderId="144" xfId="0" applyNumberFormat="1" applyFont="1" applyBorder="1" applyAlignment="1">
      <alignment horizontal="center" vertical="center"/>
    </xf>
    <xf numFmtId="0" fontId="21" fillId="11" borderId="145" xfId="0" applyFont="1" applyFill="1" applyBorder="1" applyAlignment="1">
      <alignment horizontal="center" vertical="center"/>
    </xf>
    <xf numFmtId="0" fontId="2" fillId="0" borderId="146" xfId="0" applyFont="1" applyBorder="1" applyAlignment="1">
      <alignment horizontal="center" shrinkToFit="1"/>
    </xf>
    <xf numFmtId="0" fontId="2" fillId="0" borderId="130" xfId="0" applyFont="1" applyBorder="1" applyAlignment="1">
      <alignment horizontal="left" vertical="center"/>
    </xf>
    <xf numFmtId="0" fontId="2" fillId="0" borderId="92" xfId="0" applyFont="1" applyBorder="1" applyAlignment="1">
      <alignment horizontal="left" vertical="center" shrinkToFit="1"/>
    </xf>
    <xf numFmtId="0" fontId="6" fillId="25" borderId="30" xfId="0" applyFont="1" applyFill="1" applyBorder="1" applyAlignment="1">
      <alignment horizontal="center" vertical="center"/>
    </xf>
    <xf numFmtId="0" fontId="2" fillId="21" borderId="79" xfId="0" quotePrefix="1" applyFont="1" applyFill="1" applyBorder="1" applyAlignment="1">
      <alignment horizontal="center" vertical="center"/>
    </xf>
    <xf numFmtId="0" fontId="7" fillId="0" borderId="26" xfId="0" quotePrefix="1" applyFont="1" applyBorder="1" applyAlignment="1">
      <alignment horizontal="center" vertical="center"/>
    </xf>
    <xf numFmtId="0" fontId="2" fillId="14" borderId="97" xfId="0" applyFont="1" applyFill="1" applyBorder="1" applyAlignment="1">
      <alignment horizontal="center" vertical="center"/>
    </xf>
    <xf numFmtId="0" fontId="2" fillId="14" borderId="91" xfId="0" applyFont="1" applyFill="1" applyBorder="1" applyAlignment="1">
      <alignment horizontal="center" vertical="center"/>
    </xf>
    <xf numFmtId="49" fontId="2" fillId="14" borderId="91" xfId="0" applyNumberFormat="1" applyFont="1" applyFill="1" applyBorder="1" applyAlignment="1">
      <alignment horizontal="center" vertical="center"/>
    </xf>
    <xf numFmtId="0" fontId="2" fillId="14" borderId="92" xfId="0" applyFont="1" applyFill="1" applyBorder="1" applyAlignment="1">
      <alignment horizontal="center" vertical="center"/>
    </xf>
    <xf numFmtId="0" fontId="7" fillId="0" borderId="3" xfId="0" quotePrefix="1" applyFont="1" applyBorder="1" applyAlignment="1">
      <alignment horizontal="center" vertical="center"/>
    </xf>
    <xf numFmtId="1" fontId="7" fillId="21" borderId="30"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7" fillId="0" borderId="12" xfId="0" applyNumberFormat="1" applyFont="1" applyBorder="1" applyAlignment="1">
      <alignment horizontal="center" vertical="center"/>
    </xf>
    <xf numFmtId="164" fontId="2" fillId="0" borderId="130" xfId="0" quotePrefix="1" applyNumberFormat="1" applyFont="1" applyBorder="1" applyAlignment="1">
      <alignment horizontal="centerContinuous" vertical="center"/>
    </xf>
    <xf numFmtId="0" fontId="2" fillId="26" borderId="91" xfId="0" quotePrefix="1" applyFont="1" applyFill="1" applyBorder="1" applyAlignment="1">
      <alignment horizontal="center" vertical="center"/>
    </xf>
    <xf numFmtId="1" fontId="7" fillId="0" borderId="85" xfId="0" applyNumberFormat="1" applyFont="1" applyBorder="1" applyAlignment="1">
      <alignment horizontal="centerContinuous" vertical="center"/>
    </xf>
    <xf numFmtId="0" fontId="2" fillId="0" borderId="86" xfId="0" applyFont="1" applyBorder="1" applyAlignment="1">
      <alignment horizontal="centerContinuous" vertical="center"/>
    </xf>
    <xf numFmtId="0" fontId="7" fillId="0" borderId="14" xfId="0" applyFont="1" applyBorder="1" applyAlignment="1">
      <alignment horizontal="center" vertical="center"/>
    </xf>
    <xf numFmtId="0" fontId="2" fillId="0" borderId="119" xfId="0" applyFont="1" applyBorder="1" applyAlignment="1">
      <alignment horizontal="center" vertical="center"/>
    </xf>
    <xf numFmtId="0" fontId="52" fillId="22" borderId="116" xfId="0" applyFont="1" applyFill="1" applyBorder="1" applyAlignment="1">
      <alignment horizontal="centerContinuous" vertical="center"/>
    </xf>
    <xf numFmtId="0" fontId="26" fillId="27" borderId="50" xfId="0" applyFont="1" applyFill="1" applyBorder="1" applyAlignment="1">
      <alignment horizontal="centerContinuous" vertical="center"/>
    </xf>
    <xf numFmtId="0" fontId="52" fillId="27" borderId="116" xfId="0" applyFont="1" applyFill="1" applyBorder="1" applyAlignment="1">
      <alignment horizontal="centerContinuous"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4">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CCCCFF"/>
      <color rgb="FFCC99FF"/>
      <color rgb="FFCC66FF"/>
      <color rgb="FF9900FF"/>
      <color rgb="FF33CC33"/>
      <color rgb="FF008000"/>
      <color rgb="FF0000FF"/>
      <color rgb="FF00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16</xdr:row>
      <xdr:rowOff>15240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18</xdr:row>
      <xdr:rowOff>51434</xdr:rowOff>
    </xdr:from>
    <xdr:to>
      <xdr:col>6</xdr:col>
      <xdr:colOff>1261110</xdr:colOff>
      <xdr:row>64</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Character Background: </a:t>
          </a:r>
          <a:r>
            <a:rPr lang="en-US" sz="1100">
              <a:effectLst/>
              <a:latin typeface="Times New Roman" panose="02020603050405020304" pitchFamily="18" charset="0"/>
              <a:ea typeface="+mn-ea"/>
              <a:cs typeface="Times New Roman" panose="02020603050405020304" pitchFamily="18" charset="0"/>
            </a:rPr>
            <a:t>Artisan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Transition: </a:t>
          </a:r>
          <a:r>
            <a:rPr lang="en-US" sz="1100">
              <a:effectLst/>
              <a:latin typeface="Times New Roman" panose="02020603050405020304" pitchFamily="18" charset="0"/>
              <a:ea typeface="+mn-ea"/>
              <a:cs typeface="Times New Roman" panose="02020603050405020304" pitchFamily="18" charset="0"/>
            </a:rPr>
            <a:t>Felt the calling when a traveling priest (cleric) of a warrior goddess (Mayaheine) came through, and left home to travel with him, to learn how to use the gifts I was being given.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Roleplaying: </a:t>
          </a:r>
          <a:r>
            <a:rPr lang="en-US" sz="1100">
              <a:effectLst/>
              <a:latin typeface="Times New Roman" panose="02020603050405020304" pitchFamily="18" charset="0"/>
              <a:ea typeface="+mn-ea"/>
              <a:cs typeface="Times New Roman" panose="02020603050405020304" pitchFamily="18" charset="0"/>
            </a:rPr>
            <a:t>I do try to work my weaponsmithing skill into the narrative.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Personality Archetype: </a:t>
          </a:r>
          <a:r>
            <a:rPr lang="en-US" sz="1100">
              <a:effectLst/>
              <a:latin typeface="Times New Roman" panose="02020603050405020304" pitchFamily="18" charset="0"/>
              <a:ea typeface="+mn-ea"/>
              <a:cs typeface="Times New Roman" panose="02020603050405020304" pitchFamily="18" charset="0"/>
            </a:rPr>
            <a:t>Crusader</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“Crush the wererats and spread the word of Mayaheine!”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A crusader serves a cause.  The cause might be noble or heinous, universal or personal.  She could belong to an organization that shares her cause, or she could act as her individual beliefs demand.  Either way, a crusader adventures to further her cause.  The normal motivations for adventuring—wealth, power, fame, personal betterment, excitement—hold scant appeal for a crusader; she is happiest when she is directly serving her cause.  She keeps her party adventuring, since whenever her fellow PCs don’t know what to do next, she is quick to suggest a course of action.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Traits: </a:t>
          </a:r>
          <a:r>
            <a:rPr lang="en-US" sz="1100">
              <a:effectLst/>
              <a:latin typeface="Times New Roman" panose="02020603050405020304" pitchFamily="18" charset="0"/>
              <a:ea typeface="+mn-ea"/>
              <a:cs typeface="Times New Roman" panose="02020603050405020304" pitchFamily="18" charset="0"/>
            </a:rPr>
            <a:t>Bold, patriotic, religious.</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16</xdr:row>
      <xdr:rowOff>15240</xdr:rowOff>
    </xdr:from>
    <xdr:to>
      <xdr:col>6</xdr:col>
      <xdr:colOff>1232535</xdr:colOff>
      <xdr:row>17</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413760"/>
          <a:ext cx="2291715" cy="46291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D6EACDA2-1BFE-4A42-BB36-7ACE1896AAAB}"/>
            </a:ext>
          </a:extLst>
        </xdr:cNvPr>
        <xdr:cNvSpPr>
          <a:spLocks noChangeArrowheads="1"/>
        </xdr:cNvSpPr>
      </xdr:nvSpPr>
      <xdr:spPr bwMode="auto">
        <a:xfrm>
          <a:off x="4671060" y="0"/>
          <a:ext cx="183642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C4356AEA-E66E-435D-B340-B13D8167085E}"/>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7620</xdr:colOff>
      <xdr:row>11</xdr:row>
      <xdr:rowOff>15240</xdr:rowOff>
    </xdr:from>
    <xdr:to>
      <xdr:col>3</xdr:col>
      <xdr:colOff>129540</xdr:colOff>
      <xdr:row>16</xdr:row>
      <xdr:rowOff>7620</xdr:rowOff>
    </xdr:to>
    <xdr:sp macro="" textlink="">
      <xdr:nvSpPr>
        <xdr:cNvPr id="3" name="Right Brace 2">
          <a:extLst>
            <a:ext uri="{FF2B5EF4-FFF2-40B4-BE49-F238E27FC236}">
              <a16:creationId xmlns:a16="http://schemas.microsoft.com/office/drawing/2014/main" id="{48F8F3A8-379A-4D35-92A2-B9A76E39AC82}"/>
            </a:ext>
          </a:extLst>
        </xdr:cNvPr>
        <xdr:cNvSpPr/>
      </xdr:nvSpPr>
      <xdr:spPr bwMode="auto">
        <a:xfrm>
          <a:off x="5992108" y="2843933"/>
          <a:ext cx="121920" cy="1271053"/>
        </a:xfrm>
        <a:prstGeom prst="rightBrace">
          <a:avLst>
            <a:gd name="adj1" fmla="val 48333"/>
            <a:gd name="adj2" fmla="val 7105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68580</xdr:colOff>
      <xdr:row>1</xdr:row>
      <xdr:rowOff>123825</xdr:rowOff>
    </xdr:from>
    <xdr:to>
      <xdr:col>2</xdr:col>
      <xdr:colOff>55245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
  <sheetViews>
    <sheetView showGridLines="0" tabSelected="1" zoomScaleNormal="100" workbookViewId="0"/>
  </sheetViews>
  <sheetFormatPr defaultColWidth="13" defaultRowHeight="15.6" x14ac:dyDescent="0.3"/>
  <cols>
    <col min="1" max="1" width="14.8984375" style="55" customWidth="1"/>
    <col min="2" max="2" width="10" style="56" customWidth="1"/>
    <col min="3" max="3" width="5.09765625" style="56" customWidth="1"/>
    <col min="4" max="4" width="13.69921875" style="55" bestFit="1" customWidth="1"/>
    <col min="5" max="5" width="10.8984375" style="56" bestFit="1" customWidth="1"/>
    <col min="6" max="6" width="14.69921875" style="55" customWidth="1"/>
    <col min="7" max="7" width="17.09765625" style="56" customWidth="1"/>
    <col min="8" max="16384" width="13" style="15"/>
  </cols>
  <sheetData>
    <row r="1" spans="1:7" ht="29.4" thickTop="1" thickBot="1" x14ac:dyDescent="0.35">
      <c r="A1" s="9" t="s">
        <v>171</v>
      </c>
      <c r="B1" s="10"/>
      <c r="C1" s="11"/>
      <c r="D1" s="12"/>
      <c r="E1" s="13"/>
      <c r="F1" s="12"/>
      <c r="G1" s="14" t="s">
        <v>172</v>
      </c>
    </row>
    <row r="2" spans="1:7" ht="17.399999999999999" thickTop="1" x14ac:dyDescent="0.3">
      <c r="A2" s="16" t="s">
        <v>134</v>
      </c>
      <c r="B2" s="17" t="s">
        <v>111</v>
      </c>
      <c r="C2" s="17"/>
      <c r="D2" s="18" t="s">
        <v>143</v>
      </c>
      <c r="E2" s="19">
        <v>24</v>
      </c>
      <c r="F2" s="20"/>
      <c r="G2" s="21"/>
    </row>
    <row r="3" spans="1:7" ht="16.8" x14ac:dyDescent="0.3">
      <c r="A3" s="16" t="s">
        <v>135</v>
      </c>
      <c r="B3" s="17" t="s">
        <v>166</v>
      </c>
      <c r="C3" s="17"/>
      <c r="D3" s="18" t="s">
        <v>0</v>
      </c>
      <c r="E3" s="19">
        <v>4</v>
      </c>
      <c r="F3" s="18"/>
      <c r="G3" s="21"/>
    </row>
    <row r="4" spans="1:7" ht="16.8" x14ac:dyDescent="0.3">
      <c r="A4" s="16" t="s">
        <v>135</v>
      </c>
      <c r="B4" s="17" t="s">
        <v>216</v>
      </c>
      <c r="C4" s="17"/>
      <c r="D4" s="18" t="s">
        <v>0</v>
      </c>
      <c r="E4" s="19">
        <v>2</v>
      </c>
      <c r="F4" s="18"/>
      <c r="G4" s="21"/>
    </row>
    <row r="5" spans="1:7" ht="16.8" x14ac:dyDescent="0.3">
      <c r="A5" s="16" t="s">
        <v>135</v>
      </c>
      <c r="B5" s="17" t="s">
        <v>287</v>
      </c>
      <c r="C5" s="17"/>
      <c r="D5" s="18" t="s">
        <v>0</v>
      </c>
      <c r="E5" s="19">
        <v>2</v>
      </c>
      <c r="F5" s="18"/>
      <c r="G5" s="21"/>
    </row>
    <row r="6" spans="1:7" ht="16.8" x14ac:dyDescent="0.3">
      <c r="A6" s="16" t="s">
        <v>135</v>
      </c>
      <c r="B6" s="17" t="s">
        <v>390</v>
      </c>
      <c r="C6" s="17"/>
      <c r="D6" s="18" t="s">
        <v>0</v>
      </c>
      <c r="E6" s="19">
        <v>3</v>
      </c>
      <c r="F6" s="18"/>
      <c r="G6" s="21"/>
    </row>
    <row r="7" spans="1:7" ht="16.8" x14ac:dyDescent="0.3">
      <c r="A7" s="16" t="s">
        <v>152</v>
      </c>
      <c r="B7" s="17" t="s">
        <v>184</v>
      </c>
      <c r="C7" s="17"/>
      <c r="D7" s="18" t="s">
        <v>136</v>
      </c>
      <c r="E7" s="19" t="s">
        <v>167</v>
      </c>
      <c r="F7" s="18"/>
      <c r="G7" s="21"/>
    </row>
    <row r="8" spans="1:7" ht="16.8" x14ac:dyDescent="0.3">
      <c r="A8" s="16" t="s">
        <v>153</v>
      </c>
      <c r="B8" s="17" t="s">
        <v>417</v>
      </c>
      <c r="C8" s="17"/>
      <c r="D8" s="18" t="s">
        <v>157</v>
      </c>
      <c r="E8" s="19" t="s">
        <v>168</v>
      </c>
      <c r="F8" s="18"/>
      <c r="G8" s="21"/>
    </row>
    <row r="9" spans="1:7" ht="17.399999999999999" thickBot="1" x14ac:dyDescent="0.35">
      <c r="A9" s="16" t="s">
        <v>154</v>
      </c>
      <c r="B9" s="17" t="s">
        <v>170</v>
      </c>
      <c r="C9" s="17"/>
      <c r="D9" s="18" t="s">
        <v>158</v>
      </c>
      <c r="E9" s="19" t="s">
        <v>169</v>
      </c>
      <c r="F9" s="18"/>
      <c r="G9" s="21"/>
    </row>
    <row r="10" spans="1:7" ht="17.399999999999999" thickTop="1" x14ac:dyDescent="0.3">
      <c r="A10" s="22" t="s">
        <v>155</v>
      </c>
      <c r="B10" s="564">
        <f>3+E4+1+2</f>
        <v>8</v>
      </c>
      <c r="C10" s="565"/>
      <c r="D10" s="23" t="s">
        <v>79</v>
      </c>
      <c r="E10" s="24" t="s">
        <v>110</v>
      </c>
      <c r="F10" s="25"/>
      <c r="G10" s="21"/>
    </row>
    <row r="11" spans="1:7" ht="17.399999999999999" thickBot="1" x14ac:dyDescent="0.35">
      <c r="A11" s="133" t="s">
        <v>156</v>
      </c>
      <c r="B11" s="134">
        <f>C13+2</f>
        <v>4</v>
      </c>
      <c r="C11" s="135"/>
      <c r="D11" s="306" t="s">
        <v>220</v>
      </c>
      <c r="E11" s="307">
        <v>47880</v>
      </c>
      <c r="F11" s="25"/>
      <c r="G11" s="21"/>
    </row>
    <row r="12" spans="1:7" ht="17.399999999999999" thickTop="1" x14ac:dyDescent="0.3">
      <c r="A12" s="26" t="s">
        <v>151</v>
      </c>
      <c r="B12" s="566">
        <f>15</f>
        <v>15</v>
      </c>
      <c r="C12" s="27" t="str">
        <f t="shared" ref="C12:C17" si="0">IF(B12&gt;9.9,CONCATENATE("+",ROUNDDOWN((B12-10)/2,0)),ROUNDUP((B12-10)/2,0))</f>
        <v>+2</v>
      </c>
      <c r="D12" s="28" t="s">
        <v>159</v>
      </c>
      <c r="E12" s="112" t="s">
        <v>357</v>
      </c>
      <c r="F12" s="25"/>
      <c r="G12" s="21"/>
    </row>
    <row r="13" spans="1:7" ht="16.8" x14ac:dyDescent="0.3">
      <c r="A13" s="29" t="s">
        <v>150</v>
      </c>
      <c r="B13" s="558">
        <f>14</f>
        <v>14</v>
      </c>
      <c r="C13" s="30" t="str">
        <f t="shared" si="0"/>
        <v>+2</v>
      </c>
      <c r="D13" s="31" t="s">
        <v>160</v>
      </c>
      <c r="E13" s="32">
        <f>SUM(Martial!G3:G39)+SUM(Equipment!C3:C25)+5</f>
        <v>91</v>
      </c>
      <c r="F13" s="25"/>
      <c r="G13" s="21"/>
    </row>
    <row r="14" spans="1:7" ht="16.8" x14ac:dyDescent="0.3">
      <c r="A14" s="33" t="s">
        <v>146</v>
      </c>
      <c r="B14" s="34">
        <v>12</v>
      </c>
      <c r="C14" s="35" t="str">
        <f t="shared" si="0"/>
        <v>+1</v>
      </c>
      <c r="D14" s="31" t="s">
        <v>161</v>
      </c>
      <c r="E14" s="551">
        <f>ROUNDUP(((E3*8)*0.75)+((E4*10)*0.75)+((E5*6)*0.75)+((E6*8)*0.75)+(SUM(E3:E6)*C14),0)</f>
        <v>77</v>
      </c>
      <c r="F14" s="25"/>
      <c r="G14" s="21"/>
    </row>
    <row r="15" spans="1:7" ht="16.8" x14ac:dyDescent="0.3">
      <c r="A15" s="36" t="s">
        <v>148</v>
      </c>
      <c r="B15" s="34">
        <v>14</v>
      </c>
      <c r="C15" s="30" t="str">
        <f t="shared" si="0"/>
        <v>+2</v>
      </c>
      <c r="D15" s="37" t="s">
        <v>162</v>
      </c>
      <c r="E15" s="559">
        <f>10+C13+2</f>
        <v>14</v>
      </c>
      <c r="F15" s="16"/>
      <c r="G15" s="21"/>
    </row>
    <row r="16" spans="1:7" ht="16.8" x14ac:dyDescent="0.3">
      <c r="A16" s="38" t="s">
        <v>149</v>
      </c>
      <c r="B16" s="34">
        <v>8</v>
      </c>
      <c r="C16" s="30">
        <f t="shared" si="0"/>
        <v>-1</v>
      </c>
      <c r="D16" s="37" t="s">
        <v>163</v>
      </c>
      <c r="E16" s="560">
        <f>E17-C13</f>
        <v>22</v>
      </c>
      <c r="F16" s="25"/>
      <c r="G16" s="21"/>
    </row>
    <row r="17" spans="1:7" ht="17.399999999999999" thickBot="1" x14ac:dyDescent="0.35">
      <c r="A17" s="39" t="s">
        <v>147</v>
      </c>
      <c r="B17" s="553">
        <f>14</f>
        <v>14</v>
      </c>
      <c r="C17" s="40" t="str">
        <f t="shared" si="0"/>
        <v>+2</v>
      </c>
      <c r="D17" s="41" t="s">
        <v>183</v>
      </c>
      <c r="E17" s="561">
        <f>E15+SUM(Martial!B30:B35)</f>
        <v>24</v>
      </c>
      <c r="F17" s="25"/>
      <c r="G17" s="21"/>
    </row>
    <row r="18" spans="1:7" ht="24" thickTop="1" thickBot="1" x14ac:dyDescent="0.35">
      <c r="A18" s="42" t="s">
        <v>18</v>
      </c>
      <c r="B18" s="43"/>
      <c r="C18" s="43"/>
      <c r="D18" s="44"/>
      <c r="E18" s="44"/>
      <c r="F18" s="44"/>
      <c r="G18" s="45"/>
    </row>
    <row r="19" spans="1:7" s="3" customFormat="1" ht="17.399999999999999" thickTop="1" x14ac:dyDescent="0.3">
      <c r="A19" s="46"/>
      <c r="B19" s="47"/>
      <c r="C19" s="47"/>
      <c r="D19" s="47"/>
      <c r="E19" s="47"/>
      <c r="F19" s="47"/>
      <c r="G19" s="48"/>
    </row>
    <row r="20" spans="1:7" s="3" customFormat="1" ht="16.8" x14ac:dyDescent="0.3">
      <c r="A20" s="49"/>
      <c r="B20" s="50"/>
      <c r="C20" s="50"/>
      <c r="D20" s="50"/>
      <c r="E20" s="50"/>
      <c r="F20" s="50"/>
      <c r="G20" s="51"/>
    </row>
    <row r="21" spans="1:7" s="3" customFormat="1" ht="16.8" x14ac:dyDescent="0.3">
      <c r="A21" s="49"/>
      <c r="B21" s="50"/>
      <c r="C21" s="50"/>
      <c r="D21" s="50"/>
      <c r="E21" s="50"/>
      <c r="F21" s="50"/>
      <c r="G21" s="51"/>
    </row>
    <row r="22" spans="1:7" s="3" customFormat="1" ht="16.8" x14ac:dyDescent="0.3">
      <c r="A22" s="49"/>
      <c r="B22" s="50"/>
      <c r="C22" s="50"/>
      <c r="D22" s="50"/>
      <c r="E22" s="50"/>
      <c r="F22" s="50"/>
      <c r="G22" s="51"/>
    </row>
    <row r="23" spans="1:7" s="3" customFormat="1" ht="16.8" x14ac:dyDescent="0.3">
      <c r="A23" s="49"/>
      <c r="B23" s="50"/>
      <c r="C23" s="50"/>
      <c r="D23" s="50"/>
      <c r="E23" s="50"/>
      <c r="F23" s="50"/>
      <c r="G23" s="51"/>
    </row>
    <row r="24" spans="1:7" s="3" customFormat="1" ht="16.8" x14ac:dyDescent="0.3">
      <c r="A24" s="49"/>
      <c r="B24" s="50"/>
      <c r="C24" s="50"/>
      <c r="D24" s="50"/>
      <c r="E24" s="50"/>
      <c r="F24" s="50"/>
      <c r="G24" s="51"/>
    </row>
    <row r="25" spans="1:7" s="3" customFormat="1" ht="16.8" x14ac:dyDescent="0.3">
      <c r="A25" s="49"/>
      <c r="B25" s="50"/>
      <c r="C25" s="50"/>
      <c r="D25" s="50"/>
      <c r="E25" s="50"/>
      <c r="F25" s="50"/>
      <c r="G25" s="51"/>
    </row>
    <row r="26" spans="1:7" s="3" customFormat="1" ht="16.8" x14ac:dyDescent="0.3">
      <c r="A26" s="49"/>
      <c r="B26" s="50"/>
      <c r="C26" s="50"/>
      <c r="D26" s="50"/>
      <c r="E26" s="50"/>
      <c r="F26" s="50"/>
      <c r="G26" s="51"/>
    </row>
    <row r="27" spans="1:7" s="3" customFormat="1" ht="16.8" x14ac:dyDescent="0.3">
      <c r="A27" s="49"/>
      <c r="B27" s="50"/>
      <c r="C27" s="50"/>
      <c r="D27" s="50"/>
      <c r="E27" s="50"/>
      <c r="F27" s="50"/>
      <c r="G27" s="51"/>
    </row>
    <row r="28" spans="1:7" s="3" customFormat="1" ht="16.8" x14ac:dyDescent="0.3">
      <c r="A28" s="49"/>
      <c r="B28" s="50"/>
      <c r="C28" s="50"/>
      <c r="D28" s="50"/>
      <c r="E28" s="50"/>
      <c r="F28" s="50"/>
      <c r="G28" s="51"/>
    </row>
    <row r="29" spans="1:7" s="3" customFormat="1" ht="16.8" x14ac:dyDescent="0.3">
      <c r="A29" s="49"/>
      <c r="B29" s="50"/>
      <c r="C29" s="50"/>
      <c r="D29" s="50"/>
      <c r="E29" s="50"/>
      <c r="F29" s="50"/>
      <c r="G29" s="51"/>
    </row>
    <row r="30" spans="1:7" s="3" customFormat="1" ht="16.8" x14ac:dyDescent="0.3">
      <c r="A30" s="49"/>
      <c r="B30" s="50"/>
      <c r="C30" s="50"/>
      <c r="D30" s="50"/>
      <c r="E30" s="50"/>
      <c r="F30" s="50"/>
      <c r="G30" s="51"/>
    </row>
    <row r="31" spans="1:7" s="3" customFormat="1" ht="16.8" x14ac:dyDescent="0.3">
      <c r="A31" s="49"/>
      <c r="B31" s="50"/>
      <c r="C31" s="50"/>
      <c r="D31" s="50"/>
      <c r="E31" s="50"/>
      <c r="F31" s="50"/>
      <c r="G31" s="51"/>
    </row>
    <row r="32" spans="1:7" s="3" customFormat="1" ht="16.8" x14ac:dyDescent="0.3">
      <c r="A32" s="49"/>
      <c r="B32" s="50"/>
      <c r="C32" s="50"/>
      <c r="D32" s="50"/>
      <c r="E32" s="50"/>
      <c r="F32" s="50"/>
      <c r="G32" s="51"/>
    </row>
    <row r="33" spans="1:7" s="3" customFormat="1" ht="16.8" x14ac:dyDescent="0.3">
      <c r="A33" s="49"/>
      <c r="B33" s="50"/>
      <c r="C33" s="50"/>
      <c r="D33" s="50"/>
      <c r="E33" s="50"/>
      <c r="F33" s="50"/>
      <c r="G33" s="51"/>
    </row>
    <row r="34" spans="1:7" s="3" customFormat="1" ht="16.8" x14ac:dyDescent="0.3">
      <c r="A34" s="49"/>
      <c r="B34" s="50"/>
      <c r="C34" s="50"/>
      <c r="D34" s="50"/>
      <c r="E34" s="50"/>
      <c r="F34" s="50"/>
      <c r="G34" s="51"/>
    </row>
    <row r="35" spans="1:7" s="3" customFormat="1" ht="16.8" x14ac:dyDescent="0.3">
      <c r="A35" s="49"/>
      <c r="B35" s="50"/>
      <c r="C35" s="50"/>
      <c r="D35" s="50"/>
      <c r="E35" s="50"/>
      <c r="F35" s="50"/>
      <c r="G35" s="51"/>
    </row>
    <row r="36" spans="1:7" s="3" customFormat="1" ht="16.8" x14ac:dyDescent="0.3">
      <c r="A36" s="49"/>
      <c r="B36" s="50"/>
      <c r="C36" s="50"/>
      <c r="D36" s="50"/>
      <c r="E36" s="50"/>
      <c r="F36" s="50"/>
      <c r="G36" s="51"/>
    </row>
    <row r="37" spans="1:7" s="3" customFormat="1" ht="16.8" x14ac:dyDescent="0.3">
      <c r="A37" s="49"/>
      <c r="B37" s="50"/>
      <c r="C37" s="50"/>
      <c r="D37" s="50"/>
      <c r="E37" s="50"/>
      <c r="F37" s="50"/>
      <c r="G37" s="51"/>
    </row>
    <row r="38" spans="1:7" s="3" customFormat="1" ht="16.8" x14ac:dyDescent="0.3">
      <c r="A38" s="49"/>
      <c r="B38" s="50"/>
      <c r="C38" s="50"/>
      <c r="D38" s="50"/>
      <c r="E38" s="50"/>
      <c r="F38" s="50"/>
      <c r="G38" s="51"/>
    </row>
    <row r="39" spans="1:7" s="3" customFormat="1" ht="16.8" x14ac:dyDescent="0.3">
      <c r="A39" s="49"/>
      <c r="B39" s="50"/>
      <c r="C39" s="50"/>
      <c r="D39" s="50"/>
      <c r="E39" s="50"/>
      <c r="F39" s="50"/>
      <c r="G39" s="51"/>
    </row>
    <row r="40" spans="1:7" s="3" customFormat="1" ht="16.8" x14ac:dyDescent="0.3">
      <c r="A40" s="49"/>
      <c r="B40" s="50"/>
      <c r="C40" s="50"/>
      <c r="D40" s="50"/>
      <c r="E40" s="50"/>
      <c r="F40" s="50"/>
      <c r="G40" s="51"/>
    </row>
    <row r="41" spans="1:7" s="3" customFormat="1" ht="16.8" x14ac:dyDescent="0.3">
      <c r="A41" s="49"/>
      <c r="B41" s="50"/>
      <c r="C41" s="50"/>
      <c r="D41" s="50"/>
      <c r="E41" s="50"/>
      <c r="F41" s="50"/>
      <c r="G41" s="51"/>
    </row>
    <row r="42" spans="1:7" s="3" customFormat="1" ht="16.8" x14ac:dyDescent="0.3">
      <c r="A42" s="49"/>
      <c r="B42" s="50"/>
      <c r="C42" s="50"/>
      <c r="D42" s="50"/>
      <c r="E42" s="50"/>
      <c r="F42" s="50"/>
      <c r="G42" s="51"/>
    </row>
    <row r="43" spans="1:7" s="3" customFormat="1" ht="16.8" x14ac:dyDescent="0.3">
      <c r="A43" s="49"/>
      <c r="B43" s="50"/>
      <c r="C43" s="50"/>
      <c r="D43" s="50"/>
      <c r="E43" s="50"/>
      <c r="F43" s="50"/>
      <c r="G43" s="51"/>
    </row>
    <row r="44" spans="1:7" s="3" customFormat="1" ht="16.8" x14ac:dyDescent="0.3">
      <c r="A44" s="49"/>
      <c r="B44" s="50"/>
      <c r="C44" s="50"/>
      <c r="D44" s="50"/>
      <c r="E44" s="50"/>
      <c r="F44" s="50"/>
      <c r="G44" s="51"/>
    </row>
    <row r="45" spans="1:7" s="3" customFormat="1" ht="16.8" x14ac:dyDescent="0.3">
      <c r="A45" s="49"/>
      <c r="B45" s="50"/>
      <c r="C45" s="50"/>
      <c r="D45" s="50"/>
      <c r="E45" s="50"/>
      <c r="F45" s="50"/>
      <c r="G45" s="51"/>
    </row>
    <row r="46" spans="1:7" s="3" customFormat="1" ht="16.8" x14ac:dyDescent="0.3">
      <c r="A46" s="49"/>
      <c r="B46" s="50"/>
      <c r="C46" s="50"/>
      <c r="D46" s="50"/>
      <c r="E46" s="50"/>
      <c r="F46" s="50"/>
      <c r="G46" s="51"/>
    </row>
    <row r="47" spans="1:7" s="3" customFormat="1" ht="16.8" x14ac:dyDescent="0.3">
      <c r="A47" s="49"/>
      <c r="B47" s="50"/>
      <c r="C47" s="50"/>
      <c r="D47" s="50"/>
      <c r="E47" s="50"/>
      <c r="F47" s="50"/>
      <c r="G47" s="51"/>
    </row>
    <row r="48" spans="1:7" s="3" customFormat="1" ht="16.8" x14ac:dyDescent="0.3">
      <c r="A48" s="49"/>
      <c r="B48" s="50"/>
      <c r="C48" s="50"/>
      <c r="D48" s="50"/>
      <c r="E48" s="50"/>
      <c r="F48" s="50"/>
      <c r="G48" s="51"/>
    </row>
    <row r="49" spans="1:7" s="3" customFormat="1" ht="16.8" x14ac:dyDescent="0.3">
      <c r="A49" s="49"/>
      <c r="B49" s="50"/>
      <c r="C49" s="50"/>
      <c r="D49" s="50"/>
      <c r="E49" s="50"/>
      <c r="F49" s="50"/>
      <c r="G49" s="51"/>
    </row>
    <row r="50" spans="1:7" s="3" customFormat="1" ht="16.8" x14ac:dyDescent="0.3">
      <c r="A50" s="49"/>
      <c r="B50" s="50"/>
      <c r="C50" s="50"/>
      <c r="D50" s="50"/>
      <c r="E50" s="50"/>
      <c r="F50" s="50"/>
      <c r="G50" s="51"/>
    </row>
    <row r="51" spans="1:7" s="3" customFormat="1" ht="16.8" x14ac:dyDescent="0.3">
      <c r="A51" s="49"/>
      <c r="B51" s="50"/>
      <c r="C51" s="50"/>
      <c r="D51" s="50"/>
      <c r="E51" s="50"/>
      <c r="F51" s="50"/>
      <c r="G51" s="51"/>
    </row>
    <row r="52" spans="1:7" s="3" customFormat="1" ht="16.8" x14ac:dyDescent="0.3">
      <c r="A52" s="49"/>
      <c r="B52" s="50"/>
      <c r="C52" s="50"/>
      <c r="D52" s="50"/>
      <c r="E52" s="50"/>
      <c r="F52" s="50"/>
      <c r="G52" s="51"/>
    </row>
    <row r="53" spans="1:7" s="3" customFormat="1" ht="16.8" x14ac:dyDescent="0.3">
      <c r="A53" s="49"/>
      <c r="B53" s="50"/>
      <c r="C53" s="50"/>
      <c r="D53" s="50"/>
      <c r="E53" s="50"/>
      <c r="F53" s="50"/>
      <c r="G53" s="51"/>
    </row>
    <row r="54" spans="1:7" s="3" customFormat="1" ht="16.8" x14ac:dyDescent="0.3">
      <c r="A54" s="49"/>
      <c r="B54" s="50"/>
      <c r="C54" s="50"/>
      <c r="D54" s="50"/>
      <c r="E54" s="50"/>
      <c r="F54" s="50"/>
      <c r="G54" s="51"/>
    </row>
    <row r="55" spans="1:7" s="3" customFormat="1" ht="16.8" x14ac:dyDescent="0.3">
      <c r="A55" s="49"/>
      <c r="B55" s="50"/>
      <c r="C55" s="50"/>
      <c r="D55" s="50"/>
      <c r="E55" s="50"/>
      <c r="F55" s="50"/>
      <c r="G55" s="51"/>
    </row>
    <row r="56" spans="1:7" s="3" customFormat="1" ht="16.8" x14ac:dyDescent="0.3">
      <c r="A56" s="49"/>
      <c r="B56" s="50"/>
      <c r="C56" s="50"/>
      <c r="D56" s="50"/>
      <c r="E56" s="50"/>
      <c r="F56" s="50"/>
      <c r="G56" s="51"/>
    </row>
    <row r="57" spans="1:7" s="3" customFormat="1" ht="16.8" x14ac:dyDescent="0.3">
      <c r="A57" s="49"/>
      <c r="B57" s="50"/>
      <c r="C57" s="50"/>
      <c r="D57" s="50"/>
      <c r="E57" s="50"/>
      <c r="F57" s="50"/>
      <c r="G57" s="51"/>
    </row>
    <row r="58" spans="1:7" s="3" customFormat="1" ht="16.8" x14ac:dyDescent="0.3">
      <c r="A58" s="49"/>
      <c r="B58" s="50"/>
      <c r="C58" s="50"/>
      <c r="D58" s="50"/>
      <c r="E58" s="50"/>
      <c r="F58" s="50"/>
      <c r="G58" s="51"/>
    </row>
    <row r="59" spans="1:7" s="3" customFormat="1" ht="16.8" x14ac:dyDescent="0.3">
      <c r="A59" s="49"/>
      <c r="B59" s="50"/>
      <c r="C59" s="50"/>
      <c r="D59" s="50"/>
      <c r="E59" s="50"/>
      <c r="F59" s="50"/>
      <c r="G59" s="51"/>
    </row>
    <row r="60" spans="1:7" s="3" customFormat="1" ht="16.8" x14ac:dyDescent="0.3">
      <c r="A60" s="49"/>
      <c r="B60" s="50"/>
      <c r="C60" s="50"/>
      <c r="D60" s="50"/>
      <c r="E60" s="50"/>
      <c r="F60" s="50"/>
      <c r="G60" s="51"/>
    </row>
    <row r="61" spans="1:7" s="3" customFormat="1" ht="16.8" x14ac:dyDescent="0.3">
      <c r="A61" s="49"/>
      <c r="B61" s="50"/>
      <c r="C61" s="50"/>
      <c r="D61" s="50"/>
      <c r="E61" s="50"/>
      <c r="F61" s="50"/>
      <c r="G61" s="51"/>
    </row>
    <row r="62" spans="1:7" s="3" customFormat="1" ht="16.8" x14ac:dyDescent="0.3">
      <c r="A62" s="49"/>
      <c r="B62" s="50"/>
      <c r="C62" s="50"/>
      <c r="D62" s="50"/>
      <c r="E62" s="50"/>
      <c r="F62" s="50"/>
      <c r="G62" s="51"/>
    </row>
    <row r="63" spans="1:7" s="3" customFormat="1" ht="16.8" x14ac:dyDescent="0.3">
      <c r="A63" s="49"/>
      <c r="B63" s="50"/>
      <c r="C63" s="50"/>
      <c r="D63" s="50"/>
      <c r="E63" s="50"/>
      <c r="F63" s="50"/>
      <c r="G63" s="51"/>
    </row>
    <row r="64" spans="1:7" s="3" customFormat="1" ht="16.8" x14ac:dyDescent="0.3">
      <c r="A64" s="49"/>
      <c r="B64" s="50"/>
      <c r="C64" s="50"/>
      <c r="D64" s="50"/>
      <c r="E64" s="50"/>
      <c r="F64" s="50"/>
      <c r="G64" s="51"/>
    </row>
    <row r="65" spans="1:7" ht="17.399999999999999" thickBot="1" x14ac:dyDescent="0.35">
      <c r="A65" s="52"/>
      <c r="B65" s="53"/>
      <c r="C65" s="53"/>
      <c r="D65" s="53"/>
      <c r="E65" s="53"/>
      <c r="F65" s="53"/>
      <c r="G65" s="54"/>
    </row>
    <row r="66" spans="1:7" ht="16.2" thickTop="1" x14ac:dyDescent="0.3"/>
  </sheetData>
  <phoneticPr fontId="0" type="noConversion"/>
  <conditionalFormatting sqref="E13">
    <cfRule type="cellIs" dxfId="3" priority="1" operator="greaterThan">
      <formula>133</formula>
    </cfRule>
    <cfRule type="cellIs" dxfId="2" priority="2" operator="between">
      <formula>66</formula>
      <formula>133</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55" bestFit="1" customWidth="1"/>
    <col min="2" max="2" width="5.8984375" style="55" bestFit="1" customWidth="1"/>
    <col min="3" max="3" width="11.59765625" style="56" hidden="1" customWidth="1"/>
    <col min="4" max="4" width="5.796875" style="56" hidden="1" customWidth="1"/>
    <col min="5" max="5" width="9.19921875" style="56" bestFit="1" customWidth="1"/>
    <col min="6" max="6" width="7.5" style="56" customWidth="1"/>
    <col min="7" max="7" width="5.8984375" style="56" bestFit="1" customWidth="1"/>
    <col min="8" max="8" width="4.69921875" style="56" bestFit="1" customWidth="1"/>
    <col min="9" max="9" width="6.8984375" style="56" bestFit="1" customWidth="1"/>
    <col min="10" max="10" width="19.69921875" style="55" bestFit="1" customWidth="1"/>
    <col min="11" max="16384" width="13" style="15"/>
  </cols>
  <sheetData>
    <row r="1" spans="1:10" ht="23.4" thickBot="1" x14ac:dyDescent="0.35">
      <c r="A1" s="188" t="s">
        <v>7</v>
      </c>
      <c r="B1" s="57"/>
      <c r="C1" s="57"/>
      <c r="D1" s="57"/>
      <c r="E1" s="57"/>
      <c r="F1" s="57"/>
      <c r="G1" s="57"/>
      <c r="H1" s="57"/>
      <c r="I1" s="57"/>
      <c r="J1" s="57"/>
    </row>
    <row r="2" spans="1:10" s="3" customFormat="1" ht="34.200000000000003" thickBot="1" x14ac:dyDescent="0.35">
      <c r="A2" s="189" t="s">
        <v>109</v>
      </c>
      <c r="B2" s="190" t="s">
        <v>23</v>
      </c>
      <c r="C2" s="190" t="s">
        <v>25</v>
      </c>
      <c r="D2" s="190" t="s">
        <v>22</v>
      </c>
      <c r="E2" s="2" t="s">
        <v>50</v>
      </c>
      <c r="F2" s="2" t="s">
        <v>26</v>
      </c>
      <c r="G2" s="190" t="s">
        <v>52</v>
      </c>
      <c r="H2" s="191" t="s">
        <v>108</v>
      </c>
      <c r="I2" s="190" t="s">
        <v>77</v>
      </c>
      <c r="J2" s="192" t="s">
        <v>75</v>
      </c>
    </row>
    <row r="3" spans="1:10" s="3" customFormat="1" ht="16.8" x14ac:dyDescent="0.3">
      <c r="A3" s="193" t="s">
        <v>55</v>
      </c>
      <c r="B3" s="194">
        <f>4+3+0+1</f>
        <v>8</v>
      </c>
      <c r="C3" s="195" t="s">
        <v>146</v>
      </c>
      <c r="D3" s="196" t="str">
        <f>VLOOKUP(C3,'Personal File'!$A$12:$C$17,3,FALSE)</f>
        <v>+1</v>
      </c>
      <c r="E3" s="197" t="str">
        <f t="shared" ref="E3:E47" si="0">CONCATENATE(LEFT(C3,3)," (",D3,")")</f>
        <v>Con (+1)</v>
      </c>
      <c r="F3" s="380">
        <v>1</v>
      </c>
      <c r="G3" s="198">
        <f t="shared" ref="G3:G47" si="1">B3+D3+F3</f>
        <v>10</v>
      </c>
      <c r="H3" s="199">
        <f t="shared" ref="H3:H5" ca="1" si="2">RANDBETWEEN(1,20)</f>
        <v>7</v>
      </c>
      <c r="I3" s="198">
        <f ca="1">SUM(G3:H3)</f>
        <v>17</v>
      </c>
      <c r="J3" s="200"/>
    </row>
    <row r="4" spans="1:10" s="3" customFormat="1" ht="16.8" x14ac:dyDescent="0.3">
      <c r="A4" s="201" t="s">
        <v>56</v>
      </c>
      <c r="B4" s="194">
        <f>4+0+0+1</f>
        <v>5</v>
      </c>
      <c r="C4" s="202" t="s">
        <v>150</v>
      </c>
      <c r="D4" s="196" t="str">
        <f>VLOOKUP(C4,'Personal File'!$A$12:$C$17,3,FALSE)</f>
        <v>+2</v>
      </c>
      <c r="E4" s="203" t="str">
        <f t="shared" si="0"/>
        <v>Dex (+2)</v>
      </c>
      <c r="F4" s="380">
        <v>1</v>
      </c>
      <c r="G4" s="198">
        <f t="shared" si="1"/>
        <v>8</v>
      </c>
      <c r="H4" s="199">
        <f t="shared" ca="1" si="2"/>
        <v>20</v>
      </c>
      <c r="I4" s="198">
        <f ca="1">SUM(G4:H4)</f>
        <v>28</v>
      </c>
      <c r="J4" s="200" t="s">
        <v>355</v>
      </c>
    </row>
    <row r="5" spans="1:10" s="3" customFormat="1" ht="16.8" x14ac:dyDescent="0.3">
      <c r="A5" s="204" t="s">
        <v>57</v>
      </c>
      <c r="B5" s="205">
        <f>4+0+3+3</f>
        <v>10</v>
      </c>
      <c r="C5" s="206" t="s">
        <v>149</v>
      </c>
      <c r="D5" s="206">
        <f>VLOOKUP(C5,'Personal File'!$A$12:$C$17,3,FALSE)</f>
        <v>-1</v>
      </c>
      <c r="E5" s="207" t="str">
        <f t="shared" si="0"/>
        <v>Wis (-1)</v>
      </c>
      <c r="F5" s="381">
        <f>3+1+'Personal File'!$C$17</f>
        <v>6</v>
      </c>
      <c r="G5" s="208">
        <f t="shared" si="1"/>
        <v>15</v>
      </c>
      <c r="H5" s="209">
        <f t="shared" ca="1" si="2"/>
        <v>16</v>
      </c>
      <c r="I5" s="208">
        <f ca="1">SUM(G5:H5)</f>
        <v>31</v>
      </c>
      <c r="J5" s="210" t="s">
        <v>217</v>
      </c>
    </row>
    <row r="6" spans="1:10" s="58" customFormat="1" ht="16.8" x14ac:dyDescent="0.3">
      <c r="A6" s="211" t="s">
        <v>27</v>
      </c>
      <c r="B6" s="196">
        <v>0</v>
      </c>
      <c r="C6" s="212" t="s">
        <v>148</v>
      </c>
      <c r="D6" s="213" t="str">
        <f>VLOOKUP(C6,'Personal File'!$A$12:$C$17,3,FALSE)</f>
        <v>+2</v>
      </c>
      <c r="E6" s="214" t="str">
        <f t="shared" si="0"/>
        <v>Int (+2)</v>
      </c>
      <c r="F6" s="215" t="s">
        <v>51</v>
      </c>
      <c r="G6" s="216">
        <f t="shared" si="1"/>
        <v>2</v>
      </c>
      <c r="H6" s="199">
        <f ca="1">RANDBETWEEN(1,20)</f>
        <v>12</v>
      </c>
      <c r="I6" s="216">
        <f t="shared" ref="I6:I47" ca="1" si="3">SUM(G6:H6)</f>
        <v>14</v>
      </c>
      <c r="J6" s="200"/>
    </row>
    <row r="7" spans="1:10" s="59" customFormat="1" ht="16.8" x14ac:dyDescent="0.3">
      <c r="A7" s="333" t="s">
        <v>28</v>
      </c>
      <c r="B7" s="221">
        <v>3</v>
      </c>
      <c r="C7" s="334" t="s">
        <v>150</v>
      </c>
      <c r="D7" s="335" t="str">
        <f>VLOOKUP(C7,'Personal File'!$A$12:$C$17,3,FALSE)</f>
        <v>+2</v>
      </c>
      <c r="E7" s="336" t="str">
        <f t="shared" si="0"/>
        <v>Dex (+2)</v>
      </c>
      <c r="F7" s="383">
        <f>SUM(Martial!$D$30:$D$35)+2</f>
        <v>0</v>
      </c>
      <c r="G7" s="225">
        <f t="shared" si="1"/>
        <v>5</v>
      </c>
      <c r="H7" s="199">
        <f t="shared" ref="H7:H47" ca="1" si="4">RANDBETWEEN(1,20)</f>
        <v>6</v>
      </c>
      <c r="I7" s="225">
        <f t="shared" ca="1" si="3"/>
        <v>11</v>
      </c>
      <c r="J7" s="226"/>
    </row>
    <row r="8" spans="1:10" s="60" customFormat="1" ht="16.8" x14ac:dyDescent="0.3">
      <c r="A8" s="220" t="s">
        <v>29</v>
      </c>
      <c r="B8" s="221">
        <v>5</v>
      </c>
      <c r="C8" s="222" t="s">
        <v>147</v>
      </c>
      <c r="D8" s="223" t="str">
        <f>VLOOKUP(C8,'Personal File'!$A$12:$C$17,3,FALSE)</f>
        <v>+2</v>
      </c>
      <c r="E8" s="224" t="str">
        <f t="shared" si="0"/>
        <v>Cha (+2)</v>
      </c>
      <c r="F8" s="236" t="s">
        <v>51</v>
      </c>
      <c r="G8" s="225">
        <f t="shared" si="1"/>
        <v>7</v>
      </c>
      <c r="H8" s="199">
        <f t="shared" ca="1" si="4"/>
        <v>15</v>
      </c>
      <c r="I8" s="225">
        <f t="shared" ca="1" si="3"/>
        <v>22</v>
      </c>
      <c r="J8" s="226"/>
    </row>
    <row r="9" spans="1:10" s="61" customFormat="1" ht="16.8" x14ac:dyDescent="0.3">
      <c r="A9" s="227" t="s">
        <v>30</v>
      </c>
      <c r="B9" s="196">
        <v>0</v>
      </c>
      <c r="C9" s="228" t="s">
        <v>151</v>
      </c>
      <c r="D9" s="229" t="str">
        <f>VLOOKUP(C9,'Personal File'!$A$12:$C$17,3,FALSE)</f>
        <v>+2</v>
      </c>
      <c r="E9" s="230" t="str">
        <f t="shared" si="0"/>
        <v>Str (+2)</v>
      </c>
      <c r="F9" s="215">
        <f>SUM(Martial!$D$30:$D$35)+2</f>
        <v>0</v>
      </c>
      <c r="G9" s="216">
        <f t="shared" si="1"/>
        <v>2</v>
      </c>
      <c r="H9" s="199">
        <f t="shared" ca="1" si="4"/>
        <v>16</v>
      </c>
      <c r="I9" s="216">
        <f t="shared" ca="1" si="3"/>
        <v>18</v>
      </c>
      <c r="J9" s="200" t="s">
        <v>270</v>
      </c>
    </row>
    <row r="10" spans="1:10" s="61" customFormat="1" ht="16.8" x14ac:dyDescent="0.3">
      <c r="A10" s="231" t="s">
        <v>8</v>
      </c>
      <c r="B10" s="232">
        <v>5</v>
      </c>
      <c r="C10" s="233" t="s">
        <v>146</v>
      </c>
      <c r="D10" s="234" t="str">
        <f>VLOOKUP(C10,'Personal File'!$A$12:$C$17,3,FALSE)</f>
        <v>+1</v>
      </c>
      <c r="E10" s="235" t="str">
        <f t="shared" si="0"/>
        <v>Con (+1)</v>
      </c>
      <c r="F10" s="236" t="s">
        <v>51</v>
      </c>
      <c r="G10" s="236">
        <f t="shared" si="1"/>
        <v>6</v>
      </c>
      <c r="H10" s="199">
        <f t="shared" ca="1" si="4"/>
        <v>16</v>
      </c>
      <c r="I10" s="236">
        <f t="shared" ca="1" si="3"/>
        <v>22</v>
      </c>
      <c r="J10" s="237"/>
    </row>
    <row r="11" spans="1:10" s="58" customFormat="1" ht="16.8" x14ac:dyDescent="0.3">
      <c r="A11" s="270" t="s">
        <v>164</v>
      </c>
      <c r="B11" s="221">
        <v>3</v>
      </c>
      <c r="C11" s="271" t="s">
        <v>148</v>
      </c>
      <c r="D11" s="272" t="str">
        <f>VLOOKUP(C11,'Personal File'!$A$12:$C$17,3,FALSE)</f>
        <v>+2</v>
      </c>
      <c r="E11" s="273" t="str">
        <f t="shared" si="0"/>
        <v>Int (+2)</v>
      </c>
      <c r="F11" s="225" t="s">
        <v>218</v>
      </c>
      <c r="G11" s="225">
        <f t="shared" si="1"/>
        <v>7</v>
      </c>
      <c r="H11" s="199">
        <f t="shared" ca="1" si="4"/>
        <v>11</v>
      </c>
      <c r="I11" s="225">
        <f t="shared" ca="1" si="3"/>
        <v>18</v>
      </c>
      <c r="J11" s="226"/>
    </row>
    <row r="12" spans="1:10" s="62" customFormat="1" ht="16.8" x14ac:dyDescent="0.3">
      <c r="A12" s="238" t="s">
        <v>31</v>
      </c>
      <c r="B12" s="239">
        <v>0</v>
      </c>
      <c r="C12" s="240" t="s">
        <v>148</v>
      </c>
      <c r="D12" s="241" t="str">
        <f>VLOOKUP(C12,'Personal File'!$A$12:$C$17,3,FALSE)</f>
        <v>+2</v>
      </c>
      <c r="E12" s="242" t="str">
        <f t="shared" si="0"/>
        <v>Int (+2)</v>
      </c>
      <c r="F12" s="243" t="s">
        <v>51</v>
      </c>
      <c r="G12" s="243">
        <f t="shared" si="1"/>
        <v>2</v>
      </c>
      <c r="H12" s="199">
        <f t="shared" ca="1" si="4"/>
        <v>12</v>
      </c>
      <c r="I12" s="243">
        <f t="shared" ref="I12" ca="1" si="5">SUM(G12:H12)</f>
        <v>14</v>
      </c>
      <c r="J12" s="244"/>
    </row>
    <row r="13" spans="1:10" s="59" customFormat="1" ht="16.8" x14ac:dyDescent="0.3">
      <c r="A13" s="220" t="s">
        <v>32</v>
      </c>
      <c r="B13" s="221">
        <v>9</v>
      </c>
      <c r="C13" s="222" t="s">
        <v>147</v>
      </c>
      <c r="D13" s="223" t="str">
        <f>VLOOKUP(C13,'Personal File'!$A$12:$C$17,3,FALSE)</f>
        <v>+2</v>
      </c>
      <c r="E13" s="224" t="str">
        <f t="shared" si="0"/>
        <v>Cha (+2)</v>
      </c>
      <c r="F13" s="383">
        <f>2+2</f>
        <v>4</v>
      </c>
      <c r="G13" s="225">
        <f t="shared" si="1"/>
        <v>15</v>
      </c>
      <c r="H13" s="199">
        <f t="shared" ca="1" si="4"/>
        <v>9</v>
      </c>
      <c r="I13" s="225">
        <f t="shared" ca="1" si="3"/>
        <v>24</v>
      </c>
      <c r="J13" s="226"/>
    </row>
    <row r="14" spans="1:10" s="59" customFormat="1" ht="16.8" x14ac:dyDescent="0.3">
      <c r="A14" s="238" t="s">
        <v>33</v>
      </c>
      <c r="B14" s="239">
        <v>0</v>
      </c>
      <c r="C14" s="240" t="s">
        <v>148</v>
      </c>
      <c r="D14" s="241" t="str">
        <f>VLOOKUP(C14,'Personal File'!$A$12:$C$17,3,FALSE)</f>
        <v>+2</v>
      </c>
      <c r="E14" s="242" t="str">
        <f t="shared" si="0"/>
        <v>Int (+2)</v>
      </c>
      <c r="F14" s="243" t="s">
        <v>51</v>
      </c>
      <c r="G14" s="243">
        <f t="shared" si="1"/>
        <v>2</v>
      </c>
      <c r="H14" s="199">
        <f t="shared" ca="1" si="4"/>
        <v>2</v>
      </c>
      <c r="I14" s="243">
        <f t="shared" ref="I14" ca="1" si="6">SUM(G14:H14)</f>
        <v>4</v>
      </c>
      <c r="J14" s="244"/>
    </row>
    <row r="15" spans="1:10" s="59" customFormat="1" ht="16.8" x14ac:dyDescent="0.3">
      <c r="A15" s="245" t="s">
        <v>34</v>
      </c>
      <c r="B15" s="196">
        <v>0</v>
      </c>
      <c r="C15" s="246" t="s">
        <v>147</v>
      </c>
      <c r="D15" s="247" t="str">
        <f>VLOOKUP(C15,'Personal File'!$A$12:$C$17,3,FALSE)</f>
        <v>+2</v>
      </c>
      <c r="E15" s="248" t="str">
        <f t="shared" si="0"/>
        <v>Cha (+2)</v>
      </c>
      <c r="F15" s="216" t="s">
        <v>51</v>
      </c>
      <c r="G15" s="216">
        <f t="shared" si="1"/>
        <v>2</v>
      </c>
      <c r="H15" s="199">
        <f t="shared" ca="1" si="4"/>
        <v>11</v>
      </c>
      <c r="I15" s="216">
        <f t="shared" ca="1" si="3"/>
        <v>13</v>
      </c>
      <c r="J15" s="200" t="s">
        <v>300</v>
      </c>
    </row>
    <row r="16" spans="1:10" s="59" customFormat="1" ht="16.8" x14ac:dyDescent="0.3">
      <c r="A16" s="201" t="s">
        <v>35</v>
      </c>
      <c r="B16" s="196">
        <v>0</v>
      </c>
      <c r="C16" s="217" t="s">
        <v>150</v>
      </c>
      <c r="D16" s="218" t="str">
        <f>VLOOKUP(C16,'Personal File'!$A$12:$C$17,3,FALSE)</f>
        <v>+2</v>
      </c>
      <c r="E16" s="219" t="str">
        <f t="shared" si="0"/>
        <v>Dex (+2)</v>
      </c>
      <c r="F16" s="215">
        <f>SUM(Martial!$D$30:$D$35)</f>
        <v>-2</v>
      </c>
      <c r="G16" s="216">
        <f t="shared" si="1"/>
        <v>0</v>
      </c>
      <c r="H16" s="199">
        <f t="shared" ca="1" si="4"/>
        <v>2</v>
      </c>
      <c r="I16" s="216">
        <f t="shared" ca="1" si="3"/>
        <v>2</v>
      </c>
      <c r="J16" s="200"/>
    </row>
    <row r="17" spans="1:10" s="59" customFormat="1" ht="16.8" x14ac:dyDescent="0.3">
      <c r="A17" s="249" t="s">
        <v>36</v>
      </c>
      <c r="B17" s="250">
        <v>0</v>
      </c>
      <c r="C17" s="251" t="s">
        <v>148</v>
      </c>
      <c r="D17" s="252" t="str">
        <f>VLOOKUP(C17,'Personal File'!$A$12:$C$17,3,FALSE)</f>
        <v>+2</v>
      </c>
      <c r="E17" s="253" t="str">
        <f t="shared" si="0"/>
        <v>Int (+2)</v>
      </c>
      <c r="F17" s="254" t="s">
        <v>51</v>
      </c>
      <c r="G17" s="254">
        <f t="shared" si="1"/>
        <v>2</v>
      </c>
      <c r="H17" s="199">
        <f t="shared" ca="1" si="4"/>
        <v>13</v>
      </c>
      <c r="I17" s="254">
        <f t="shared" ca="1" si="3"/>
        <v>15</v>
      </c>
      <c r="J17" s="255"/>
    </row>
    <row r="18" spans="1:10" s="59" customFormat="1" ht="16.8" x14ac:dyDescent="0.3">
      <c r="A18" s="245" t="s">
        <v>37</v>
      </c>
      <c r="B18" s="196">
        <v>0</v>
      </c>
      <c r="C18" s="246" t="s">
        <v>147</v>
      </c>
      <c r="D18" s="247" t="str">
        <f>VLOOKUP(C18,'Personal File'!$A$12:$C$17,3,FALSE)</f>
        <v>+2</v>
      </c>
      <c r="E18" s="248" t="str">
        <f t="shared" si="0"/>
        <v>Cha (+2)</v>
      </c>
      <c r="F18" s="216" t="s">
        <v>51</v>
      </c>
      <c r="G18" s="216">
        <f t="shared" si="1"/>
        <v>2</v>
      </c>
      <c r="H18" s="199">
        <f t="shared" ca="1" si="4"/>
        <v>2</v>
      </c>
      <c r="I18" s="216">
        <f t="shared" ca="1" si="3"/>
        <v>4</v>
      </c>
      <c r="J18" s="200"/>
    </row>
    <row r="19" spans="1:10" s="59" customFormat="1" ht="16.8" x14ac:dyDescent="0.3">
      <c r="A19" s="220" t="s">
        <v>10</v>
      </c>
      <c r="B19" s="221">
        <v>1</v>
      </c>
      <c r="C19" s="222" t="s">
        <v>147</v>
      </c>
      <c r="D19" s="223" t="str">
        <f>VLOOKUP(C19,'Personal File'!$A$12:$C$17,3,FALSE)</f>
        <v>+2</v>
      </c>
      <c r="E19" s="224" t="str">
        <f t="shared" si="0"/>
        <v>Cha (+2)</v>
      </c>
      <c r="F19" s="225" t="s">
        <v>51</v>
      </c>
      <c r="G19" s="225">
        <f t="shared" si="1"/>
        <v>3</v>
      </c>
      <c r="H19" s="199">
        <f t="shared" ca="1" si="4"/>
        <v>16</v>
      </c>
      <c r="I19" s="225">
        <f t="shared" ca="1" si="3"/>
        <v>19</v>
      </c>
      <c r="J19" s="226"/>
    </row>
    <row r="20" spans="1:10" s="59" customFormat="1" ht="16.8" x14ac:dyDescent="0.3">
      <c r="A20" s="274" t="s">
        <v>38</v>
      </c>
      <c r="B20" s="221">
        <v>4</v>
      </c>
      <c r="C20" s="267" t="s">
        <v>149</v>
      </c>
      <c r="D20" s="268">
        <f>VLOOKUP(C20,'Personal File'!$A$12:$C$17,3,FALSE)</f>
        <v>-1</v>
      </c>
      <c r="E20" s="269" t="str">
        <f t="shared" si="0"/>
        <v>Wis (-1)</v>
      </c>
      <c r="F20" s="225" t="s">
        <v>218</v>
      </c>
      <c r="G20" s="225">
        <f t="shared" si="1"/>
        <v>5</v>
      </c>
      <c r="H20" s="199">
        <f t="shared" ca="1" si="4"/>
        <v>12</v>
      </c>
      <c r="I20" s="225">
        <f t="shared" ca="1" si="3"/>
        <v>17</v>
      </c>
      <c r="J20" s="226"/>
    </row>
    <row r="21" spans="1:10" s="59" customFormat="1" ht="16.8" x14ac:dyDescent="0.3">
      <c r="A21" s="201" t="s">
        <v>39</v>
      </c>
      <c r="B21" s="196">
        <v>0</v>
      </c>
      <c r="C21" s="217" t="s">
        <v>150</v>
      </c>
      <c r="D21" s="218" t="str">
        <f>VLOOKUP(C21,'Personal File'!$A$12:$C$17,3,FALSE)</f>
        <v>+2</v>
      </c>
      <c r="E21" s="219" t="str">
        <f t="shared" si="0"/>
        <v>Dex (+2)</v>
      </c>
      <c r="F21" s="216">
        <f>SUM(Martial!$D$30:$D$35)</f>
        <v>-2</v>
      </c>
      <c r="G21" s="216">
        <f t="shared" si="1"/>
        <v>0</v>
      </c>
      <c r="H21" s="199">
        <f t="shared" ca="1" si="4"/>
        <v>13</v>
      </c>
      <c r="I21" s="216">
        <f t="shared" ca="1" si="3"/>
        <v>13</v>
      </c>
      <c r="J21" s="200"/>
    </row>
    <row r="22" spans="1:10" s="59" customFormat="1" ht="16.8" x14ac:dyDescent="0.3">
      <c r="A22" s="220" t="s">
        <v>40</v>
      </c>
      <c r="B22" s="221">
        <v>5</v>
      </c>
      <c r="C22" s="222" t="s">
        <v>147</v>
      </c>
      <c r="D22" s="223" t="str">
        <f>VLOOKUP(C22,'Personal File'!$A$12:$C$17,3,FALSE)</f>
        <v>+2</v>
      </c>
      <c r="E22" s="224" t="str">
        <f t="shared" si="0"/>
        <v>Cha (+2)</v>
      </c>
      <c r="F22" s="225" t="s">
        <v>218</v>
      </c>
      <c r="G22" s="225">
        <f t="shared" si="1"/>
        <v>9</v>
      </c>
      <c r="H22" s="199">
        <f t="shared" ca="1" si="4"/>
        <v>15</v>
      </c>
      <c r="I22" s="225">
        <f t="shared" ca="1" si="3"/>
        <v>24</v>
      </c>
      <c r="J22" s="226"/>
    </row>
    <row r="23" spans="1:10" s="59" customFormat="1" ht="16.8" x14ac:dyDescent="0.3">
      <c r="A23" s="314" t="s">
        <v>41</v>
      </c>
      <c r="B23" s="221">
        <v>5</v>
      </c>
      <c r="C23" s="315" t="s">
        <v>151</v>
      </c>
      <c r="D23" s="316" t="str">
        <f>VLOOKUP(C23,'Personal File'!$A$12:$C$17,3,FALSE)</f>
        <v>+2</v>
      </c>
      <c r="E23" s="317" t="str">
        <f t="shared" si="0"/>
        <v>Str (+2)</v>
      </c>
      <c r="F23" s="383">
        <f>SUM(Martial!$D$30:$D$35)+2</f>
        <v>0</v>
      </c>
      <c r="G23" s="225">
        <f t="shared" si="1"/>
        <v>7</v>
      </c>
      <c r="H23" s="199">
        <f t="shared" ca="1" si="4"/>
        <v>9</v>
      </c>
      <c r="I23" s="225">
        <f t="shared" ca="1" si="3"/>
        <v>16</v>
      </c>
      <c r="J23" s="226" t="s">
        <v>270</v>
      </c>
    </row>
    <row r="24" spans="1:10" s="59" customFormat="1" ht="16.8" x14ac:dyDescent="0.3">
      <c r="A24" s="256" t="s">
        <v>117</v>
      </c>
      <c r="B24" s="232">
        <v>1</v>
      </c>
      <c r="C24" s="257" t="s">
        <v>148</v>
      </c>
      <c r="D24" s="258" t="str">
        <f>VLOOKUP(C24,'Personal File'!$A$12:$C$17,3,FALSE)</f>
        <v>+2</v>
      </c>
      <c r="E24" s="259" t="str">
        <f t="shared" si="0"/>
        <v>Int (+2)</v>
      </c>
      <c r="F24" s="225" t="s">
        <v>51</v>
      </c>
      <c r="G24" s="236">
        <f t="shared" si="1"/>
        <v>3</v>
      </c>
      <c r="H24" s="199">
        <f t="shared" ca="1" si="4"/>
        <v>19</v>
      </c>
      <c r="I24" s="236">
        <f t="shared" ca="1" si="3"/>
        <v>22</v>
      </c>
      <c r="J24" s="237"/>
    </row>
    <row r="25" spans="1:10" s="59" customFormat="1" ht="16.8" x14ac:dyDescent="0.3">
      <c r="A25" s="256" t="s">
        <v>411</v>
      </c>
      <c r="B25" s="232">
        <v>1</v>
      </c>
      <c r="C25" s="257" t="s">
        <v>148</v>
      </c>
      <c r="D25" s="258" t="str">
        <f>VLOOKUP(C25,'Personal File'!$A$12:$C$17,3,FALSE)</f>
        <v>+2</v>
      </c>
      <c r="E25" s="259" t="str">
        <f t="shared" ref="E25" si="7">CONCATENATE(LEFT(C25,3)," (",D25,")")</f>
        <v>Int (+2)</v>
      </c>
      <c r="F25" s="225" t="s">
        <v>51</v>
      </c>
      <c r="G25" s="236">
        <f t="shared" ref="G25" si="8">B25+D25+F25</f>
        <v>3</v>
      </c>
      <c r="H25" s="199">
        <f t="shared" ca="1" si="4"/>
        <v>5</v>
      </c>
      <c r="I25" s="236">
        <f t="shared" ref="I25" ca="1" si="9">SUM(G25:H25)</f>
        <v>8</v>
      </c>
      <c r="J25" s="237"/>
    </row>
    <row r="26" spans="1:10" s="59" customFormat="1" ht="16.8" x14ac:dyDescent="0.3">
      <c r="A26" s="256" t="s">
        <v>272</v>
      </c>
      <c r="B26" s="232">
        <v>1</v>
      </c>
      <c r="C26" s="257" t="s">
        <v>148</v>
      </c>
      <c r="D26" s="258" t="str">
        <f>VLOOKUP(C26,'Personal File'!$A$12:$C$17,3,FALSE)</f>
        <v>+2</v>
      </c>
      <c r="E26" s="259" t="str">
        <f t="shared" ref="E26" si="10">CONCATENATE(LEFT(C26,3)," (",D26,")")</f>
        <v>Int (+2)</v>
      </c>
      <c r="F26" s="225" t="s">
        <v>51</v>
      </c>
      <c r="G26" s="236">
        <f t="shared" ref="G26" si="11">B26+D26+F26</f>
        <v>3</v>
      </c>
      <c r="H26" s="199">
        <f t="shared" ca="1" si="4"/>
        <v>13</v>
      </c>
      <c r="I26" s="236">
        <f t="shared" ref="I26" ca="1" si="12">SUM(G26:H26)</f>
        <v>16</v>
      </c>
      <c r="J26" s="237"/>
    </row>
    <row r="27" spans="1:10" s="59" customFormat="1" ht="16.8" x14ac:dyDescent="0.3">
      <c r="A27" s="256" t="s">
        <v>395</v>
      </c>
      <c r="B27" s="232">
        <v>1</v>
      </c>
      <c r="C27" s="257" t="s">
        <v>148</v>
      </c>
      <c r="D27" s="258" t="str">
        <f>VLOOKUP(C27,'Personal File'!$A$12:$C$17,3,FALSE)</f>
        <v>+2</v>
      </c>
      <c r="E27" s="259" t="str">
        <f t="shared" ref="E27:E29" si="13">CONCATENATE(LEFT(C27,3)," (",D27,")")</f>
        <v>Int (+2)</v>
      </c>
      <c r="F27" s="225" t="s">
        <v>51</v>
      </c>
      <c r="G27" s="236">
        <f t="shared" ref="G27:G29" si="14">B27+D27+F27</f>
        <v>3</v>
      </c>
      <c r="H27" s="199">
        <f t="shared" ca="1" si="4"/>
        <v>11</v>
      </c>
      <c r="I27" s="236">
        <f t="shared" ref="I27:I29" ca="1" si="15">SUM(G27:H27)</f>
        <v>14</v>
      </c>
      <c r="J27" s="237"/>
    </row>
    <row r="28" spans="1:10" s="59" customFormat="1" ht="16.8" x14ac:dyDescent="0.3">
      <c r="A28" s="256" t="s">
        <v>396</v>
      </c>
      <c r="B28" s="232">
        <v>1</v>
      </c>
      <c r="C28" s="257" t="s">
        <v>148</v>
      </c>
      <c r="D28" s="258" t="str">
        <f>VLOOKUP(C28,'Personal File'!$A$12:$C$17,3,FALSE)</f>
        <v>+2</v>
      </c>
      <c r="E28" s="259" t="str">
        <f t="shared" si="13"/>
        <v>Int (+2)</v>
      </c>
      <c r="F28" s="225" t="s">
        <v>51</v>
      </c>
      <c r="G28" s="236">
        <f t="shared" si="14"/>
        <v>3</v>
      </c>
      <c r="H28" s="199">
        <f t="shared" ca="1" si="4"/>
        <v>10</v>
      </c>
      <c r="I28" s="236">
        <f t="shared" ca="1" si="15"/>
        <v>13</v>
      </c>
      <c r="J28" s="237"/>
    </row>
    <row r="29" spans="1:10" s="59" customFormat="1" ht="16.8" x14ac:dyDescent="0.3">
      <c r="A29" s="256" t="s">
        <v>412</v>
      </c>
      <c r="B29" s="232">
        <v>5</v>
      </c>
      <c r="C29" s="257" t="s">
        <v>148</v>
      </c>
      <c r="D29" s="258" t="str">
        <f>VLOOKUP(C29,'Personal File'!$A$12:$C$17,3,FALSE)</f>
        <v>+2</v>
      </c>
      <c r="E29" s="259" t="str">
        <f t="shared" si="13"/>
        <v>Int (+2)</v>
      </c>
      <c r="F29" s="225" t="s">
        <v>51</v>
      </c>
      <c r="G29" s="236">
        <f t="shared" si="14"/>
        <v>7</v>
      </c>
      <c r="H29" s="199">
        <f t="shared" ca="1" si="4"/>
        <v>18</v>
      </c>
      <c r="I29" s="236">
        <f t="shared" ca="1" si="15"/>
        <v>25</v>
      </c>
      <c r="J29" s="237"/>
    </row>
    <row r="30" spans="1:10" s="59" customFormat="1" ht="16.8" x14ac:dyDescent="0.3">
      <c r="A30" s="256" t="s">
        <v>115</v>
      </c>
      <c r="B30" s="232">
        <v>1</v>
      </c>
      <c r="C30" s="257" t="s">
        <v>148</v>
      </c>
      <c r="D30" s="258" t="str">
        <f>VLOOKUP(C30,'Personal File'!$A$12:$C$17,3,FALSE)</f>
        <v>+2</v>
      </c>
      <c r="E30" s="259" t="str">
        <f t="shared" si="0"/>
        <v>Int (+2)</v>
      </c>
      <c r="F30" s="225" t="s">
        <v>51</v>
      </c>
      <c r="G30" s="236">
        <f t="shared" ref="G30" si="16">B30+D30+F30</f>
        <v>3</v>
      </c>
      <c r="H30" s="199">
        <f t="shared" ca="1" si="4"/>
        <v>20</v>
      </c>
      <c r="I30" s="236">
        <f t="shared" ref="I30" ca="1" si="17">SUM(G30:H30)</f>
        <v>23</v>
      </c>
      <c r="J30" s="237"/>
    </row>
    <row r="31" spans="1:10" s="59" customFormat="1" ht="16.8" x14ac:dyDescent="0.3">
      <c r="A31" s="274" t="s">
        <v>42</v>
      </c>
      <c r="B31" s="221">
        <v>1</v>
      </c>
      <c r="C31" s="267" t="s">
        <v>149</v>
      </c>
      <c r="D31" s="268">
        <f>VLOOKUP(C31,'Personal File'!$A$12:$C$17,3,FALSE)</f>
        <v>-1</v>
      </c>
      <c r="E31" s="269" t="str">
        <f t="shared" si="0"/>
        <v>Wis (-1)</v>
      </c>
      <c r="F31" s="225" t="s">
        <v>51</v>
      </c>
      <c r="G31" s="225">
        <f t="shared" si="1"/>
        <v>0</v>
      </c>
      <c r="H31" s="199">
        <f t="shared" ca="1" si="4"/>
        <v>20</v>
      </c>
      <c r="I31" s="225">
        <f t="shared" ca="1" si="3"/>
        <v>20</v>
      </c>
      <c r="J31" s="226"/>
    </row>
    <row r="32" spans="1:10" s="59" customFormat="1" ht="16.8" x14ac:dyDescent="0.3">
      <c r="A32" s="201" t="s">
        <v>11</v>
      </c>
      <c r="B32" s="196">
        <v>0</v>
      </c>
      <c r="C32" s="217" t="s">
        <v>150</v>
      </c>
      <c r="D32" s="218" t="str">
        <f>VLOOKUP(C32,'Personal File'!$A$12:$C$17,3,FALSE)</f>
        <v>+2</v>
      </c>
      <c r="E32" s="219" t="str">
        <f t="shared" si="0"/>
        <v>Dex (+2)</v>
      </c>
      <c r="F32" s="216">
        <f>SUM(Martial!$D$30:$D$35)</f>
        <v>-2</v>
      </c>
      <c r="G32" s="216">
        <f t="shared" si="1"/>
        <v>0</v>
      </c>
      <c r="H32" s="199">
        <f t="shared" ca="1" si="4"/>
        <v>17</v>
      </c>
      <c r="I32" s="216">
        <f t="shared" ca="1" si="3"/>
        <v>17</v>
      </c>
      <c r="J32" s="200"/>
    </row>
    <row r="33" spans="1:10" s="59" customFormat="1" ht="16.8" x14ac:dyDescent="0.3">
      <c r="A33" s="263" t="s">
        <v>43</v>
      </c>
      <c r="B33" s="239">
        <v>0</v>
      </c>
      <c r="C33" s="264" t="s">
        <v>150</v>
      </c>
      <c r="D33" s="265" t="str">
        <f>VLOOKUP(C33,'Personal File'!$A$12:$C$17,3,FALSE)</f>
        <v>+2</v>
      </c>
      <c r="E33" s="266" t="str">
        <f t="shared" si="0"/>
        <v>Dex (+2)</v>
      </c>
      <c r="F33" s="243" t="s">
        <v>51</v>
      </c>
      <c r="G33" s="243">
        <f t="shared" si="1"/>
        <v>2</v>
      </c>
      <c r="H33" s="199">
        <f t="shared" ca="1" si="4"/>
        <v>20</v>
      </c>
      <c r="I33" s="243">
        <f t="shared" ca="1" si="3"/>
        <v>22</v>
      </c>
      <c r="J33" s="244"/>
    </row>
    <row r="34" spans="1:10" ht="16.8" x14ac:dyDescent="0.3">
      <c r="A34" s="245" t="s">
        <v>116</v>
      </c>
      <c r="B34" s="196">
        <v>0</v>
      </c>
      <c r="C34" s="246" t="s">
        <v>147</v>
      </c>
      <c r="D34" s="247" t="str">
        <f>VLOOKUP(C34,'Personal File'!$A$12:$C$17,3,FALSE)</f>
        <v>+2</v>
      </c>
      <c r="E34" s="248" t="str">
        <f t="shared" si="0"/>
        <v>Cha (+2)</v>
      </c>
      <c r="F34" s="216" t="s">
        <v>51</v>
      </c>
      <c r="G34" s="216">
        <f t="shared" si="1"/>
        <v>2</v>
      </c>
      <c r="H34" s="199">
        <f t="shared" ca="1" si="4"/>
        <v>2</v>
      </c>
      <c r="I34" s="216">
        <f t="shared" ca="1" si="3"/>
        <v>4</v>
      </c>
      <c r="J34" s="200"/>
    </row>
    <row r="35" spans="1:10" ht="16.8" x14ac:dyDescent="0.3">
      <c r="A35" s="245" t="s">
        <v>181</v>
      </c>
      <c r="B35" s="196">
        <v>0</v>
      </c>
      <c r="C35" s="260" t="s">
        <v>149</v>
      </c>
      <c r="D35" s="261">
        <f>VLOOKUP(C35,'Personal File'!$A$12:$C$17,3,FALSE)</f>
        <v>-1</v>
      </c>
      <c r="E35" s="262" t="str">
        <f t="shared" si="0"/>
        <v>Wis (-1)</v>
      </c>
      <c r="F35" s="216" t="s">
        <v>51</v>
      </c>
      <c r="G35" s="216">
        <f t="shared" si="1"/>
        <v>-1</v>
      </c>
      <c r="H35" s="199">
        <f t="shared" ca="1" si="4"/>
        <v>12</v>
      </c>
      <c r="I35" s="216">
        <f t="shared" ref="I35" ca="1" si="18">SUM(G35:H35)</f>
        <v>11</v>
      </c>
      <c r="J35" s="200"/>
    </row>
    <row r="36" spans="1:10" ht="16.8" x14ac:dyDescent="0.3">
      <c r="A36" s="201" t="s">
        <v>12</v>
      </c>
      <c r="B36" s="196">
        <v>0</v>
      </c>
      <c r="C36" s="217" t="s">
        <v>150</v>
      </c>
      <c r="D36" s="218" t="str">
        <f>VLOOKUP(C36,'Personal File'!$A$12:$C$17,3,FALSE)</f>
        <v>+2</v>
      </c>
      <c r="E36" s="219" t="str">
        <f t="shared" si="0"/>
        <v>Dex (+2)</v>
      </c>
      <c r="F36" s="216" t="s">
        <v>51</v>
      </c>
      <c r="G36" s="216">
        <f t="shared" si="1"/>
        <v>2</v>
      </c>
      <c r="H36" s="199">
        <f t="shared" ca="1" si="4"/>
        <v>13</v>
      </c>
      <c r="I36" s="216">
        <f t="shared" ca="1" si="3"/>
        <v>15</v>
      </c>
      <c r="J36" s="200"/>
    </row>
    <row r="37" spans="1:10" ht="16.8" x14ac:dyDescent="0.3">
      <c r="A37" s="211" t="s">
        <v>13</v>
      </c>
      <c r="B37" s="196">
        <v>0</v>
      </c>
      <c r="C37" s="212" t="s">
        <v>148</v>
      </c>
      <c r="D37" s="213" t="str">
        <f>VLOOKUP(C37,'Personal File'!$A$12:$C$17,3,FALSE)</f>
        <v>+2</v>
      </c>
      <c r="E37" s="214" t="str">
        <f t="shared" si="0"/>
        <v>Int (+2)</v>
      </c>
      <c r="F37" s="216" t="s">
        <v>51</v>
      </c>
      <c r="G37" s="216">
        <f t="shared" si="1"/>
        <v>2</v>
      </c>
      <c r="H37" s="199">
        <f t="shared" ca="1" si="4"/>
        <v>16</v>
      </c>
      <c r="I37" s="216">
        <f t="shared" ca="1" si="3"/>
        <v>18</v>
      </c>
      <c r="J37" s="200"/>
    </row>
    <row r="38" spans="1:10" ht="16.8" x14ac:dyDescent="0.3">
      <c r="A38" s="274" t="s">
        <v>44</v>
      </c>
      <c r="B38" s="221">
        <v>9</v>
      </c>
      <c r="C38" s="267" t="s">
        <v>149</v>
      </c>
      <c r="D38" s="268">
        <f>VLOOKUP(C38,'Personal File'!$A$12:$C$17,3,FALSE)</f>
        <v>-1</v>
      </c>
      <c r="E38" s="269" t="str">
        <f t="shared" si="0"/>
        <v>Wis (-1)</v>
      </c>
      <c r="F38" s="225" t="s">
        <v>51</v>
      </c>
      <c r="G38" s="225">
        <f t="shared" si="1"/>
        <v>8</v>
      </c>
      <c r="H38" s="199">
        <f t="shared" ca="1" si="4"/>
        <v>19</v>
      </c>
      <c r="I38" s="225">
        <f t="shared" ca="1" si="3"/>
        <v>27</v>
      </c>
      <c r="J38" s="226"/>
    </row>
    <row r="39" spans="1:10" ht="16.8" x14ac:dyDescent="0.3">
      <c r="A39" s="263" t="s">
        <v>82</v>
      </c>
      <c r="B39" s="239">
        <v>0</v>
      </c>
      <c r="C39" s="264" t="s">
        <v>150</v>
      </c>
      <c r="D39" s="265" t="str">
        <f>VLOOKUP(C39,'Personal File'!$A$12:$C$17,3,FALSE)</f>
        <v>+2</v>
      </c>
      <c r="E39" s="266" t="str">
        <f t="shared" si="0"/>
        <v>Dex (+2)</v>
      </c>
      <c r="F39" s="243">
        <f>SUM(Martial!$D$30:$D$35)</f>
        <v>-2</v>
      </c>
      <c r="G39" s="243">
        <f t="shared" si="1"/>
        <v>0</v>
      </c>
      <c r="H39" s="199">
        <f t="shared" ca="1" si="4"/>
        <v>19</v>
      </c>
      <c r="I39" s="243">
        <f t="shared" ref="I39:I40" ca="1" si="19">SUM(G39:H39)</f>
        <v>19</v>
      </c>
      <c r="J39" s="244"/>
    </row>
    <row r="40" spans="1:10" ht="16.8" x14ac:dyDescent="0.3">
      <c r="A40" s="270" t="s">
        <v>239</v>
      </c>
      <c r="B40" s="221">
        <v>1</v>
      </c>
      <c r="C40" s="271" t="s">
        <v>148</v>
      </c>
      <c r="D40" s="272" t="str">
        <f>VLOOKUP(C40,'Personal File'!$A$12:$C$17,3,FALSE)</f>
        <v>+2</v>
      </c>
      <c r="E40" s="273" t="str">
        <f t="shared" si="0"/>
        <v>Int (+2)</v>
      </c>
      <c r="F40" s="225" t="s">
        <v>51</v>
      </c>
      <c r="G40" s="337">
        <f t="shared" si="1"/>
        <v>3</v>
      </c>
      <c r="H40" s="199">
        <f t="shared" ca="1" si="4"/>
        <v>20</v>
      </c>
      <c r="I40" s="337">
        <f t="shared" ca="1" si="19"/>
        <v>23</v>
      </c>
      <c r="J40" s="226" t="s">
        <v>226</v>
      </c>
    </row>
    <row r="41" spans="1:10" ht="16.8" x14ac:dyDescent="0.3">
      <c r="A41" s="270" t="s">
        <v>45</v>
      </c>
      <c r="B41" s="221">
        <v>1</v>
      </c>
      <c r="C41" s="271" t="s">
        <v>148</v>
      </c>
      <c r="D41" s="272" t="str">
        <f>VLOOKUP(C41,'Personal File'!$A$12:$C$17,3,FALSE)</f>
        <v>+2</v>
      </c>
      <c r="E41" s="273" t="str">
        <f t="shared" si="0"/>
        <v>Int (+2)</v>
      </c>
      <c r="F41" s="225" t="s">
        <v>51</v>
      </c>
      <c r="G41" s="225">
        <f t="shared" si="1"/>
        <v>3</v>
      </c>
      <c r="H41" s="199">
        <f t="shared" ca="1" si="4"/>
        <v>15</v>
      </c>
      <c r="I41" s="225">
        <f t="shared" ca="1" si="3"/>
        <v>18</v>
      </c>
      <c r="J41" s="226"/>
    </row>
    <row r="42" spans="1:10" ht="16.8" x14ac:dyDescent="0.3">
      <c r="A42" s="274" t="s">
        <v>46</v>
      </c>
      <c r="B42" s="221">
        <v>1</v>
      </c>
      <c r="C42" s="267" t="s">
        <v>149</v>
      </c>
      <c r="D42" s="268">
        <f>VLOOKUP(C42,'Personal File'!$A$12:$C$17,3,FALSE)</f>
        <v>-1</v>
      </c>
      <c r="E42" s="269" t="str">
        <f t="shared" si="0"/>
        <v>Wis (-1)</v>
      </c>
      <c r="F42" s="225" t="s">
        <v>218</v>
      </c>
      <c r="G42" s="225">
        <f t="shared" si="1"/>
        <v>2</v>
      </c>
      <c r="H42" s="199">
        <f t="shared" ca="1" si="4"/>
        <v>18</v>
      </c>
      <c r="I42" s="225">
        <f t="shared" ca="1" si="3"/>
        <v>20</v>
      </c>
      <c r="J42" s="226"/>
    </row>
    <row r="43" spans="1:10" ht="16.8" x14ac:dyDescent="0.3">
      <c r="A43" s="274" t="s">
        <v>83</v>
      </c>
      <c r="B43" s="221">
        <v>1</v>
      </c>
      <c r="C43" s="267" t="s">
        <v>149</v>
      </c>
      <c r="D43" s="268">
        <f>VLOOKUP(C43,'Personal File'!$A$12:$C$17,3,FALSE)</f>
        <v>-1</v>
      </c>
      <c r="E43" s="269" t="str">
        <f t="shared" si="0"/>
        <v>Wis (-1)</v>
      </c>
      <c r="F43" s="225" t="s">
        <v>51</v>
      </c>
      <c r="G43" s="225">
        <f t="shared" si="1"/>
        <v>0</v>
      </c>
      <c r="H43" s="199">
        <f t="shared" ca="1" si="4"/>
        <v>10</v>
      </c>
      <c r="I43" s="225">
        <f t="shared" ca="1" si="3"/>
        <v>10</v>
      </c>
      <c r="J43" s="226" t="s">
        <v>394</v>
      </c>
    </row>
    <row r="44" spans="1:10" ht="16.8" x14ac:dyDescent="0.3">
      <c r="A44" s="227" t="s">
        <v>14</v>
      </c>
      <c r="B44" s="196">
        <v>0</v>
      </c>
      <c r="C44" s="228" t="s">
        <v>151</v>
      </c>
      <c r="D44" s="229" t="str">
        <f>VLOOKUP(C44,'Personal File'!$A$12:$C$17,3,FALSE)</f>
        <v>+2</v>
      </c>
      <c r="E44" s="230" t="str">
        <f t="shared" si="0"/>
        <v>Str (+2)</v>
      </c>
      <c r="F44" s="215">
        <v>8</v>
      </c>
      <c r="G44" s="216">
        <f t="shared" si="1"/>
        <v>10</v>
      </c>
      <c r="H44" s="199">
        <f t="shared" ca="1" si="4"/>
        <v>14</v>
      </c>
      <c r="I44" s="216">
        <f t="shared" ca="1" si="3"/>
        <v>24</v>
      </c>
      <c r="J44" s="200" t="s">
        <v>399</v>
      </c>
    </row>
    <row r="45" spans="1:10" ht="16.8" x14ac:dyDescent="0.3">
      <c r="A45" s="333" t="s">
        <v>47</v>
      </c>
      <c r="B45" s="221">
        <v>10</v>
      </c>
      <c r="C45" s="334" t="s">
        <v>150</v>
      </c>
      <c r="D45" s="335" t="str">
        <f>VLOOKUP(C45,'Personal File'!$A$12:$C$17,3,FALSE)</f>
        <v>+2</v>
      </c>
      <c r="E45" s="336" t="str">
        <f t="shared" si="0"/>
        <v>Dex (+2)</v>
      </c>
      <c r="F45" s="339">
        <f>SUM(Martial!$D$30:$D$35)+2</f>
        <v>0</v>
      </c>
      <c r="G45" s="337">
        <f t="shared" si="1"/>
        <v>12</v>
      </c>
      <c r="H45" s="199">
        <f t="shared" ca="1" si="4"/>
        <v>12</v>
      </c>
      <c r="I45" s="337">
        <f t="shared" ref="I45:I46" ca="1" si="20">SUM(G45:H45)</f>
        <v>24</v>
      </c>
      <c r="J45" s="226"/>
    </row>
    <row r="46" spans="1:10" ht="16.8" x14ac:dyDescent="0.3">
      <c r="A46" s="480" t="s">
        <v>48</v>
      </c>
      <c r="B46" s="481">
        <v>2</v>
      </c>
      <c r="C46" s="482" t="s">
        <v>147</v>
      </c>
      <c r="D46" s="483" t="str">
        <f>VLOOKUP(C46,'Personal File'!$A$12:$C$17,3,FALSE)</f>
        <v>+2</v>
      </c>
      <c r="E46" s="484" t="str">
        <f t="shared" si="0"/>
        <v>Cha (+2)</v>
      </c>
      <c r="F46" s="337" t="s">
        <v>51</v>
      </c>
      <c r="G46" s="337">
        <f t="shared" si="1"/>
        <v>4</v>
      </c>
      <c r="H46" s="199">
        <f t="shared" ca="1" si="4"/>
        <v>13</v>
      </c>
      <c r="I46" s="337">
        <f t="shared" ca="1" si="20"/>
        <v>17</v>
      </c>
      <c r="J46" s="485"/>
    </row>
    <row r="47" spans="1:10" ht="17.399999999999999" thickBot="1" x14ac:dyDescent="0.35">
      <c r="A47" s="275" t="s">
        <v>49</v>
      </c>
      <c r="B47" s="276">
        <v>0</v>
      </c>
      <c r="C47" s="277" t="s">
        <v>150</v>
      </c>
      <c r="D47" s="278" t="str">
        <f>VLOOKUP(C47,'Personal File'!$A$12:$C$17,3,FALSE)</f>
        <v>+2</v>
      </c>
      <c r="E47" s="279" t="str">
        <f t="shared" si="0"/>
        <v>Dex (+2)</v>
      </c>
      <c r="F47" s="280" t="s">
        <v>51</v>
      </c>
      <c r="G47" s="280">
        <f t="shared" si="1"/>
        <v>2</v>
      </c>
      <c r="H47" s="281">
        <f t="shared" ca="1" si="4"/>
        <v>19</v>
      </c>
      <c r="I47" s="280">
        <f t="shared" ca="1" si="3"/>
        <v>21</v>
      </c>
      <c r="J47" s="282"/>
    </row>
    <row r="48" spans="1:10" ht="16.2" thickTop="1" x14ac:dyDescent="0.3">
      <c r="B48" s="183">
        <f>SUM(B6:B47,B40)</f>
        <v>78</v>
      </c>
      <c r="E48" s="183">
        <f>SUM(E49:E60)</f>
        <v>80</v>
      </c>
      <c r="F48" s="283" t="s">
        <v>52</v>
      </c>
    </row>
    <row r="49" spans="1:6" x14ac:dyDescent="0.3">
      <c r="A49" s="55" t="s">
        <v>344</v>
      </c>
      <c r="B49" s="183">
        <v>2</v>
      </c>
      <c r="E49" s="181">
        <f>4*(2+'Personal File'!$C$15)</f>
        <v>16</v>
      </c>
      <c r="F49" s="182" t="s">
        <v>173</v>
      </c>
    </row>
    <row r="50" spans="1:6" x14ac:dyDescent="0.3">
      <c r="B50" s="183"/>
      <c r="E50" s="181">
        <f>2+'Personal File'!$C$15</f>
        <v>4</v>
      </c>
      <c r="F50" s="182" t="s">
        <v>236</v>
      </c>
    </row>
    <row r="51" spans="1:6" x14ac:dyDescent="0.3">
      <c r="B51" s="183"/>
      <c r="E51" s="181">
        <f>2+'Personal File'!$C$15</f>
        <v>4</v>
      </c>
      <c r="F51" s="182" t="s">
        <v>238</v>
      </c>
    </row>
    <row r="52" spans="1:6" x14ac:dyDescent="0.3">
      <c r="B52" s="183"/>
      <c r="E52" s="181">
        <f>2+'Personal File'!$C$15</f>
        <v>4</v>
      </c>
      <c r="F52" s="182" t="s">
        <v>262</v>
      </c>
    </row>
    <row r="53" spans="1:6" x14ac:dyDescent="0.3">
      <c r="B53" s="183"/>
      <c r="E53" s="181">
        <f>4+'Personal File'!$C$15</f>
        <v>6</v>
      </c>
      <c r="F53" s="182" t="s">
        <v>271</v>
      </c>
    </row>
    <row r="54" spans="1:6" x14ac:dyDescent="0.3">
      <c r="B54" s="183"/>
      <c r="E54" s="181">
        <f>2+'Personal File'!$C$15</f>
        <v>4</v>
      </c>
      <c r="F54" s="182" t="s">
        <v>288</v>
      </c>
    </row>
    <row r="55" spans="1:6" x14ac:dyDescent="0.3">
      <c r="B55" s="183"/>
      <c r="E55" s="181">
        <f>2+'Personal File'!$C$15</f>
        <v>4</v>
      </c>
      <c r="F55" s="182" t="s">
        <v>339</v>
      </c>
    </row>
    <row r="56" spans="1:6" x14ac:dyDescent="0.3">
      <c r="B56" s="183"/>
      <c r="E56" s="181">
        <f>4+'Personal File'!$C$15</f>
        <v>6</v>
      </c>
      <c r="F56" s="182" t="s">
        <v>358</v>
      </c>
    </row>
    <row r="57" spans="1:6" x14ac:dyDescent="0.3">
      <c r="B57" s="183"/>
      <c r="E57" s="181">
        <f>4+'Personal File'!$C$15</f>
        <v>6</v>
      </c>
      <c r="F57" s="182" t="s">
        <v>397</v>
      </c>
    </row>
    <row r="58" spans="1:6" x14ac:dyDescent="0.3">
      <c r="B58" s="183"/>
      <c r="E58" s="181">
        <f>4+'Personal File'!$C$15</f>
        <v>6</v>
      </c>
      <c r="F58" s="182" t="s">
        <v>408</v>
      </c>
    </row>
    <row r="59" spans="1:6" x14ac:dyDescent="0.3">
      <c r="B59" s="183"/>
      <c r="E59" s="181">
        <f>4+'Personal File'!$C$15</f>
        <v>6</v>
      </c>
      <c r="F59" s="182" t="s">
        <v>409</v>
      </c>
    </row>
    <row r="60" spans="1:6" x14ac:dyDescent="0.3">
      <c r="E60" s="183">
        <f>3+SUM('Personal File'!$E$3:$E$6)</f>
        <v>14</v>
      </c>
      <c r="F60" s="182" t="s">
        <v>118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D187-CA07-4B6A-91B4-1EB326366EB3}">
  <dimension ref="A1:H26"/>
  <sheetViews>
    <sheetView showGridLines="0" workbookViewId="0"/>
  </sheetViews>
  <sheetFormatPr defaultColWidth="13" defaultRowHeight="15.6" x14ac:dyDescent="0.3"/>
  <cols>
    <col min="1" max="1" width="18.59765625" style="402" bestFit="1" customWidth="1"/>
    <col min="2" max="2" width="6.796875" style="402" bestFit="1" customWidth="1"/>
    <col min="3" max="3" width="5" style="403" bestFit="1" customWidth="1"/>
    <col min="4" max="4" width="12.69921875" style="403" bestFit="1" customWidth="1"/>
    <col min="5" max="5" width="8.09765625" style="403" bestFit="1" customWidth="1"/>
    <col min="6" max="6" width="8.3984375" style="403" bestFit="1" customWidth="1"/>
    <col min="7" max="7" width="9.296875" style="403" bestFit="1" customWidth="1"/>
    <col min="8" max="8" width="34.59765625" style="402" bestFit="1" customWidth="1"/>
    <col min="9" max="16384" width="13" style="396"/>
  </cols>
  <sheetData>
    <row r="1" spans="1:8" ht="23.4" thickBot="1" x14ac:dyDescent="0.45">
      <c r="A1" s="394" t="s">
        <v>289</v>
      </c>
      <c r="B1" s="395"/>
      <c r="C1" s="395"/>
      <c r="D1" s="395"/>
      <c r="E1" s="395"/>
      <c r="F1" s="395"/>
      <c r="G1" s="395"/>
      <c r="H1" s="395"/>
    </row>
    <row r="2" spans="1:8" s="3" customFormat="1" ht="17.399999999999999" thickBot="1" x14ac:dyDescent="0.35">
      <c r="A2" s="444" t="s">
        <v>69</v>
      </c>
      <c r="B2" s="445" t="s">
        <v>290</v>
      </c>
      <c r="C2" s="445" t="s">
        <v>291</v>
      </c>
      <c r="D2" s="445" t="s">
        <v>87</v>
      </c>
      <c r="E2" s="445" t="s">
        <v>88</v>
      </c>
      <c r="F2" s="445" t="s">
        <v>54</v>
      </c>
      <c r="G2" s="445" t="s">
        <v>17</v>
      </c>
      <c r="H2" s="446" t="s">
        <v>292</v>
      </c>
    </row>
    <row r="3" spans="1:8" s="397" customFormat="1" ht="16.8" x14ac:dyDescent="0.3">
      <c r="A3" s="390" t="s">
        <v>293</v>
      </c>
      <c r="B3" s="196" t="s">
        <v>294</v>
      </c>
      <c r="C3" s="391">
        <v>1</v>
      </c>
      <c r="D3" s="331" t="s">
        <v>342</v>
      </c>
      <c r="E3" s="331" t="s">
        <v>90</v>
      </c>
      <c r="F3" s="332" t="s">
        <v>295</v>
      </c>
      <c r="G3" s="332" t="s">
        <v>65</v>
      </c>
      <c r="H3" s="398" t="s">
        <v>296</v>
      </c>
    </row>
    <row r="4" spans="1:8" s="397" customFormat="1" ht="16.8" x14ac:dyDescent="0.3">
      <c r="A4" s="390" t="s">
        <v>341</v>
      </c>
      <c r="B4" s="196" t="s">
        <v>297</v>
      </c>
      <c r="C4" s="391">
        <v>2</v>
      </c>
      <c r="D4" s="331" t="s">
        <v>342</v>
      </c>
      <c r="E4" s="331" t="s">
        <v>90</v>
      </c>
      <c r="F4" s="332" t="s">
        <v>66</v>
      </c>
      <c r="G4" s="332" t="s">
        <v>298</v>
      </c>
      <c r="H4" s="398" t="s">
        <v>343</v>
      </c>
    </row>
    <row r="5" spans="1:8" s="397" customFormat="1" ht="16.8" x14ac:dyDescent="0.3">
      <c r="A5" s="390" t="s">
        <v>416</v>
      </c>
      <c r="B5" s="196" t="s">
        <v>297</v>
      </c>
      <c r="C5" s="391">
        <v>2</v>
      </c>
      <c r="D5" s="331" t="s">
        <v>342</v>
      </c>
      <c r="E5" s="331" t="s">
        <v>90</v>
      </c>
      <c r="F5" s="332" t="s">
        <v>66</v>
      </c>
      <c r="G5" s="332" t="s">
        <v>298</v>
      </c>
      <c r="H5" s="398" t="s">
        <v>418</v>
      </c>
    </row>
    <row r="6" spans="1:8" s="397" customFormat="1" ht="17.399999999999999" thickBot="1" x14ac:dyDescent="0.35">
      <c r="A6" s="392" t="s">
        <v>299</v>
      </c>
      <c r="B6" s="276" t="s">
        <v>297</v>
      </c>
      <c r="C6" s="393">
        <v>2</v>
      </c>
      <c r="D6" s="122" t="s">
        <v>342</v>
      </c>
      <c r="E6" s="122" t="s">
        <v>90</v>
      </c>
      <c r="F6" s="123" t="s">
        <v>66</v>
      </c>
      <c r="G6" s="123" t="s">
        <v>298</v>
      </c>
      <c r="H6" s="282" t="s">
        <v>313</v>
      </c>
    </row>
    <row r="7" spans="1:8" ht="17.399999999999999" thickTop="1" x14ac:dyDescent="0.3">
      <c r="A7" s="396"/>
      <c r="B7" s="399"/>
      <c r="C7" s="400"/>
      <c r="D7" s="400"/>
      <c r="E7" s="400"/>
      <c r="F7" s="400"/>
      <c r="G7" s="400"/>
      <c r="H7" s="401"/>
    </row>
    <row r="8" spans="1:8" x14ac:dyDescent="0.3">
      <c r="A8" s="396"/>
      <c r="B8" s="396"/>
      <c r="C8" s="396"/>
      <c r="D8" s="396"/>
      <c r="E8" s="396"/>
      <c r="F8" s="396"/>
      <c r="G8" s="396"/>
      <c r="H8" s="396"/>
    </row>
    <row r="9" spans="1:8" x14ac:dyDescent="0.3">
      <c r="A9" s="396"/>
      <c r="B9" s="396"/>
      <c r="C9" s="396"/>
      <c r="D9" s="396"/>
      <c r="E9" s="396"/>
      <c r="F9" s="396"/>
      <c r="G9" s="396"/>
      <c r="H9" s="396"/>
    </row>
    <row r="10" spans="1:8" x14ac:dyDescent="0.3">
      <c r="A10" s="396"/>
      <c r="B10" s="396"/>
      <c r="C10" s="396"/>
      <c r="D10" s="396"/>
      <c r="E10" s="396"/>
      <c r="F10" s="396"/>
      <c r="G10" s="396"/>
      <c r="H10" s="396"/>
    </row>
    <row r="11" spans="1:8" x14ac:dyDescent="0.3">
      <c r="A11" s="396"/>
      <c r="B11" s="396"/>
      <c r="C11" s="396"/>
      <c r="D11" s="396"/>
      <c r="E11" s="396"/>
      <c r="F11" s="396"/>
      <c r="G11" s="396"/>
      <c r="H11" s="396"/>
    </row>
    <row r="12" spans="1:8" x14ac:dyDescent="0.3">
      <c r="A12" s="396"/>
      <c r="B12" s="396"/>
      <c r="C12" s="396"/>
      <c r="D12" s="396"/>
      <c r="E12" s="396"/>
      <c r="F12" s="396"/>
      <c r="G12" s="396"/>
      <c r="H12" s="396"/>
    </row>
    <row r="13" spans="1:8" x14ac:dyDescent="0.3">
      <c r="A13" s="396"/>
      <c r="B13" s="396"/>
      <c r="C13" s="396"/>
      <c r="D13" s="396"/>
      <c r="E13" s="396"/>
      <c r="F13" s="396"/>
      <c r="G13" s="396"/>
      <c r="H13" s="396"/>
    </row>
    <row r="14" spans="1:8" x14ac:dyDescent="0.3">
      <c r="A14" s="396"/>
      <c r="B14" s="396"/>
      <c r="C14" s="396"/>
      <c r="D14" s="396"/>
      <c r="E14" s="396"/>
      <c r="F14" s="396"/>
      <c r="G14" s="396"/>
      <c r="H14" s="396"/>
    </row>
    <row r="15" spans="1:8" x14ac:dyDescent="0.3">
      <c r="A15" s="396"/>
      <c r="B15" s="396"/>
      <c r="C15" s="396"/>
      <c r="D15" s="396"/>
      <c r="E15" s="396"/>
      <c r="F15" s="396"/>
      <c r="G15" s="396"/>
      <c r="H15" s="396"/>
    </row>
    <row r="16" spans="1:8" x14ac:dyDescent="0.3">
      <c r="A16" s="396"/>
      <c r="B16" s="396"/>
      <c r="C16" s="396"/>
      <c r="D16" s="396"/>
      <c r="E16" s="396"/>
      <c r="F16" s="396"/>
      <c r="G16" s="396"/>
      <c r="H16" s="396"/>
    </row>
    <row r="17" spans="1:8" x14ac:dyDescent="0.3">
      <c r="A17" s="396"/>
      <c r="B17" s="396"/>
      <c r="C17" s="396"/>
      <c r="D17" s="396"/>
      <c r="E17" s="396"/>
      <c r="F17" s="396"/>
      <c r="G17" s="396"/>
      <c r="H17" s="396"/>
    </row>
    <row r="18" spans="1:8" x14ac:dyDescent="0.3">
      <c r="A18" s="396"/>
      <c r="B18" s="396"/>
      <c r="C18" s="396"/>
      <c r="D18" s="396"/>
      <c r="E18" s="396"/>
      <c r="F18" s="396"/>
      <c r="G18" s="396"/>
      <c r="H18" s="396"/>
    </row>
    <row r="19" spans="1:8" x14ac:dyDescent="0.3">
      <c r="A19" s="396"/>
      <c r="B19" s="396"/>
      <c r="C19" s="396"/>
      <c r="D19" s="396"/>
      <c r="E19" s="396"/>
      <c r="F19" s="396"/>
      <c r="G19" s="396"/>
      <c r="H19" s="396"/>
    </row>
    <row r="20" spans="1:8" x14ac:dyDescent="0.3">
      <c r="A20" s="396"/>
      <c r="B20" s="396"/>
      <c r="C20" s="396"/>
      <c r="D20" s="396"/>
      <c r="E20" s="396"/>
      <c r="F20" s="396"/>
      <c r="G20" s="396"/>
    </row>
    <row r="21" spans="1:8" x14ac:dyDescent="0.3">
      <c r="A21" s="396"/>
      <c r="B21" s="396"/>
      <c r="C21" s="396"/>
      <c r="D21" s="396"/>
      <c r="E21" s="396"/>
      <c r="F21" s="396"/>
      <c r="G21" s="396"/>
    </row>
    <row r="22" spans="1:8" x14ac:dyDescent="0.3">
      <c r="A22" s="396"/>
      <c r="B22" s="396"/>
      <c r="C22" s="396"/>
      <c r="D22" s="396"/>
      <c r="E22" s="396"/>
      <c r="F22" s="396"/>
      <c r="G22" s="396"/>
    </row>
    <row r="23" spans="1:8" x14ac:dyDescent="0.3">
      <c r="A23" s="396"/>
      <c r="B23" s="396"/>
      <c r="C23" s="396"/>
    </row>
    <row r="24" spans="1:8" x14ac:dyDescent="0.3">
      <c r="A24" s="396"/>
      <c r="B24" s="396"/>
      <c r="C24" s="396"/>
    </row>
    <row r="25" spans="1:8" x14ac:dyDescent="0.3">
      <c r="A25" s="396"/>
      <c r="B25" s="396"/>
      <c r="C25" s="396"/>
    </row>
    <row r="26" spans="1:8" x14ac:dyDescent="0.3">
      <c r="A26" s="396"/>
      <c r="B26" s="396"/>
      <c r="C26" s="396"/>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19.09765625" style="55" bestFit="1" customWidth="1"/>
    <col min="2" max="2" width="6.19921875" style="55" bestFit="1" customWidth="1"/>
    <col min="3" max="3" width="13.59765625" style="56" bestFit="1" customWidth="1"/>
    <col min="4" max="4" width="12.69921875" style="56" bestFit="1" customWidth="1"/>
    <col min="5" max="5" width="8.09765625" style="56" bestFit="1" customWidth="1"/>
    <col min="6" max="6" width="12.59765625" style="56" bestFit="1" customWidth="1"/>
    <col min="7" max="7" width="9.796875" style="55" bestFit="1" customWidth="1"/>
    <col min="8" max="8" width="17.8984375" style="15" bestFit="1" customWidth="1"/>
    <col min="9" max="9" width="5.5" style="15" bestFit="1" customWidth="1"/>
    <col min="10" max="10" width="13" style="475"/>
    <col min="11" max="16384" width="13" style="15"/>
  </cols>
  <sheetData>
    <row r="1" spans="1:10" ht="23.4" thickBot="1" x14ac:dyDescent="0.35">
      <c r="A1" s="159" t="s">
        <v>165</v>
      </c>
      <c r="B1" s="57"/>
      <c r="C1" s="57"/>
      <c r="D1" s="57"/>
      <c r="E1" s="57"/>
      <c r="F1" s="57"/>
      <c r="G1" s="57"/>
      <c r="H1" s="57"/>
    </row>
    <row r="2" spans="1:10" s="3" customFormat="1" ht="16.8" x14ac:dyDescent="0.3">
      <c r="A2" s="160" t="s">
        <v>69</v>
      </c>
      <c r="B2" s="161" t="s">
        <v>0</v>
      </c>
      <c r="C2" s="162" t="s">
        <v>71</v>
      </c>
      <c r="D2" s="162" t="s">
        <v>87</v>
      </c>
      <c r="E2" s="162" t="s">
        <v>88</v>
      </c>
      <c r="F2" s="162" t="s">
        <v>54</v>
      </c>
      <c r="G2" s="162" t="s">
        <v>17</v>
      </c>
      <c r="H2" s="162" t="s">
        <v>139</v>
      </c>
      <c r="I2" s="163" t="s">
        <v>140</v>
      </c>
      <c r="J2" s="475"/>
    </row>
    <row r="3" spans="1:10" s="3" customFormat="1" ht="16.8" x14ac:dyDescent="0.3">
      <c r="A3" s="164" t="s">
        <v>222</v>
      </c>
      <c r="B3" s="63">
        <v>0</v>
      </c>
      <c r="C3" s="330" t="s">
        <v>223</v>
      </c>
      <c r="D3" s="331" t="s">
        <v>89</v>
      </c>
      <c r="E3" s="332" t="s">
        <v>90</v>
      </c>
      <c r="F3" s="332" t="s">
        <v>224</v>
      </c>
      <c r="G3" s="332" t="s">
        <v>67</v>
      </c>
      <c r="H3" s="332" t="s">
        <v>225</v>
      </c>
      <c r="I3" s="66">
        <v>9</v>
      </c>
      <c r="J3" s="475"/>
    </row>
    <row r="4" spans="1:10" s="3" customFormat="1" ht="16.8" x14ac:dyDescent="0.3">
      <c r="A4" s="164" t="s">
        <v>95</v>
      </c>
      <c r="B4" s="63">
        <v>0</v>
      </c>
      <c r="C4" s="6" t="s">
        <v>219</v>
      </c>
      <c r="D4" s="1" t="s">
        <v>89</v>
      </c>
      <c r="E4" s="137" t="s">
        <v>90</v>
      </c>
      <c r="F4" s="4" t="s">
        <v>61</v>
      </c>
      <c r="G4" s="4" t="s">
        <v>65</v>
      </c>
      <c r="H4" s="4" t="s">
        <v>138</v>
      </c>
      <c r="I4" s="66">
        <v>216</v>
      </c>
      <c r="J4" s="475"/>
    </row>
    <row r="5" spans="1:10" s="3" customFormat="1" ht="16.8" x14ac:dyDescent="0.3">
      <c r="A5" s="164" t="s">
        <v>96</v>
      </c>
      <c r="B5" s="63">
        <v>0</v>
      </c>
      <c r="C5" s="6" t="s">
        <v>80</v>
      </c>
      <c r="D5" s="1" t="s">
        <v>89</v>
      </c>
      <c r="E5" s="137" t="s">
        <v>90</v>
      </c>
      <c r="F5" s="4" t="s">
        <v>61</v>
      </c>
      <c r="G5" s="4" t="s">
        <v>62</v>
      </c>
      <c r="H5" s="4" t="s">
        <v>138</v>
      </c>
      <c r="I5" s="138">
        <v>238</v>
      </c>
      <c r="J5" s="475"/>
    </row>
    <row r="6" spans="1:10" s="3" customFormat="1" ht="16.8" x14ac:dyDescent="0.3">
      <c r="A6" s="164" t="s">
        <v>94</v>
      </c>
      <c r="B6" s="63">
        <v>0</v>
      </c>
      <c r="C6" s="6" t="s">
        <v>68</v>
      </c>
      <c r="D6" s="1" t="s">
        <v>113</v>
      </c>
      <c r="E6" s="137" t="s">
        <v>90</v>
      </c>
      <c r="F6" s="4" t="s">
        <v>61</v>
      </c>
      <c r="G6" s="4" t="s">
        <v>67</v>
      </c>
      <c r="H6" s="4" t="s">
        <v>138</v>
      </c>
      <c r="I6" s="66">
        <v>248</v>
      </c>
      <c r="J6" s="475"/>
    </row>
    <row r="7" spans="1:10" s="3" customFormat="1" ht="16.8" x14ac:dyDescent="0.3">
      <c r="A7" s="164" t="s">
        <v>251</v>
      </c>
      <c r="B7" s="63">
        <v>0</v>
      </c>
      <c r="C7" s="6" t="s">
        <v>223</v>
      </c>
      <c r="D7" s="1" t="s">
        <v>89</v>
      </c>
      <c r="E7" s="137" t="s">
        <v>90</v>
      </c>
      <c r="F7" s="4" t="s">
        <v>212</v>
      </c>
      <c r="G7" s="4" t="s">
        <v>65</v>
      </c>
      <c r="H7" s="4" t="s">
        <v>138</v>
      </c>
      <c r="I7" s="66">
        <v>253</v>
      </c>
      <c r="J7" s="475"/>
    </row>
    <row r="8" spans="1:10" s="3" customFormat="1" ht="16.8" x14ac:dyDescent="0.3">
      <c r="A8" s="165" t="s">
        <v>97</v>
      </c>
      <c r="B8" s="64">
        <v>0</v>
      </c>
      <c r="C8" s="65" t="s">
        <v>63</v>
      </c>
      <c r="D8" s="5" t="s">
        <v>93</v>
      </c>
      <c r="E8" s="139" t="s">
        <v>90</v>
      </c>
      <c r="F8" s="7" t="s">
        <v>66</v>
      </c>
      <c r="G8" s="7" t="s">
        <v>67</v>
      </c>
      <c r="H8" s="7" t="s">
        <v>138</v>
      </c>
      <c r="I8" s="67">
        <v>269</v>
      </c>
      <c r="J8" s="475"/>
    </row>
    <row r="9" spans="1:10" ht="16.8" x14ac:dyDescent="0.3">
      <c r="A9" s="164" t="s">
        <v>81</v>
      </c>
      <c r="B9" s="63">
        <v>1</v>
      </c>
      <c r="C9" s="6" t="s">
        <v>219</v>
      </c>
      <c r="D9" s="1" t="s">
        <v>89</v>
      </c>
      <c r="E9" s="137" t="s">
        <v>90</v>
      </c>
      <c r="F9" s="4" t="s">
        <v>61</v>
      </c>
      <c r="G9" s="4" t="s">
        <v>65</v>
      </c>
      <c r="H9" s="4" t="s">
        <v>138</v>
      </c>
      <c r="I9" s="66">
        <v>216</v>
      </c>
    </row>
    <row r="10" spans="1:10" ht="16.8" x14ac:dyDescent="0.3">
      <c r="A10" s="164" t="s">
        <v>112</v>
      </c>
      <c r="B10" s="63">
        <v>1</v>
      </c>
      <c r="C10" s="6" t="s">
        <v>68</v>
      </c>
      <c r="D10" s="1" t="s">
        <v>91</v>
      </c>
      <c r="E10" s="137" t="s">
        <v>90</v>
      </c>
      <c r="F10" s="4" t="s">
        <v>66</v>
      </c>
      <c r="G10" s="4" t="s">
        <v>62</v>
      </c>
      <c r="H10" s="4" t="s">
        <v>138</v>
      </c>
      <c r="I10" s="138">
        <v>224</v>
      </c>
    </row>
    <row r="11" spans="1:10" ht="16.8" x14ac:dyDescent="0.3">
      <c r="A11" s="164" t="s">
        <v>114</v>
      </c>
      <c r="B11" s="63">
        <v>1</v>
      </c>
      <c r="C11" s="6" t="s">
        <v>60</v>
      </c>
      <c r="D11" s="1" t="s">
        <v>92</v>
      </c>
      <c r="E11" s="137" t="s">
        <v>90</v>
      </c>
      <c r="F11" s="4" t="s">
        <v>61</v>
      </c>
      <c r="G11" s="4" t="s">
        <v>64</v>
      </c>
      <c r="H11" s="4" t="s">
        <v>138</v>
      </c>
      <c r="I11" s="138">
        <v>266</v>
      </c>
    </row>
    <row r="12" spans="1:10" ht="16.8" x14ac:dyDescent="0.3">
      <c r="A12" s="165" t="s">
        <v>249</v>
      </c>
      <c r="B12" s="64">
        <v>1</v>
      </c>
      <c r="C12" s="65" t="s">
        <v>60</v>
      </c>
      <c r="D12" s="5" t="s">
        <v>91</v>
      </c>
      <c r="E12" s="139" t="s">
        <v>90</v>
      </c>
      <c r="F12" s="7" t="s">
        <v>61</v>
      </c>
      <c r="G12" s="7" t="s">
        <v>65</v>
      </c>
      <c r="H12" s="7" t="s">
        <v>250</v>
      </c>
      <c r="I12" s="367">
        <v>177</v>
      </c>
    </row>
    <row r="13" spans="1:10" ht="16.8" x14ac:dyDescent="0.3">
      <c r="A13" s="164" t="s">
        <v>252</v>
      </c>
      <c r="B13" s="63">
        <v>2</v>
      </c>
      <c r="C13" s="6" t="s">
        <v>223</v>
      </c>
      <c r="D13" s="1" t="s">
        <v>92</v>
      </c>
      <c r="E13" s="137" t="s">
        <v>90</v>
      </c>
      <c r="F13" s="4" t="s">
        <v>61</v>
      </c>
      <c r="G13" s="4" t="s">
        <v>64</v>
      </c>
      <c r="H13" s="4" t="s">
        <v>138</v>
      </c>
      <c r="I13" s="138">
        <v>207</v>
      </c>
    </row>
    <row r="14" spans="1:10" ht="16.8" x14ac:dyDescent="0.3">
      <c r="A14" s="164" t="s">
        <v>253</v>
      </c>
      <c r="B14" s="63">
        <v>2</v>
      </c>
      <c r="C14" s="6" t="s">
        <v>219</v>
      </c>
      <c r="D14" s="1" t="s">
        <v>89</v>
      </c>
      <c r="E14" s="137" t="s">
        <v>90</v>
      </c>
      <c r="F14" s="4" t="s">
        <v>61</v>
      </c>
      <c r="G14" s="4" t="s">
        <v>65</v>
      </c>
      <c r="H14" s="4" t="s">
        <v>138</v>
      </c>
      <c r="I14" s="138">
        <v>272</v>
      </c>
    </row>
    <row r="15" spans="1:10" ht="17.399999999999999" thickBot="1" x14ac:dyDescent="0.35">
      <c r="A15" s="166" t="s">
        <v>254</v>
      </c>
      <c r="B15" s="120">
        <v>2</v>
      </c>
      <c r="C15" s="121" t="s">
        <v>255</v>
      </c>
      <c r="D15" s="122" t="s">
        <v>89</v>
      </c>
      <c r="E15" s="140" t="s">
        <v>90</v>
      </c>
      <c r="F15" s="123" t="s">
        <v>256</v>
      </c>
      <c r="G15" s="123" t="s">
        <v>64</v>
      </c>
      <c r="H15" s="123" t="s">
        <v>138</v>
      </c>
      <c r="I15" s="366">
        <v>279</v>
      </c>
    </row>
    <row r="16" spans="1:10" ht="16.2" thickTop="1" x14ac:dyDescent="0.3"/>
  </sheetData>
  <sortState xmlns:xlrd2="http://schemas.microsoft.com/office/spreadsheetml/2017/richdata2" ref="A3:I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13E-0035-4CBA-B140-5AFC44970967}">
  <dimension ref="A1:Q36"/>
  <sheetViews>
    <sheetView showGridLines="0" workbookViewId="0"/>
  </sheetViews>
  <sheetFormatPr defaultColWidth="13" defaultRowHeight="16.8" x14ac:dyDescent="0.3"/>
  <cols>
    <col min="1" max="1" width="17.5" style="50" bestFit="1" customWidth="1"/>
    <col min="2" max="2" width="3.59765625" style="50" bestFit="1" customWidth="1"/>
    <col min="3" max="4" width="4.19921875" style="50" customWidth="1"/>
    <col min="5" max="5" width="3.69921875" style="50" bestFit="1" customWidth="1"/>
    <col min="6" max="8" width="3.59765625" style="50" bestFit="1" customWidth="1"/>
    <col min="9" max="10" width="3.59765625" style="50" customWidth="1"/>
    <col min="11" max="11" width="3.59765625" style="50" bestFit="1" customWidth="1"/>
    <col min="12" max="12" width="2.09765625" style="50" customWidth="1"/>
    <col min="13" max="13" width="23.59765625" style="50" bestFit="1" customWidth="1"/>
    <col min="14" max="14" width="6.19921875" style="50" bestFit="1" customWidth="1"/>
    <col min="15" max="15" width="3.5" style="50" bestFit="1" customWidth="1"/>
    <col min="16" max="16" width="4.09765625" style="50" bestFit="1" customWidth="1"/>
    <col min="17" max="17" width="6.296875" style="50" bestFit="1" customWidth="1"/>
    <col min="18" max="16384" width="13" style="50"/>
  </cols>
  <sheetData>
    <row r="1" spans="1:17" ht="24" thickTop="1" thickBot="1" x14ac:dyDescent="0.35">
      <c r="A1" s="284" t="s">
        <v>307</v>
      </c>
      <c r="B1" s="284"/>
      <c r="C1" s="57"/>
      <c r="D1" s="57"/>
      <c r="E1" s="285"/>
      <c r="F1" s="57"/>
      <c r="G1" s="57"/>
      <c r="H1" s="57"/>
      <c r="I1" s="57"/>
      <c r="J1" s="57"/>
      <c r="K1" s="285"/>
      <c r="M1" s="404" t="str">
        <f>CONCATENATE("Fey Presence Spells (CL ",SUM('Personal File'!$E$3:$E$6),")")</f>
        <v>Fey Presence Spells (CL 11)</v>
      </c>
      <c r="N1" s="405"/>
      <c r="O1" s="405"/>
      <c r="P1" s="405"/>
      <c r="Q1" s="406"/>
    </row>
    <row r="2" spans="1:17" ht="17.399999999999999" thickTop="1" x14ac:dyDescent="0.3">
      <c r="A2" s="129"/>
      <c r="B2" s="68" t="s">
        <v>104</v>
      </c>
      <c r="C2" s="286"/>
      <c r="D2" s="286"/>
      <c r="E2" s="286"/>
      <c r="F2" s="286"/>
      <c r="G2" s="286"/>
      <c r="H2" s="286"/>
      <c r="I2" s="286"/>
      <c r="J2" s="286"/>
      <c r="K2" s="287"/>
      <c r="M2" s="407" t="s">
        <v>69</v>
      </c>
      <c r="N2" s="408" t="s">
        <v>0</v>
      </c>
      <c r="O2" s="409" t="s">
        <v>302</v>
      </c>
      <c r="P2" s="409" t="s">
        <v>179</v>
      </c>
      <c r="Q2" s="410" t="s">
        <v>180</v>
      </c>
    </row>
    <row r="3" spans="1:17" ht="17.399999999999999" thickBot="1" x14ac:dyDescent="0.35">
      <c r="A3" s="129"/>
      <c r="B3" s="288" t="s">
        <v>105</v>
      </c>
      <c r="C3" s="289" t="s">
        <v>98</v>
      </c>
      <c r="D3" s="289" t="s">
        <v>99</v>
      </c>
      <c r="E3" s="289" t="s">
        <v>100</v>
      </c>
      <c r="F3" s="289" t="s">
        <v>101</v>
      </c>
      <c r="G3" s="289" t="s">
        <v>102</v>
      </c>
      <c r="H3" s="289" t="s">
        <v>103</v>
      </c>
      <c r="I3" s="289" t="s">
        <v>106</v>
      </c>
      <c r="J3" s="289" t="s">
        <v>177</v>
      </c>
      <c r="K3" s="290" t="s">
        <v>178</v>
      </c>
      <c r="M3" s="411" t="s">
        <v>304</v>
      </c>
      <c r="N3" s="412">
        <v>4</v>
      </c>
      <c r="O3" s="413" t="s">
        <v>51</v>
      </c>
      <c r="P3" s="413">
        <f>10+N3+O3+'Personal File'!$C$17</f>
        <v>16</v>
      </c>
      <c r="Q3" s="414" t="s">
        <v>303</v>
      </c>
    </row>
    <row r="4" spans="1:17" ht="17.399999999999999" thickTop="1" x14ac:dyDescent="0.3">
      <c r="A4" s="291" t="s">
        <v>176</v>
      </c>
      <c r="B4" s="292">
        <v>6</v>
      </c>
      <c r="C4" s="293">
        <v>6</v>
      </c>
      <c r="D4" s="293">
        <v>3</v>
      </c>
      <c r="E4" s="300">
        <v>0</v>
      </c>
      <c r="F4" s="300">
        <v>0</v>
      </c>
      <c r="G4" s="300">
        <v>0</v>
      </c>
      <c r="H4" s="300">
        <v>0</v>
      </c>
      <c r="I4" s="300">
        <v>0</v>
      </c>
      <c r="J4" s="300">
        <v>0</v>
      </c>
      <c r="K4" s="301">
        <v>0</v>
      </c>
      <c r="M4" s="415" t="s">
        <v>305</v>
      </c>
      <c r="N4" s="416">
        <v>3</v>
      </c>
      <c r="O4" s="417" t="s">
        <v>51</v>
      </c>
      <c r="P4" s="417">
        <f>10+N4+O4+'Personal File'!$C$17</f>
        <v>15</v>
      </c>
      <c r="Q4" s="418" t="s">
        <v>303</v>
      </c>
    </row>
    <row r="5" spans="1:17" ht="17.399999999999999" thickBot="1" x14ac:dyDescent="0.35">
      <c r="A5" s="294" t="s">
        <v>175</v>
      </c>
      <c r="B5" s="295">
        <v>0</v>
      </c>
      <c r="C5" s="117">
        <v>1</v>
      </c>
      <c r="D5" s="117">
        <v>1</v>
      </c>
      <c r="E5" s="302">
        <v>0</v>
      </c>
      <c r="F5" s="302">
        <v>0</v>
      </c>
      <c r="G5" s="302">
        <v>0</v>
      </c>
      <c r="H5" s="302">
        <v>0</v>
      </c>
      <c r="I5" s="302">
        <v>0</v>
      </c>
      <c r="J5" s="302">
        <v>0</v>
      </c>
      <c r="K5" s="303">
        <v>0</v>
      </c>
      <c r="M5" s="419" t="s">
        <v>306</v>
      </c>
      <c r="N5" s="420">
        <v>1</v>
      </c>
      <c r="O5" s="421" t="s">
        <v>51</v>
      </c>
      <c r="P5" s="421">
        <f>10+N5+O5+'Personal File'!$C$17</f>
        <v>13</v>
      </c>
      <c r="Q5" s="422" t="s">
        <v>303</v>
      </c>
    </row>
    <row r="6" spans="1:17" ht="18" thickTop="1" thickBot="1" x14ac:dyDescent="0.35">
      <c r="A6" s="296" t="s">
        <v>325</v>
      </c>
      <c r="B6" s="297">
        <f t="shared" ref="B6:H6" si="0">SUM(B4:B5)</f>
        <v>6</v>
      </c>
      <c r="C6" s="298">
        <f t="shared" si="0"/>
        <v>7</v>
      </c>
      <c r="D6" s="298">
        <f t="shared" ref="D6" si="1">SUM(D4:D5)</f>
        <v>4</v>
      </c>
      <c r="E6" s="305">
        <f t="shared" si="0"/>
        <v>0</v>
      </c>
      <c r="F6" s="305">
        <f t="shared" si="0"/>
        <v>0</v>
      </c>
      <c r="G6" s="305">
        <f t="shared" si="0"/>
        <v>0</v>
      </c>
      <c r="H6" s="305">
        <f t="shared" si="0"/>
        <v>0</v>
      </c>
      <c r="I6" s="305">
        <f t="shared" ref="I6:J6" si="2">SUM(I4:I5)</f>
        <v>0</v>
      </c>
      <c r="J6" s="305">
        <f t="shared" si="2"/>
        <v>0</v>
      </c>
      <c r="K6" s="304">
        <f>SUM(K5:K5)</f>
        <v>0</v>
      </c>
    </row>
    <row r="7" spans="1:17" ht="22.2" thickTop="1" thickBot="1" x14ac:dyDescent="0.35">
      <c r="A7" s="308" t="s">
        <v>179</v>
      </c>
      <c r="B7" s="309">
        <f>10+LEFT(B3,1)+'Personal File'!$C$17</f>
        <v>12</v>
      </c>
      <c r="C7" s="309">
        <f>10+LEFT(C3,1)+'Personal File'!$C$17</f>
        <v>13</v>
      </c>
      <c r="D7" s="309">
        <f>10+LEFT(D3,1)+'Personal File'!$C$17</f>
        <v>14</v>
      </c>
      <c r="E7" s="311">
        <f>10+LEFT(E3,1)+'Personal File'!$C$17</f>
        <v>15</v>
      </c>
      <c r="F7" s="311">
        <f>10+LEFT(F3,1)+'Personal File'!$C$17</f>
        <v>16</v>
      </c>
      <c r="G7" s="311">
        <f>10+LEFT(G3,1)+'Personal File'!$C$17</f>
        <v>17</v>
      </c>
      <c r="H7" s="311">
        <f>10+LEFT(H3,1)+'Personal File'!$C$17</f>
        <v>18</v>
      </c>
      <c r="I7" s="311">
        <f>10+LEFT(I3,1)+'Personal File'!$C$17</f>
        <v>19</v>
      </c>
      <c r="J7" s="311">
        <f>10+LEFT(J3,1)+'Personal File'!$C$17</f>
        <v>20</v>
      </c>
      <c r="K7" s="312">
        <f>10+LEFT(K3,1)+'Personal File'!$C$17</f>
        <v>21</v>
      </c>
      <c r="M7" s="404" t="str">
        <f>CONCATENATE("Fey Legacy Spells (CL ",SUM('Personal File'!$E$3:$E$6),")")</f>
        <v>Fey Legacy Spells (CL 11)</v>
      </c>
      <c r="N7" s="405"/>
      <c r="O7" s="405"/>
      <c r="P7" s="405"/>
      <c r="Q7" s="406"/>
    </row>
    <row r="8" spans="1:17" ht="18" thickTop="1" thickBot="1" x14ac:dyDescent="0.35">
      <c r="A8" s="296" t="s">
        <v>180</v>
      </c>
      <c r="B8" s="297">
        <v>0</v>
      </c>
      <c r="C8" s="297">
        <v>0</v>
      </c>
      <c r="D8" s="297">
        <v>0</v>
      </c>
      <c r="E8" s="313" t="s">
        <v>126</v>
      </c>
      <c r="F8" s="313" t="s">
        <v>126</v>
      </c>
      <c r="G8" s="313" t="s">
        <v>126</v>
      </c>
      <c r="H8" s="313" t="s">
        <v>126</v>
      </c>
      <c r="I8" s="313" t="s">
        <v>126</v>
      </c>
      <c r="J8" s="313" t="s">
        <v>126</v>
      </c>
      <c r="K8" s="310" t="s">
        <v>126</v>
      </c>
      <c r="M8" s="407" t="s">
        <v>69</v>
      </c>
      <c r="N8" s="408" t="s">
        <v>0</v>
      </c>
      <c r="O8" s="409" t="s">
        <v>302</v>
      </c>
      <c r="P8" s="409" t="s">
        <v>179</v>
      </c>
      <c r="Q8" s="410" t="s">
        <v>180</v>
      </c>
    </row>
    <row r="9" spans="1:17" ht="17.399999999999999" thickTop="1" x14ac:dyDescent="0.3">
      <c r="M9" s="411" t="s">
        <v>391</v>
      </c>
      <c r="N9" s="412">
        <v>4</v>
      </c>
      <c r="O9" s="413" t="s">
        <v>51</v>
      </c>
      <c r="P9" s="413">
        <f>10+N9+O9+'Personal File'!$C$17</f>
        <v>16</v>
      </c>
      <c r="Q9" s="414" t="s">
        <v>303</v>
      </c>
    </row>
    <row r="10" spans="1:17" x14ac:dyDescent="0.3">
      <c r="A10" s="25"/>
      <c r="C10" s="18" t="s">
        <v>137</v>
      </c>
      <c r="D10" s="19">
        <f>'Personal File'!E3+2</f>
        <v>6</v>
      </c>
      <c r="M10" s="415" t="s">
        <v>392</v>
      </c>
      <c r="N10" s="416">
        <v>4</v>
      </c>
      <c r="O10" s="417" t="s">
        <v>51</v>
      </c>
      <c r="P10" s="417">
        <f>10+N10+O10+'Personal File'!$C$17</f>
        <v>16</v>
      </c>
      <c r="Q10" s="418" t="s">
        <v>303</v>
      </c>
    </row>
    <row r="11" spans="1:17" ht="17.399999999999999" thickBot="1" x14ac:dyDescent="0.35">
      <c r="C11" s="18" t="s">
        <v>410</v>
      </c>
      <c r="D11" s="19">
        <f>'Personal File'!E5+'Personal File'!E6-1</f>
        <v>4</v>
      </c>
      <c r="M11" s="419" t="s">
        <v>398</v>
      </c>
      <c r="N11" s="420">
        <v>5</v>
      </c>
      <c r="O11" s="421" t="s">
        <v>51</v>
      </c>
      <c r="P11" s="421">
        <f>10+N11+O11+'Personal File'!$C$17</f>
        <v>17</v>
      </c>
      <c r="Q11" s="422" t="s">
        <v>303</v>
      </c>
    </row>
    <row r="12" spans="1:17" ht="17.399999999999999" thickTop="1" x14ac:dyDescent="0.3">
      <c r="C12" s="18" t="s">
        <v>276</v>
      </c>
      <c r="D12" s="19">
        <f>ROUNDDOWN('Personal File'!E4+(0.5*('Personal File'!E3+'Personal File'!E5)),0)</f>
        <v>5</v>
      </c>
    </row>
    <row r="13" spans="1:17" x14ac:dyDescent="0.3">
      <c r="C13" s="18"/>
      <c r="D13" s="19"/>
    </row>
    <row r="14" spans="1:17" ht="23.4" thickBot="1" x14ac:dyDescent="0.35">
      <c r="A14" s="340" t="s">
        <v>274</v>
      </c>
      <c r="B14" s="341"/>
      <c r="C14" s="341"/>
      <c r="D14" s="341"/>
      <c r="E14" s="341"/>
      <c r="F14" s="341"/>
      <c r="G14" s="341"/>
      <c r="H14" s="341"/>
      <c r="I14" s="341"/>
      <c r="J14" s="341"/>
    </row>
    <row r="15" spans="1:17" ht="18" thickTop="1" thickBot="1" x14ac:dyDescent="0.35">
      <c r="A15" s="342" t="s">
        <v>265</v>
      </c>
      <c r="B15" s="343" t="s">
        <v>105</v>
      </c>
      <c r="C15" s="343" t="s">
        <v>98</v>
      </c>
      <c r="D15" s="344" t="s">
        <v>99</v>
      </c>
      <c r="E15" s="344" t="s">
        <v>100</v>
      </c>
      <c r="F15" s="344" t="s">
        <v>101</v>
      </c>
      <c r="G15" s="344" t="s">
        <v>102</v>
      </c>
      <c r="H15" s="344" t="s">
        <v>103</v>
      </c>
      <c r="I15" s="344" t="s">
        <v>106</v>
      </c>
      <c r="J15" s="344" t="s">
        <v>177</v>
      </c>
      <c r="K15" s="345" t="s">
        <v>178</v>
      </c>
    </row>
    <row r="16" spans="1:17" x14ac:dyDescent="0.3">
      <c r="A16" s="346">
        <v>1</v>
      </c>
      <c r="B16" s="360" t="s">
        <v>215</v>
      </c>
      <c r="C16" s="360">
        <v>3</v>
      </c>
      <c r="D16" s="347"/>
      <c r="E16" s="347"/>
      <c r="F16" s="347"/>
      <c r="G16" s="347"/>
      <c r="H16" s="347"/>
      <c r="I16" s="347"/>
      <c r="J16" s="347"/>
      <c r="K16" s="348"/>
    </row>
    <row r="17" spans="1:17" x14ac:dyDescent="0.3">
      <c r="A17" s="349">
        <v>2</v>
      </c>
      <c r="B17" s="350">
        <v>5</v>
      </c>
      <c r="C17" s="350">
        <v>3</v>
      </c>
      <c r="D17" s="351"/>
      <c r="E17" s="351"/>
      <c r="F17" s="351"/>
      <c r="G17" s="351"/>
      <c r="H17" s="351"/>
      <c r="I17" s="351"/>
      <c r="J17" s="351"/>
      <c r="K17" s="352"/>
    </row>
    <row r="18" spans="1:17" x14ac:dyDescent="0.3">
      <c r="A18" s="349">
        <v>3</v>
      </c>
      <c r="B18" s="350">
        <v>5</v>
      </c>
      <c r="C18" s="350">
        <v>4</v>
      </c>
      <c r="D18" s="351"/>
      <c r="E18" s="351"/>
      <c r="F18" s="351"/>
      <c r="G18" s="351"/>
      <c r="H18" s="351"/>
      <c r="I18" s="351"/>
      <c r="J18" s="351"/>
      <c r="K18" s="352"/>
    </row>
    <row r="19" spans="1:17" x14ac:dyDescent="0.3">
      <c r="A19" s="354">
        <v>4</v>
      </c>
      <c r="B19" s="355">
        <v>6</v>
      </c>
      <c r="C19" s="355">
        <v>4</v>
      </c>
      <c r="D19" s="355">
        <v>3</v>
      </c>
      <c r="E19" s="351"/>
      <c r="F19" s="351"/>
      <c r="G19" s="351"/>
      <c r="H19" s="351"/>
      <c r="I19" s="351"/>
      <c r="J19" s="351"/>
      <c r="K19" s="352"/>
    </row>
    <row r="20" spans="1:17" x14ac:dyDescent="0.3">
      <c r="A20" s="349">
        <v>5</v>
      </c>
      <c r="B20" s="350">
        <v>6</v>
      </c>
      <c r="C20" s="350">
        <v>5</v>
      </c>
      <c r="D20" s="353">
        <v>3</v>
      </c>
      <c r="E20" s="351"/>
      <c r="F20" s="351"/>
      <c r="G20" s="351"/>
      <c r="H20" s="351"/>
      <c r="I20" s="351"/>
      <c r="J20" s="351"/>
      <c r="K20" s="352"/>
    </row>
    <row r="21" spans="1:17" x14ac:dyDescent="0.3">
      <c r="A21" s="349">
        <v>6</v>
      </c>
      <c r="B21" s="350">
        <v>7</v>
      </c>
      <c r="C21" s="350">
        <v>5</v>
      </c>
      <c r="D21" s="353">
        <v>4</v>
      </c>
      <c r="E21" s="353">
        <v>3</v>
      </c>
      <c r="F21" s="351"/>
      <c r="G21" s="351"/>
      <c r="H21" s="351"/>
      <c r="I21" s="351"/>
      <c r="J21" s="351"/>
      <c r="K21" s="352"/>
    </row>
    <row r="22" spans="1:17" x14ac:dyDescent="0.3">
      <c r="A22" s="349">
        <v>7</v>
      </c>
      <c r="B22" s="350">
        <v>7</v>
      </c>
      <c r="C22" s="350">
        <v>6</v>
      </c>
      <c r="D22" s="353">
        <v>4</v>
      </c>
      <c r="E22" s="353">
        <v>3</v>
      </c>
      <c r="F22" s="351"/>
      <c r="G22" s="351"/>
      <c r="H22" s="351"/>
      <c r="I22" s="351"/>
      <c r="J22" s="351"/>
      <c r="K22" s="352"/>
    </row>
    <row r="23" spans="1:17" x14ac:dyDescent="0.3">
      <c r="A23" s="349">
        <v>8</v>
      </c>
      <c r="B23" s="350">
        <v>8</v>
      </c>
      <c r="C23" s="350">
        <v>6</v>
      </c>
      <c r="D23" s="353">
        <v>5</v>
      </c>
      <c r="E23" s="353">
        <v>4</v>
      </c>
      <c r="F23" s="353">
        <v>3</v>
      </c>
      <c r="G23" s="351"/>
      <c r="H23" s="351"/>
      <c r="I23" s="351"/>
      <c r="J23" s="351"/>
      <c r="K23" s="352"/>
    </row>
    <row r="24" spans="1:17" x14ac:dyDescent="0.3">
      <c r="A24" s="349">
        <v>9</v>
      </c>
      <c r="B24" s="350">
        <v>8</v>
      </c>
      <c r="C24" s="350">
        <v>6</v>
      </c>
      <c r="D24" s="353">
        <v>5</v>
      </c>
      <c r="E24" s="353">
        <v>4</v>
      </c>
      <c r="F24" s="353">
        <v>3</v>
      </c>
      <c r="G24" s="351"/>
      <c r="H24" s="351"/>
      <c r="I24" s="351"/>
      <c r="J24" s="351"/>
      <c r="K24" s="352"/>
    </row>
    <row r="25" spans="1:17" x14ac:dyDescent="0.3">
      <c r="A25" s="349">
        <v>10</v>
      </c>
      <c r="B25" s="350">
        <v>9</v>
      </c>
      <c r="C25" s="350">
        <v>6</v>
      </c>
      <c r="D25" s="353">
        <v>6</v>
      </c>
      <c r="E25" s="353">
        <v>5</v>
      </c>
      <c r="F25" s="353">
        <v>4</v>
      </c>
      <c r="G25" s="353">
        <v>3</v>
      </c>
      <c r="H25" s="351"/>
      <c r="I25" s="351"/>
      <c r="J25" s="351"/>
      <c r="K25" s="352"/>
      <c r="M25" s="299"/>
      <c r="N25" s="299"/>
      <c r="O25" s="299"/>
      <c r="P25" s="299"/>
      <c r="Q25" s="299"/>
    </row>
    <row r="26" spans="1:17" s="299" customFormat="1" x14ac:dyDescent="0.3">
      <c r="A26" s="349">
        <v>11</v>
      </c>
      <c r="B26" s="350">
        <v>9</v>
      </c>
      <c r="C26" s="350">
        <v>6</v>
      </c>
      <c r="D26" s="353">
        <v>6</v>
      </c>
      <c r="E26" s="353">
        <v>5</v>
      </c>
      <c r="F26" s="353">
        <v>4</v>
      </c>
      <c r="G26" s="353">
        <v>3</v>
      </c>
      <c r="H26" s="351"/>
      <c r="I26" s="351"/>
      <c r="J26" s="351"/>
      <c r="K26" s="352"/>
      <c r="L26" s="50"/>
      <c r="M26" s="50"/>
      <c r="N26" s="50"/>
      <c r="O26" s="50"/>
      <c r="P26" s="50"/>
      <c r="Q26" s="50"/>
    </row>
    <row r="27" spans="1:17" x14ac:dyDescent="0.3">
      <c r="A27" s="349">
        <v>12</v>
      </c>
      <c r="B27" s="350">
        <v>9</v>
      </c>
      <c r="C27" s="350">
        <v>6</v>
      </c>
      <c r="D27" s="353">
        <v>6</v>
      </c>
      <c r="E27" s="353">
        <v>6</v>
      </c>
      <c r="F27" s="353">
        <v>5</v>
      </c>
      <c r="G27" s="353">
        <v>4</v>
      </c>
      <c r="H27" s="353">
        <v>3</v>
      </c>
      <c r="I27" s="351"/>
      <c r="J27" s="351"/>
      <c r="K27" s="352"/>
      <c r="L27" s="299"/>
    </row>
    <row r="28" spans="1:17" x14ac:dyDescent="0.3">
      <c r="A28" s="349">
        <v>13</v>
      </c>
      <c r="B28" s="350">
        <v>9</v>
      </c>
      <c r="C28" s="350">
        <v>6</v>
      </c>
      <c r="D28" s="353">
        <v>6</v>
      </c>
      <c r="E28" s="353">
        <v>6</v>
      </c>
      <c r="F28" s="353">
        <v>5</v>
      </c>
      <c r="G28" s="353">
        <v>4</v>
      </c>
      <c r="H28" s="353">
        <v>3</v>
      </c>
      <c r="I28" s="351"/>
      <c r="J28" s="351"/>
      <c r="K28" s="352"/>
    </row>
    <row r="29" spans="1:17" x14ac:dyDescent="0.3">
      <c r="A29" s="349">
        <v>14</v>
      </c>
      <c r="B29" s="350">
        <v>9</v>
      </c>
      <c r="C29" s="350">
        <v>6</v>
      </c>
      <c r="D29" s="353">
        <v>6</v>
      </c>
      <c r="E29" s="353">
        <v>6</v>
      </c>
      <c r="F29" s="353">
        <v>6</v>
      </c>
      <c r="G29" s="353">
        <v>5</v>
      </c>
      <c r="H29" s="353">
        <v>4</v>
      </c>
      <c r="I29" s="353">
        <v>3</v>
      </c>
      <c r="J29" s="351"/>
      <c r="K29" s="352"/>
    </row>
    <row r="30" spans="1:17" x14ac:dyDescent="0.3">
      <c r="A30" s="349">
        <v>15</v>
      </c>
      <c r="B30" s="350">
        <v>9</v>
      </c>
      <c r="C30" s="350">
        <v>6</v>
      </c>
      <c r="D30" s="353">
        <v>6</v>
      </c>
      <c r="E30" s="353">
        <v>6</v>
      </c>
      <c r="F30" s="353">
        <v>6</v>
      </c>
      <c r="G30" s="353">
        <v>5</v>
      </c>
      <c r="H30" s="353">
        <v>4</v>
      </c>
      <c r="I30" s="353">
        <v>3</v>
      </c>
      <c r="J30" s="351"/>
      <c r="K30" s="352"/>
    </row>
    <row r="31" spans="1:17" x14ac:dyDescent="0.3">
      <c r="A31" s="349">
        <v>16</v>
      </c>
      <c r="B31" s="350">
        <v>9</v>
      </c>
      <c r="C31" s="350">
        <v>6</v>
      </c>
      <c r="D31" s="353">
        <v>6</v>
      </c>
      <c r="E31" s="353">
        <v>6</v>
      </c>
      <c r="F31" s="353">
        <v>6</v>
      </c>
      <c r="G31" s="353">
        <v>6</v>
      </c>
      <c r="H31" s="353">
        <v>5</v>
      </c>
      <c r="I31" s="353">
        <v>4</v>
      </c>
      <c r="J31" s="353">
        <v>3</v>
      </c>
      <c r="K31" s="352"/>
    </row>
    <row r="32" spans="1:17" x14ac:dyDescent="0.3">
      <c r="A32" s="349">
        <v>17</v>
      </c>
      <c r="B32" s="350">
        <v>9</v>
      </c>
      <c r="C32" s="350">
        <v>6</v>
      </c>
      <c r="D32" s="353">
        <v>6</v>
      </c>
      <c r="E32" s="353">
        <v>6</v>
      </c>
      <c r="F32" s="353">
        <v>6</v>
      </c>
      <c r="G32" s="353">
        <v>6</v>
      </c>
      <c r="H32" s="353">
        <v>5</v>
      </c>
      <c r="I32" s="353">
        <v>4</v>
      </c>
      <c r="J32" s="353">
        <v>3</v>
      </c>
      <c r="K32" s="352"/>
    </row>
    <row r="33" spans="1:11" x14ac:dyDescent="0.3">
      <c r="A33" s="361">
        <v>18</v>
      </c>
      <c r="B33" s="362">
        <v>9</v>
      </c>
      <c r="C33" s="362">
        <v>6</v>
      </c>
      <c r="D33" s="363">
        <v>6</v>
      </c>
      <c r="E33" s="363">
        <v>6</v>
      </c>
      <c r="F33" s="363">
        <v>6</v>
      </c>
      <c r="G33" s="363">
        <v>6</v>
      </c>
      <c r="H33" s="363">
        <v>6</v>
      </c>
      <c r="I33" s="363">
        <v>5</v>
      </c>
      <c r="J33" s="363">
        <v>4</v>
      </c>
      <c r="K33" s="364">
        <v>3</v>
      </c>
    </row>
    <row r="34" spans="1:11" x14ac:dyDescent="0.3">
      <c r="A34" s="361">
        <v>19</v>
      </c>
      <c r="B34" s="362">
        <v>9</v>
      </c>
      <c r="C34" s="362">
        <v>6</v>
      </c>
      <c r="D34" s="363">
        <v>6</v>
      </c>
      <c r="E34" s="363">
        <v>6</v>
      </c>
      <c r="F34" s="363">
        <v>6</v>
      </c>
      <c r="G34" s="363">
        <v>6</v>
      </c>
      <c r="H34" s="363">
        <v>6</v>
      </c>
      <c r="I34" s="363">
        <v>5</v>
      </c>
      <c r="J34" s="363">
        <v>4</v>
      </c>
      <c r="K34" s="364">
        <v>3</v>
      </c>
    </row>
    <row r="35" spans="1:11" ht="17.399999999999999" thickBot="1" x14ac:dyDescent="0.35">
      <c r="A35" s="356">
        <v>20</v>
      </c>
      <c r="B35" s="365" t="s">
        <v>243</v>
      </c>
      <c r="C35" s="357">
        <v>6</v>
      </c>
      <c r="D35" s="358">
        <v>6</v>
      </c>
      <c r="E35" s="358">
        <v>6</v>
      </c>
      <c r="F35" s="358">
        <v>6</v>
      </c>
      <c r="G35" s="358">
        <v>6</v>
      </c>
      <c r="H35" s="358">
        <v>6</v>
      </c>
      <c r="I35" s="358">
        <v>6</v>
      </c>
      <c r="J35" s="358">
        <v>5</v>
      </c>
      <c r="K35" s="359">
        <v>4</v>
      </c>
    </row>
    <row r="36" spans="1:11" ht="17.399999999999999" thickTop="1" x14ac:dyDescent="0.3"/>
  </sheetData>
  <conditionalFormatting sqref="Q3:Q5">
    <cfRule type="cellIs" dxfId="1" priority="2" operator="equal">
      <formula>"þ"</formula>
    </cfRule>
  </conditionalFormatting>
  <conditionalFormatting sqref="Q9:Q11">
    <cfRule type="cellIs" dxfId="0"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showGridLines="0" zoomScaleNormal="100" workbookViewId="0"/>
  </sheetViews>
  <sheetFormatPr defaultColWidth="13" defaultRowHeight="16.8" x14ac:dyDescent="0.3"/>
  <cols>
    <col min="1" max="1" width="37.09765625" style="50" bestFit="1" customWidth="1"/>
    <col min="2" max="2" width="2" style="19" bestFit="1" customWidth="1"/>
    <col min="3" max="3" width="39.3984375" style="50" bestFit="1" customWidth="1"/>
    <col min="4" max="4" width="2.19921875" style="50" customWidth="1"/>
    <col min="5" max="5" width="26.09765625" style="50" bestFit="1" customWidth="1"/>
    <col min="6" max="16384" width="13" style="50"/>
  </cols>
  <sheetData>
    <row r="1" spans="1:5" ht="24" thickTop="1" thickBot="1" x14ac:dyDescent="0.35">
      <c r="A1" s="70" t="s">
        <v>107</v>
      </c>
      <c r="C1" s="386" t="s">
        <v>240</v>
      </c>
      <c r="E1" s="477" t="s">
        <v>340</v>
      </c>
    </row>
    <row r="2" spans="1:5" x14ac:dyDescent="0.3">
      <c r="A2" s="71" t="s">
        <v>174</v>
      </c>
      <c r="C2" s="387" t="s">
        <v>241</v>
      </c>
      <c r="E2" s="478" t="str">
        <f>CONCATENATE("Detect Magic @ will, CL ",'Personal File'!$E$5)</f>
        <v>Detect Magic @ will, CL 2</v>
      </c>
    </row>
    <row r="3" spans="1:5" ht="17.399999999999999" thickBot="1" x14ac:dyDescent="0.35">
      <c r="A3" s="180" t="s">
        <v>221</v>
      </c>
      <c r="C3" s="388"/>
      <c r="E3" s="479"/>
    </row>
    <row r="4" spans="1:5" ht="18" thickTop="1" thickBot="1" x14ac:dyDescent="0.35">
      <c r="A4" s="72" t="str">
        <f>CONCATENATE("1st:  Protection Devotion +",2+ROUNDDOWN(SUM('Personal File'!$E$3:$E$5)/4,0))</f>
        <v>1st:  Protection Devotion +4</v>
      </c>
    </row>
    <row r="5" spans="1:5" ht="24" thickTop="1" thickBot="1" x14ac:dyDescent="0.35">
      <c r="A5" s="389" t="s">
        <v>242</v>
      </c>
      <c r="C5" s="384" t="s">
        <v>273</v>
      </c>
      <c r="E5" s="486" t="s">
        <v>345</v>
      </c>
    </row>
    <row r="6" spans="1:5" ht="17.399999999999999" thickBot="1" x14ac:dyDescent="0.35">
      <c r="A6" s="389" t="s">
        <v>301</v>
      </c>
      <c r="C6" s="385" t="s">
        <v>315</v>
      </c>
      <c r="E6" s="487" t="s">
        <v>346</v>
      </c>
    </row>
    <row r="7" spans="1:5" ht="18" thickTop="1" thickBot="1" x14ac:dyDescent="0.35">
      <c r="A7" s="389" t="s">
        <v>389</v>
      </c>
      <c r="C7" s="435" t="s">
        <v>316</v>
      </c>
    </row>
    <row r="8" spans="1:5" ht="24" thickTop="1" thickBot="1" x14ac:dyDescent="0.35">
      <c r="A8" s="569" t="s">
        <v>415</v>
      </c>
      <c r="C8" s="494" t="s">
        <v>275</v>
      </c>
      <c r="D8" s="437"/>
      <c r="E8" s="486" t="s">
        <v>393</v>
      </c>
    </row>
    <row r="9" spans="1:5" ht="18" thickTop="1" thickBot="1" x14ac:dyDescent="0.35">
      <c r="A9" s="25"/>
      <c r="C9" s="494" t="s">
        <v>359</v>
      </c>
      <c r="E9" s="568" t="s">
        <v>413</v>
      </c>
    </row>
    <row r="10" spans="1:5" ht="24" thickTop="1" thickBot="1" x14ac:dyDescent="0.35">
      <c r="A10" s="157" t="s">
        <v>84</v>
      </c>
      <c r="C10" s="494" t="s">
        <v>356</v>
      </c>
      <c r="E10" s="570" t="s">
        <v>414</v>
      </c>
    </row>
    <row r="11" spans="1:5" ht="21" thickBot="1" x14ac:dyDescent="0.35">
      <c r="A11" s="73" t="s">
        <v>85</v>
      </c>
      <c r="C11" s="443" t="s">
        <v>322</v>
      </c>
      <c r="E11" s="487" t="s">
        <v>394</v>
      </c>
    </row>
    <row r="12" spans="1:5" ht="18" thickTop="1" thickBot="1" x14ac:dyDescent="0.35">
      <c r="A12" s="8" t="s">
        <v>384</v>
      </c>
      <c r="B12" s="441">
        <v>1</v>
      </c>
      <c r="C12" s="442" t="s">
        <v>317</v>
      </c>
      <c r="D12" s="437">
        <f t="shared" ref="D12:D16" ca="1" si="0">RAND()</f>
        <v>0.30195989808942669</v>
      </c>
    </row>
    <row r="13" spans="1:5" ht="24" thickTop="1" thickBot="1" x14ac:dyDescent="0.35">
      <c r="A13" s="74" t="s">
        <v>237</v>
      </c>
      <c r="B13" s="441">
        <v>2</v>
      </c>
      <c r="C13" s="442" t="s">
        <v>318</v>
      </c>
      <c r="D13" s="437">
        <f t="shared" ca="1" si="0"/>
        <v>0.88033377278619018</v>
      </c>
      <c r="E13" s="438" t="s">
        <v>277</v>
      </c>
    </row>
    <row r="14" spans="1:5" ht="18" thickTop="1" thickBot="1" x14ac:dyDescent="0.35">
      <c r="A14" s="25"/>
      <c r="B14" s="441">
        <v>3</v>
      </c>
      <c r="C14" s="442" t="s">
        <v>319</v>
      </c>
      <c r="D14" s="437">
        <f t="shared" ca="1" si="0"/>
        <v>0.17359224092686498</v>
      </c>
      <c r="E14" s="439" t="str">
        <f ca="1">VLOOKUP(MATCH(LARGE($D$12:$D$16,1),$D$12:$D$16,0),$B$12:$C$16,2,FALSE)</f>
        <v>Shield Block</v>
      </c>
    </row>
    <row r="15" spans="1:5" ht="24" thickTop="1" thickBot="1" x14ac:dyDescent="0.35">
      <c r="A15" s="158" t="s">
        <v>70</v>
      </c>
      <c r="B15" s="441">
        <v>4</v>
      </c>
      <c r="C15" s="442" t="s">
        <v>320</v>
      </c>
      <c r="D15" s="437">
        <f t="shared" ca="1" si="0"/>
        <v>0.69387605960157206</v>
      </c>
      <c r="E15" s="439" t="str">
        <f ca="1">VLOOKUP(MATCH(LARGE($D$12:$D$16,2),$D$12:$D$16,0),$B$12:$C$16,2,FALSE)</f>
        <v>Crusader’s Strike</v>
      </c>
    </row>
    <row r="16" spans="1:5" ht="17.399999999999999" thickBot="1" x14ac:dyDescent="0.35">
      <c r="A16" s="75" t="s">
        <v>405</v>
      </c>
      <c r="B16" s="441">
        <v>5</v>
      </c>
      <c r="C16" s="495" t="s">
        <v>321</v>
      </c>
      <c r="D16" s="437">
        <f t="shared" ca="1" si="0"/>
        <v>0.17980153552978528</v>
      </c>
      <c r="E16" s="439" t="str">
        <f ca="1">VLOOKUP(MATCH(LARGE($D$12:$D$16,3),$D$12:$D$16,0),$B$12:$C$16,2,FALSE)</f>
        <v>Foehammer</v>
      </c>
    </row>
    <row r="17" spans="1:5" ht="17.399999999999999" thickTop="1" x14ac:dyDescent="0.3">
      <c r="C17" s="19"/>
      <c r="E17" s="439" t="str">
        <f ca="1">VLOOKUP(MATCH(LARGE($D$12:$D$16,4),$D$12:$D$16,0),$B$12:$C$16,2,FALSE)</f>
        <v>Battle Leader’s Charge</v>
      </c>
    </row>
    <row r="18" spans="1:5" ht="17.399999999999999" thickBot="1" x14ac:dyDescent="0.35">
      <c r="E18" s="440" t="str">
        <f ca="1">VLOOKUP(MATCH(LARGE($D$12:$D$16,5),$D$12:$D$16,0),$B$12:$C$16,2,FALSE)</f>
        <v>Stone Vise</v>
      </c>
    </row>
    <row r="19" spans="1:5" ht="17.399999999999999" thickTop="1" x14ac:dyDescent="0.3"/>
    <row r="24" spans="1:5" x14ac:dyDescent="0.3">
      <c r="D24" s="299"/>
    </row>
    <row r="25" spans="1:5" s="299" customFormat="1" x14ac:dyDescent="0.3">
      <c r="A25" s="50"/>
      <c r="B25" s="436"/>
      <c r="C25" s="50"/>
      <c r="D25" s="50"/>
      <c r="E25" s="50"/>
    </row>
    <row r="27" spans="1:5" x14ac:dyDescent="0.3">
      <c r="E27" s="299"/>
    </row>
    <row r="28" spans="1:5" x14ac:dyDescent="0.3">
      <c r="A28" s="299"/>
    </row>
    <row r="29" spans="1:5" x14ac:dyDescent="0.3">
      <c r="C29" s="299"/>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2"/>
  <sheetViews>
    <sheetView showGridLines="0" workbookViewId="0"/>
  </sheetViews>
  <sheetFormatPr defaultColWidth="13" defaultRowHeight="15.6" x14ac:dyDescent="0.3"/>
  <cols>
    <col min="1" max="1" width="31.59765625" style="77" bestFit="1" customWidth="1"/>
    <col min="2" max="2" width="9.296875" style="77" bestFit="1" customWidth="1"/>
    <col min="3" max="3" width="4.296875" style="77" bestFit="1" customWidth="1"/>
    <col min="4" max="4" width="6.5" style="77" bestFit="1" customWidth="1"/>
    <col min="5" max="5" width="8.09765625" style="77" bestFit="1" customWidth="1"/>
    <col min="6" max="6" width="9.8984375" style="77" bestFit="1" customWidth="1"/>
    <col min="7" max="7" width="4.3984375" style="77" bestFit="1" customWidth="1"/>
    <col min="8" max="8" width="4.69921875" style="77" bestFit="1" customWidth="1"/>
    <col min="9" max="9" width="5.69921875" style="77" bestFit="1" customWidth="1"/>
    <col min="10" max="10" width="6.296875" style="77" bestFit="1" customWidth="1"/>
    <col min="11" max="11" width="15.296875" style="77" bestFit="1" customWidth="1"/>
    <col min="12" max="12" width="1.3984375" style="15" customWidth="1"/>
    <col min="13" max="13" width="5.796875" style="15" bestFit="1" customWidth="1"/>
    <col min="14" max="16384" width="13" style="15"/>
  </cols>
  <sheetData>
    <row r="1" spans="1:13" ht="23.4" thickBot="1" x14ac:dyDescent="0.35">
      <c r="A1" s="69" t="s">
        <v>15</v>
      </c>
      <c r="B1" s="69"/>
      <c r="C1" s="69"/>
      <c r="D1" s="69"/>
      <c r="E1" s="69"/>
      <c r="F1" s="69"/>
      <c r="G1" s="69"/>
      <c r="H1" s="69"/>
      <c r="I1" s="69"/>
      <c r="J1" s="69"/>
      <c r="K1" s="69"/>
    </row>
    <row r="2" spans="1:13" ht="16.8" thickTop="1" thickBot="1" x14ac:dyDescent="0.35">
      <c r="A2" s="98" t="s">
        <v>1</v>
      </c>
      <c r="B2" s="99" t="s">
        <v>2</v>
      </c>
      <c r="C2" s="99" t="s">
        <v>19</v>
      </c>
      <c r="D2" s="99" t="s">
        <v>20</v>
      </c>
      <c r="E2" s="100" t="s">
        <v>53</v>
      </c>
      <c r="F2" s="99" t="s">
        <v>16</v>
      </c>
      <c r="G2" s="99" t="s">
        <v>21</v>
      </c>
      <c r="H2" s="101" t="s">
        <v>86</v>
      </c>
      <c r="I2" s="102" t="s">
        <v>108</v>
      </c>
      <c r="J2" s="101" t="s">
        <v>77</v>
      </c>
      <c r="K2" s="103" t="s">
        <v>75</v>
      </c>
      <c r="M2" s="547" t="s">
        <v>121</v>
      </c>
    </row>
    <row r="3" spans="1:13" x14ac:dyDescent="0.3">
      <c r="A3" s="318" t="s">
        <v>308</v>
      </c>
      <c r="B3" s="319" t="s">
        <v>326</v>
      </c>
      <c r="C3" s="319" t="str">
        <f>'Personal File'!$C$12</f>
        <v>+2</v>
      </c>
      <c r="D3" s="319">
        <f>1+1</f>
        <v>2</v>
      </c>
      <c r="E3" s="320" t="s">
        <v>125</v>
      </c>
      <c r="F3" s="319" t="s">
        <v>182</v>
      </c>
      <c r="G3" s="321">
        <v>6</v>
      </c>
      <c r="H3" s="319" t="str">
        <f>CONCATENATE("+",'Personal File'!$B$10+'Personal File'!$C$12+D3)</f>
        <v>+12</v>
      </c>
      <c r="I3" s="537">
        <f ca="1">RANDBETWEEN(1,20)</f>
        <v>15</v>
      </c>
      <c r="J3" s="322">
        <f ca="1">I3+H3</f>
        <v>27</v>
      </c>
      <c r="K3" s="323"/>
      <c r="M3" s="546">
        <v>2335</v>
      </c>
    </row>
    <row r="4" spans="1:13" x14ac:dyDescent="0.3">
      <c r="A4" s="318" t="s">
        <v>367</v>
      </c>
      <c r="B4" s="319" t="s">
        <v>326</v>
      </c>
      <c r="C4" s="319" t="str">
        <f>'Personal File'!$C$12</f>
        <v>+2</v>
      </c>
      <c r="D4" s="319">
        <f>1+1</f>
        <v>2</v>
      </c>
      <c r="E4" s="320" t="s">
        <v>125</v>
      </c>
      <c r="F4" s="319" t="s">
        <v>182</v>
      </c>
      <c r="G4" s="321" t="s">
        <v>126</v>
      </c>
      <c r="H4" s="319" t="str">
        <f>CONCATENATE("+",H3-5)</f>
        <v>+7</v>
      </c>
      <c r="I4" s="537">
        <f ca="1">RANDBETWEEN(1,20)</f>
        <v>19</v>
      </c>
      <c r="J4" s="322">
        <f ca="1">I4+H4</f>
        <v>26</v>
      </c>
      <c r="K4" s="323"/>
      <c r="M4" s="496" t="s">
        <v>126</v>
      </c>
    </row>
    <row r="5" spans="1:13" x14ac:dyDescent="0.3">
      <c r="A5" s="516" t="s">
        <v>377</v>
      </c>
      <c r="B5" s="517" t="s">
        <v>257</v>
      </c>
      <c r="C5" s="518" t="s">
        <v>375</v>
      </c>
      <c r="D5" s="518" t="s">
        <v>376</v>
      </c>
      <c r="E5" s="535" t="s">
        <v>126</v>
      </c>
      <c r="F5" s="535" t="s">
        <v>126</v>
      </c>
      <c r="G5" s="535" t="s">
        <v>126</v>
      </c>
      <c r="H5" s="535" t="s">
        <v>126</v>
      </c>
      <c r="I5" s="544" t="s">
        <v>126</v>
      </c>
      <c r="J5" s="535" t="s">
        <v>126</v>
      </c>
      <c r="K5" s="545"/>
      <c r="L5" s="536"/>
      <c r="M5" s="503">
        <v>1000</v>
      </c>
    </row>
    <row r="6" spans="1:13" x14ac:dyDescent="0.3">
      <c r="A6" s="318" t="s">
        <v>378</v>
      </c>
      <c r="B6" s="319" t="s">
        <v>380</v>
      </c>
      <c r="C6" s="319" t="str">
        <f>'Personal File'!$C$12</f>
        <v>+2</v>
      </c>
      <c r="D6" s="319">
        <f>1</f>
        <v>1</v>
      </c>
      <c r="E6" s="320" t="s">
        <v>127</v>
      </c>
      <c r="F6" s="319" t="s">
        <v>132</v>
      </c>
      <c r="G6" s="321">
        <v>5</v>
      </c>
      <c r="H6" s="319" t="str">
        <f>CONCATENATE("+",'Personal File'!$B$10+'Personal File'!$C$12+D6)</f>
        <v>+11</v>
      </c>
      <c r="I6" s="537">
        <f ca="1">RANDBETWEEN(1,20)</f>
        <v>9</v>
      </c>
      <c r="J6" s="322">
        <f ca="1">I6+H6</f>
        <v>20</v>
      </c>
      <c r="K6" s="323"/>
      <c r="M6" s="546">
        <v>398</v>
      </c>
    </row>
    <row r="7" spans="1:13" x14ac:dyDescent="0.3">
      <c r="A7" s="318" t="s">
        <v>374</v>
      </c>
      <c r="B7" s="319" t="s">
        <v>380</v>
      </c>
      <c r="C7" s="319" t="str">
        <f>'Personal File'!$C$12</f>
        <v>+2</v>
      </c>
      <c r="D7" s="319">
        <f>1</f>
        <v>1</v>
      </c>
      <c r="E7" s="320" t="s">
        <v>127</v>
      </c>
      <c r="F7" s="319" t="s">
        <v>132</v>
      </c>
      <c r="G7" s="321" t="s">
        <v>126</v>
      </c>
      <c r="H7" s="319" t="str">
        <f>CONCATENATE("+",H6-5)</f>
        <v>+6</v>
      </c>
      <c r="I7" s="537">
        <f ca="1">RANDBETWEEN(1,20)</f>
        <v>2</v>
      </c>
      <c r="J7" s="322">
        <f ca="1">I7+H7</f>
        <v>8</v>
      </c>
      <c r="K7" s="323"/>
      <c r="M7" s="496" t="s">
        <v>126</v>
      </c>
    </row>
    <row r="8" spans="1:13" x14ac:dyDescent="0.3">
      <c r="A8" s="497" t="s">
        <v>372</v>
      </c>
      <c r="B8" s="499" t="s">
        <v>257</v>
      </c>
      <c r="C8" s="499" t="s">
        <v>126</v>
      </c>
      <c r="D8" s="499" t="s">
        <v>126</v>
      </c>
      <c r="E8" s="498" t="s">
        <v>126</v>
      </c>
      <c r="F8" s="499" t="s">
        <v>126</v>
      </c>
      <c r="G8" s="500">
        <v>0</v>
      </c>
      <c r="H8" s="499" t="s">
        <v>126</v>
      </c>
      <c r="I8" s="538" t="s">
        <v>126</v>
      </c>
      <c r="J8" s="501" t="s">
        <v>126</v>
      </c>
      <c r="K8" s="502" t="s">
        <v>379</v>
      </c>
      <c r="L8" s="129"/>
      <c r="M8" s="503">
        <v>1000</v>
      </c>
    </row>
    <row r="9" spans="1:13" x14ac:dyDescent="0.3">
      <c r="A9" s="318" t="s">
        <v>185</v>
      </c>
      <c r="B9" s="319" t="s">
        <v>213</v>
      </c>
      <c r="C9" s="319" t="str">
        <f>'Personal File'!$C$12</f>
        <v>+2</v>
      </c>
      <c r="D9" s="319">
        <v>0</v>
      </c>
      <c r="E9" s="320" t="s">
        <v>125</v>
      </c>
      <c r="F9" s="319" t="s">
        <v>333</v>
      </c>
      <c r="G9" s="321">
        <v>1</v>
      </c>
      <c r="H9" s="319" t="str">
        <f>CONCATENATE("+",'Personal File'!$B$10+'Personal File'!$C$12+D9)</f>
        <v>+10</v>
      </c>
      <c r="I9" s="537">
        <f t="shared" ref="I9:I17" ca="1" si="0">RANDBETWEEN(1,20)</f>
        <v>2</v>
      </c>
      <c r="J9" s="322">
        <f t="shared" ref="J9:J17" ca="1" si="1">I9+H9</f>
        <v>12</v>
      </c>
      <c r="K9" s="323"/>
      <c r="M9" s="496">
        <v>2</v>
      </c>
    </row>
    <row r="10" spans="1:13" x14ac:dyDescent="0.3">
      <c r="A10" s="497" t="s">
        <v>366</v>
      </c>
      <c r="B10" s="499" t="s">
        <v>213</v>
      </c>
      <c r="C10" s="499" t="str">
        <f>'Personal File'!$C$12</f>
        <v>+2</v>
      </c>
      <c r="D10" s="499">
        <v>0</v>
      </c>
      <c r="E10" s="498" t="s">
        <v>125</v>
      </c>
      <c r="F10" s="499" t="s">
        <v>333</v>
      </c>
      <c r="G10" s="500" t="s">
        <v>126</v>
      </c>
      <c r="H10" s="499" t="str">
        <f>CONCATENATE("+",H9-5)</f>
        <v>+5</v>
      </c>
      <c r="I10" s="538">
        <f t="shared" ca="1" si="0"/>
        <v>16</v>
      </c>
      <c r="J10" s="501">
        <f t="shared" ca="1" si="1"/>
        <v>21</v>
      </c>
      <c r="K10" s="502"/>
      <c r="M10" s="503" t="s">
        <v>126</v>
      </c>
    </row>
    <row r="11" spans="1:13" x14ac:dyDescent="0.3">
      <c r="A11" s="318" t="s">
        <v>323</v>
      </c>
      <c r="B11" s="319" t="s">
        <v>213</v>
      </c>
      <c r="C11" s="319" t="str">
        <f>'Personal File'!$C$12</f>
        <v>+2</v>
      </c>
      <c r="D11" s="319">
        <v>0</v>
      </c>
      <c r="E11" s="320" t="s">
        <v>127</v>
      </c>
      <c r="F11" s="319" t="s">
        <v>214</v>
      </c>
      <c r="G11" s="321">
        <v>1</v>
      </c>
      <c r="H11" s="319" t="str">
        <f>CONCATENATE("+",'Personal File'!$B$10+'Personal File'!$C$12+D11)</f>
        <v>+10</v>
      </c>
      <c r="I11" s="537">
        <f t="shared" ca="1" si="0"/>
        <v>16</v>
      </c>
      <c r="J11" s="322">
        <f t="shared" ca="1" si="1"/>
        <v>26</v>
      </c>
      <c r="K11" s="323" t="s">
        <v>186</v>
      </c>
      <c r="M11" s="496">
        <v>10</v>
      </c>
    </row>
    <row r="12" spans="1:13" x14ac:dyDescent="0.3">
      <c r="A12" s="497" t="s">
        <v>365</v>
      </c>
      <c r="B12" s="499" t="s">
        <v>213</v>
      </c>
      <c r="C12" s="499" t="str">
        <f>'Personal File'!$C$12</f>
        <v>+2</v>
      </c>
      <c r="D12" s="499">
        <v>0</v>
      </c>
      <c r="E12" s="498" t="s">
        <v>127</v>
      </c>
      <c r="F12" s="499" t="s">
        <v>214</v>
      </c>
      <c r="G12" s="500" t="s">
        <v>126</v>
      </c>
      <c r="H12" s="499" t="str">
        <f>CONCATENATE("+",H11-5)</f>
        <v>+5</v>
      </c>
      <c r="I12" s="538">
        <f t="shared" ca="1" si="0"/>
        <v>10</v>
      </c>
      <c r="J12" s="501">
        <f t="shared" ca="1" si="1"/>
        <v>15</v>
      </c>
      <c r="K12" s="502"/>
      <c r="M12" s="503" t="s">
        <v>126</v>
      </c>
    </row>
    <row r="13" spans="1:13" x14ac:dyDescent="0.3">
      <c r="A13" s="318" t="s">
        <v>324</v>
      </c>
      <c r="B13" s="319" t="s">
        <v>381</v>
      </c>
      <c r="C13" s="319">
        <f>('Personal File'!$C$12/2)</f>
        <v>1</v>
      </c>
      <c r="D13" s="319">
        <v>0</v>
      </c>
      <c r="E13" s="320" t="s">
        <v>127</v>
      </c>
      <c r="F13" s="319" t="s">
        <v>214</v>
      </c>
      <c r="G13" s="321">
        <v>1</v>
      </c>
      <c r="H13" s="319" t="str">
        <f>CONCATENATE("+",'Personal File'!$B$10+'Personal File'!$C$12+D13)</f>
        <v>+10</v>
      </c>
      <c r="I13" s="537">
        <f t="shared" ca="1" si="0"/>
        <v>19</v>
      </c>
      <c r="J13" s="322">
        <f t="shared" ca="1" si="1"/>
        <v>29</v>
      </c>
      <c r="K13" s="323" t="s">
        <v>187</v>
      </c>
      <c r="M13" s="496">
        <v>25</v>
      </c>
    </row>
    <row r="14" spans="1:13" x14ac:dyDescent="0.3">
      <c r="A14" s="497" t="s">
        <v>365</v>
      </c>
      <c r="B14" s="499" t="s">
        <v>381</v>
      </c>
      <c r="C14" s="499">
        <f>('Personal File'!$C$12/2)</f>
        <v>1</v>
      </c>
      <c r="D14" s="499">
        <v>0</v>
      </c>
      <c r="E14" s="498" t="s">
        <v>127</v>
      </c>
      <c r="F14" s="499" t="s">
        <v>214</v>
      </c>
      <c r="G14" s="500" t="s">
        <v>126</v>
      </c>
      <c r="H14" s="499" t="str">
        <f>CONCATENATE("+",H13-5)</f>
        <v>+5</v>
      </c>
      <c r="I14" s="538">
        <f t="shared" ca="1" si="0"/>
        <v>3</v>
      </c>
      <c r="J14" s="501">
        <f t="shared" ca="1" si="1"/>
        <v>8</v>
      </c>
      <c r="K14" s="502"/>
      <c r="M14" s="503" t="s">
        <v>126</v>
      </c>
    </row>
    <row r="15" spans="1:13" x14ac:dyDescent="0.3">
      <c r="A15" s="504" t="s">
        <v>130</v>
      </c>
      <c r="B15" s="319" t="s">
        <v>131</v>
      </c>
      <c r="C15" s="505" t="str">
        <f>'Personal File'!$C$12</f>
        <v>+2</v>
      </c>
      <c r="D15" s="505">
        <v>0</v>
      </c>
      <c r="E15" s="506" t="s">
        <v>127</v>
      </c>
      <c r="F15" s="377" t="s">
        <v>132</v>
      </c>
      <c r="G15" s="472">
        <v>0</v>
      </c>
      <c r="H15" s="472" t="str">
        <f>CONCATENATE("+",'Personal File'!$B$10+'Personal File'!$C$12+D15)</f>
        <v>+10</v>
      </c>
      <c r="I15" s="537">
        <f t="shared" ca="1" si="0"/>
        <v>19</v>
      </c>
      <c r="J15" s="507">
        <f t="shared" ca="1" si="1"/>
        <v>29</v>
      </c>
      <c r="K15" s="323"/>
      <c r="M15" s="508" t="s">
        <v>126</v>
      </c>
    </row>
    <row r="16" spans="1:13" x14ac:dyDescent="0.3">
      <c r="A16" s="516" t="s">
        <v>364</v>
      </c>
      <c r="B16" s="517" t="s">
        <v>131</v>
      </c>
      <c r="C16" s="518" t="str">
        <f>'Personal File'!$C$12</f>
        <v>+2</v>
      </c>
      <c r="D16" s="518">
        <v>0</v>
      </c>
      <c r="E16" s="519" t="s">
        <v>127</v>
      </c>
      <c r="F16" s="520" t="s">
        <v>132</v>
      </c>
      <c r="G16" s="521">
        <v>0</v>
      </c>
      <c r="H16" s="521" t="str">
        <f>CONCATENATE("+",H15-5)</f>
        <v>+5</v>
      </c>
      <c r="I16" s="539">
        <f t="shared" ca="1" si="0"/>
        <v>7</v>
      </c>
      <c r="J16" s="522">
        <f t="shared" ca="1" si="1"/>
        <v>12</v>
      </c>
      <c r="K16" s="523"/>
      <c r="M16" s="524" t="s">
        <v>126</v>
      </c>
    </row>
    <row r="17" spans="1:13" ht="16.2" thickBot="1" x14ac:dyDescent="0.35">
      <c r="A17" s="509" t="s">
        <v>347</v>
      </c>
      <c r="B17" s="510" t="s">
        <v>126</v>
      </c>
      <c r="C17" s="510" t="s">
        <v>126</v>
      </c>
      <c r="D17" s="510">
        <v>0</v>
      </c>
      <c r="E17" s="511" t="s">
        <v>126</v>
      </c>
      <c r="F17" s="510" t="s">
        <v>126</v>
      </c>
      <c r="G17" s="512" t="s">
        <v>126</v>
      </c>
      <c r="H17" s="510" t="str">
        <f>CONCATENATE("+",'Personal File'!$B$10+'Personal File'!$C$13+D17)</f>
        <v>+10</v>
      </c>
      <c r="I17" s="540">
        <f t="shared" ca="1" si="0"/>
        <v>14</v>
      </c>
      <c r="J17" s="513">
        <f t="shared" ca="1" si="1"/>
        <v>24</v>
      </c>
      <c r="K17" s="514"/>
      <c r="M17" s="515" t="s">
        <v>126</v>
      </c>
    </row>
    <row r="18" spans="1:13" ht="6" customHeight="1" thickTop="1" thickBot="1" x14ac:dyDescent="0.35"/>
    <row r="19" spans="1:13" ht="16.8" thickTop="1" thickBot="1" x14ac:dyDescent="0.35">
      <c r="A19" s="98" t="s">
        <v>4</v>
      </c>
      <c r="B19" s="99" t="s">
        <v>5</v>
      </c>
      <c r="C19" s="99" t="s">
        <v>19</v>
      </c>
      <c r="D19" s="99" t="s">
        <v>20</v>
      </c>
      <c r="E19" s="100" t="s">
        <v>53</v>
      </c>
      <c r="F19" s="99" t="s">
        <v>6</v>
      </c>
      <c r="G19" s="99" t="s">
        <v>21</v>
      </c>
      <c r="H19" s="101" t="s">
        <v>86</v>
      </c>
      <c r="I19" s="541" t="s">
        <v>108</v>
      </c>
      <c r="J19" s="101" t="s">
        <v>77</v>
      </c>
      <c r="K19" s="103" t="s">
        <v>75</v>
      </c>
      <c r="L19" s="129"/>
      <c r="M19" s="115" t="s">
        <v>121</v>
      </c>
    </row>
    <row r="20" spans="1:13" x14ac:dyDescent="0.3">
      <c r="A20" s="141" t="s">
        <v>141</v>
      </c>
      <c r="B20" s="142" t="s">
        <v>126</v>
      </c>
      <c r="C20" s="142" t="s">
        <v>126</v>
      </c>
      <c r="D20" s="142">
        <v>0</v>
      </c>
      <c r="E20" s="143" t="s">
        <v>126</v>
      </c>
      <c r="F20" s="142" t="s">
        <v>126</v>
      </c>
      <c r="G20" s="142" t="s">
        <v>126</v>
      </c>
      <c r="H20" s="142" t="str">
        <f>CONCATENATE("+",Spellcasting!$D$10+D20)</f>
        <v>+6</v>
      </c>
      <c r="I20" s="542">
        <f t="shared" ref="I20:I27" ca="1" si="2">RANDBETWEEN(1,20)</f>
        <v>9</v>
      </c>
      <c r="J20" s="146">
        <f t="shared" ref="J20:J27" ca="1" si="3">I20+H20</f>
        <v>15</v>
      </c>
      <c r="K20" s="144"/>
      <c r="L20" s="129"/>
      <c r="M20" s="145" t="s">
        <v>126</v>
      </c>
    </row>
    <row r="21" spans="1:13" x14ac:dyDescent="0.3">
      <c r="A21" s="554" t="s">
        <v>387</v>
      </c>
      <c r="B21" s="555" t="s">
        <v>126</v>
      </c>
      <c r="C21" s="555" t="s">
        <v>126</v>
      </c>
      <c r="D21" s="555">
        <v>0</v>
      </c>
      <c r="E21" s="556" t="s">
        <v>126</v>
      </c>
      <c r="F21" s="555" t="s">
        <v>126</v>
      </c>
      <c r="G21" s="555" t="s">
        <v>126</v>
      </c>
      <c r="H21" s="555" t="str">
        <f>CONCATENATE("+",Spellcasting!D10+D21)</f>
        <v>+6</v>
      </c>
      <c r="I21" s="542">
        <f t="shared" ca="1" si="2"/>
        <v>19</v>
      </c>
      <c r="J21" s="146">
        <f t="shared" ca="1" si="3"/>
        <v>25</v>
      </c>
      <c r="K21" s="557"/>
      <c r="L21" s="129"/>
      <c r="M21" s="145"/>
    </row>
    <row r="22" spans="1:13" x14ac:dyDescent="0.3">
      <c r="A22" s="147" t="s">
        <v>244</v>
      </c>
      <c r="B22" s="117" t="s">
        <v>122</v>
      </c>
      <c r="C22" s="148" t="s">
        <v>51</v>
      </c>
      <c r="D22" s="148" t="s">
        <v>245</v>
      </c>
      <c r="E22" s="117" t="s">
        <v>125</v>
      </c>
      <c r="F22" s="148" t="s">
        <v>133</v>
      </c>
      <c r="G22" s="118">
        <v>4</v>
      </c>
      <c r="H22" s="118" t="str">
        <f>CONCATENATE("+",'Personal File'!$B$10+'Personal File'!$C$13+D22)</f>
        <v>+11</v>
      </c>
      <c r="I22" s="542">
        <f t="shared" ca="1" si="2"/>
        <v>20</v>
      </c>
      <c r="J22" s="119">
        <f t="shared" ca="1" si="3"/>
        <v>31</v>
      </c>
      <c r="K22" s="149"/>
      <c r="L22" s="129"/>
      <c r="M22" s="130">
        <v>335</v>
      </c>
    </row>
    <row r="23" spans="1:13" x14ac:dyDescent="0.3">
      <c r="A23" s="147" t="s">
        <v>189</v>
      </c>
      <c r="B23" s="525" t="s">
        <v>257</v>
      </c>
      <c r="C23" s="148" t="s">
        <v>51</v>
      </c>
      <c r="D23" s="148" t="s">
        <v>51</v>
      </c>
      <c r="E23" s="117">
        <v>20</v>
      </c>
      <c r="F23" s="148" t="s">
        <v>212</v>
      </c>
      <c r="G23" s="118" t="s">
        <v>354</v>
      </c>
      <c r="H23" s="118" t="str">
        <f>CONCATENATE("+",'Personal File'!$B$10+'Personal File'!$C$13+D23)</f>
        <v>+10</v>
      </c>
      <c r="I23" s="542">
        <f t="shared" ca="1" si="2"/>
        <v>11</v>
      </c>
      <c r="J23" s="119">
        <f t="shared" ca="1" si="3"/>
        <v>21</v>
      </c>
      <c r="K23" s="149">
        <v>1</v>
      </c>
      <c r="L23" s="129"/>
      <c r="M23" s="130">
        <f>10*K23</f>
        <v>10</v>
      </c>
    </row>
    <row r="24" spans="1:13" x14ac:dyDescent="0.3">
      <c r="A24" s="147" t="s">
        <v>190</v>
      </c>
      <c r="B24" s="368" t="s">
        <v>257</v>
      </c>
      <c r="C24" s="148" t="s">
        <v>51</v>
      </c>
      <c r="D24" s="148" t="s">
        <v>51</v>
      </c>
      <c r="E24" s="117">
        <v>20</v>
      </c>
      <c r="F24" s="148" t="s">
        <v>212</v>
      </c>
      <c r="G24" s="118">
        <f>K24</f>
        <v>1</v>
      </c>
      <c r="H24" s="118" t="str">
        <f>CONCATENATE("+",'Personal File'!$B$10+'Personal File'!$C$13+D24)</f>
        <v>+10</v>
      </c>
      <c r="I24" s="542">
        <f t="shared" ca="1" si="2"/>
        <v>17</v>
      </c>
      <c r="J24" s="119">
        <f t="shared" ca="1" si="3"/>
        <v>27</v>
      </c>
      <c r="K24" s="149">
        <v>1</v>
      </c>
      <c r="L24" s="129"/>
      <c r="M24" s="130">
        <f>10*K24</f>
        <v>10</v>
      </c>
    </row>
    <row r="25" spans="1:13" x14ac:dyDescent="0.3">
      <c r="A25" s="567" t="s">
        <v>406</v>
      </c>
      <c r="B25" s="427" t="s">
        <v>407</v>
      </c>
      <c r="C25" s="148" t="s">
        <v>51</v>
      </c>
      <c r="D25" s="148" t="s">
        <v>51</v>
      </c>
      <c r="E25" s="427">
        <v>20</v>
      </c>
      <c r="F25" s="148" t="s">
        <v>212</v>
      </c>
      <c r="G25" s="531" t="s">
        <v>126</v>
      </c>
      <c r="H25" s="118" t="str">
        <f>CONCATENATE("+",'Personal File'!$B$10+'Personal File'!$C$13+D25-5)</f>
        <v>+5</v>
      </c>
      <c r="I25" s="542">
        <f t="shared" ca="1" si="2"/>
        <v>5</v>
      </c>
      <c r="J25" s="119">
        <f t="shared" ref="J25" ca="1" si="4">I25+H25</f>
        <v>10</v>
      </c>
      <c r="K25" s="149"/>
      <c r="L25" s="129"/>
      <c r="M25" s="131"/>
    </row>
    <row r="26" spans="1:13" x14ac:dyDescent="0.3">
      <c r="A26" s="429" t="s">
        <v>293</v>
      </c>
      <c r="B26" s="526" t="s">
        <v>257</v>
      </c>
      <c r="C26" s="430" t="s">
        <v>51</v>
      </c>
      <c r="D26" s="430" t="s">
        <v>51</v>
      </c>
      <c r="E26" s="431" t="s">
        <v>127</v>
      </c>
      <c r="F26" s="430" t="s">
        <v>314</v>
      </c>
      <c r="G26" s="432" t="s">
        <v>126</v>
      </c>
      <c r="H26" s="432" t="str">
        <f>CONCATENATE("+",'Personal File'!$B$10+'Personal File'!$C$13+D26)</f>
        <v>+10</v>
      </c>
      <c r="I26" s="542">
        <f t="shared" ca="1" si="2"/>
        <v>16</v>
      </c>
      <c r="J26" s="433">
        <f t="shared" ca="1" si="3"/>
        <v>26</v>
      </c>
      <c r="K26" s="434"/>
      <c r="L26" s="129"/>
      <c r="M26" s="428" t="s">
        <v>126</v>
      </c>
    </row>
    <row r="27" spans="1:13" ht="16.2" thickBot="1" x14ac:dyDescent="0.35">
      <c r="A27" s="324" t="s">
        <v>142</v>
      </c>
      <c r="B27" s="150" t="s">
        <v>126</v>
      </c>
      <c r="C27" s="150" t="s">
        <v>126</v>
      </c>
      <c r="D27" s="150">
        <v>0</v>
      </c>
      <c r="E27" s="151" t="s">
        <v>126</v>
      </c>
      <c r="F27" s="150" t="s">
        <v>126</v>
      </c>
      <c r="G27" s="150" t="s">
        <v>126</v>
      </c>
      <c r="H27" s="150" t="str">
        <f>CONCATENATE("+",'Personal File'!$B$10+'Personal File'!$C$13+D27)</f>
        <v>+10</v>
      </c>
      <c r="I27" s="543">
        <f t="shared" ca="1" si="2"/>
        <v>17</v>
      </c>
      <c r="J27" s="152">
        <f t="shared" ca="1" si="3"/>
        <v>27</v>
      </c>
      <c r="K27" s="325"/>
      <c r="L27" s="129"/>
      <c r="M27" s="326" t="s">
        <v>126</v>
      </c>
    </row>
    <row r="28" spans="1:13" ht="6" customHeight="1" thickTop="1" thickBot="1" x14ac:dyDescent="0.35">
      <c r="D28" s="104"/>
      <c r="E28" s="104"/>
      <c r="G28" s="97"/>
      <c r="H28" s="97"/>
      <c r="I28" s="97"/>
      <c r="J28" s="97"/>
      <c r="L28" s="129"/>
    </row>
    <row r="29" spans="1:13" ht="16.8" thickTop="1" thickBot="1" x14ac:dyDescent="0.35">
      <c r="A29" s="98" t="s">
        <v>58</v>
      </c>
      <c r="B29" s="99" t="s">
        <v>9</v>
      </c>
      <c r="C29" s="99" t="s">
        <v>24</v>
      </c>
      <c r="D29" s="99" t="s">
        <v>77</v>
      </c>
      <c r="E29" s="99" t="s">
        <v>78</v>
      </c>
      <c r="F29" s="99" t="s">
        <v>79</v>
      </c>
      <c r="G29" s="99" t="s">
        <v>21</v>
      </c>
      <c r="H29" s="105" t="s">
        <v>75</v>
      </c>
      <c r="I29" s="106"/>
      <c r="J29" s="106"/>
      <c r="K29" s="107"/>
      <c r="L29" s="129"/>
      <c r="M29" s="115" t="s">
        <v>121</v>
      </c>
    </row>
    <row r="30" spans="1:13" x14ac:dyDescent="0.3">
      <c r="A30" s="82" t="s">
        <v>400</v>
      </c>
      <c r="B30" s="447">
        <v>6</v>
      </c>
      <c r="C30" s="448">
        <v>5</v>
      </c>
      <c r="D30" s="447">
        <v>-1</v>
      </c>
      <c r="E30" s="530">
        <v>0.25</v>
      </c>
      <c r="F30" s="448" t="s">
        <v>110</v>
      </c>
      <c r="G30" s="449">
        <v>15</v>
      </c>
      <c r="H30" s="450"/>
      <c r="I30" s="451"/>
      <c r="J30" s="451"/>
      <c r="K30" s="452"/>
      <c r="L30" s="129"/>
      <c r="M30" s="130">
        <v>6700</v>
      </c>
    </row>
    <row r="31" spans="1:13" x14ac:dyDescent="0.3">
      <c r="A31" s="318" t="s">
        <v>370</v>
      </c>
      <c r="B31" s="319" t="s">
        <v>310</v>
      </c>
      <c r="C31" s="471" t="s">
        <v>126</v>
      </c>
      <c r="D31" s="319" t="s">
        <v>126</v>
      </c>
      <c r="E31" s="476" t="s">
        <v>126</v>
      </c>
      <c r="F31" s="563" t="s">
        <v>404</v>
      </c>
      <c r="G31" s="472">
        <v>0</v>
      </c>
      <c r="H31" s="562" t="s">
        <v>403</v>
      </c>
      <c r="I31" s="473"/>
      <c r="J31" s="473"/>
      <c r="K31" s="474"/>
      <c r="L31" s="129"/>
      <c r="M31" s="131">
        <v>1000</v>
      </c>
    </row>
    <row r="32" spans="1:13" x14ac:dyDescent="0.3">
      <c r="A32" s="83" t="s">
        <v>338</v>
      </c>
      <c r="B32" s="453">
        <v>1</v>
      </c>
      <c r="C32" s="453" t="s">
        <v>126</v>
      </c>
      <c r="D32" s="117">
        <v>-1</v>
      </c>
      <c r="E32" s="476">
        <v>0.05</v>
      </c>
      <c r="F32" s="117" t="s">
        <v>126</v>
      </c>
      <c r="G32" s="118">
        <v>0.5</v>
      </c>
      <c r="H32" s="454"/>
      <c r="I32" s="455"/>
      <c r="J32" s="455"/>
      <c r="K32" s="173"/>
      <c r="L32" s="129"/>
      <c r="M32" s="130">
        <v>2300</v>
      </c>
    </row>
    <row r="33" spans="1:13" x14ac:dyDescent="0.3">
      <c r="A33" s="83" t="s">
        <v>402</v>
      </c>
      <c r="B33" s="453">
        <f>2+1</f>
        <v>3</v>
      </c>
      <c r="C33" s="453" t="s">
        <v>126</v>
      </c>
      <c r="D33" s="117">
        <v>0</v>
      </c>
      <c r="E33" s="476">
        <v>0.05</v>
      </c>
      <c r="F33" s="117" t="s">
        <v>126</v>
      </c>
      <c r="G33" s="118">
        <v>5</v>
      </c>
      <c r="H33" s="454"/>
      <c r="I33" s="455"/>
      <c r="J33" s="455"/>
      <c r="K33" s="173"/>
      <c r="L33" s="129"/>
      <c r="M33" s="130">
        <v>4165</v>
      </c>
    </row>
    <row r="34" spans="1:13" x14ac:dyDescent="0.3">
      <c r="A34" s="528" t="s">
        <v>386</v>
      </c>
      <c r="B34" s="552" t="s">
        <v>388</v>
      </c>
      <c r="C34" s="529" t="s">
        <v>126</v>
      </c>
      <c r="D34" s="427" t="s">
        <v>126</v>
      </c>
      <c r="E34" s="530" t="s">
        <v>126</v>
      </c>
      <c r="F34" s="427" t="s">
        <v>126</v>
      </c>
      <c r="G34" s="531">
        <v>0</v>
      </c>
      <c r="H34" s="532"/>
      <c r="I34" s="533"/>
      <c r="J34" s="533"/>
      <c r="K34" s="155"/>
      <c r="L34" s="129"/>
      <c r="M34" s="131">
        <v>8000</v>
      </c>
    </row>
    <row r="35" spans="1:13" ht="16.2" thickBot="1" x14ac:dyDescent="0.35">
      <c r="A35" s="87" t="s">
        <v>369</v>
      </c>
      <c r="B35" s="113" t="s">
        <v>310</v>
      </c>
      <c r="C35" s="153" t="s">
        <v>126</v>
      </c>
      <c r="D35" s="113" t="s">
        <v>126</v>
      </c>
      <c r="E35" s="154" t="s">
        <v>126</v>
      </c>
      <c r="F35" s="153" t="s">
        <v>126</v>
      </c>
      <c r="G35" s="114">
        <v>0</v>
      </c>
      <c r="H35" s="527" t="s">
        <v>371</v>
      </c>
      <c r="I35" s="108"/>
      <c r="J35" s="108"/>
      <c r="K35" s="156"/>
      <c r="M35" s="132">
        <v>2500</v>
      </c>
    </row>
    <row r="36" spans="1:13" ht="6.75" customHeight="1" thickTop="1" thickBot="1" x14ac:dyDescent="0.35"/>
    <row r="37" spans="1:13" ht="16.8" thickTop="1" thickBot="1" x14ac:dyDescent="0.35">
      <c r="D37" s="109" t="s">
        <v>59</v>
      </c>
      <c r="E37" s="110"/>
      <c r="F37" s="105" t="s">
        <v>3</v>
      </c>
      <c r="G37" s="99" t="s">
        <v>21</v>
      </c>
      <c r="H37" s="101" t="s">
        <v>86</v>
      </c>
      <c r="I37" s="105" t="s">
        <v>75</v>
      </c>
      <c r="J37" s="106"/>
      <c r="K37" s="107"/>
      <c r="M37" s="115" t="s">
        <v>121</v>
      </c>
    </row>
    <row r="38" spans="1:13" x14ac:dyDescent="0.3">
      <c r="D38" s="464" t="s">
        <v>119</v>
      </c>
      <c r="E38" s="465"/>
      <c r="F38" s="466">
        <v>10</v>
      </c>
      <c r="G38" s="447">
        <f>F38/10</f>
        <v>1</v>
      </c>
      <c r="H38" s="447" t="s">
        <v>120</v>
      </c>
      <c r="I38" s="467"/>
      <c r="J38" s="468"/>
      <c r="K38" s="469"/>
      <c r="M38" s="470">
        <f>F38/10</f>
        <v>1</v>
      </c>
    </row>
    <row r="39" spans="1:13" ht="16.2" thickBot="1" x14ac:dyDescent="0.35">
      <c r="D39" s="456"/>
      <c r="E39" s="457"/>
      <c r="F39" s="458"/>
      <c r="G39" s="459"/>
      <c r="H39" s="460"/>
      <c r="I39" s="461"/>
      <c r="J39" s="111"/>
      <c r="K39" s="462"/>
      <c r="M39" s="463"/>
    </row>
    <row r="40" spans="1:13" ht="16.8" thickTop="1" thickBot="1" x14ac:dyDescent="0.35"/>
    <row r="41" spans="1:13" ht="16.8" thickTop="1" thickBot="1" x14ac:dyDescent="0.35">
      <c r="D41" s="109" t="s">
        <v>144</v>
      </c>
      <c r="E41" s="106"/>
      <c r="F41" s="106"/>
      <c r="G41" s="106"/>
      <c r="H41" s="167" t="s">
        <v>3</v>
      </c>
      <c r="I41" s="167" t="s">
        <v>0</v>
      </c>
      <c r="J41" s="167" t="s">
        <v>145</v>
      </c>
      <c r="K41" s="107" t="s">
        <v>75</v>
      </c>
      <c r="L41" s="129"/>
      <c r="M41" s="168" t="s">
        <v>121</v>
      </c>
    </row>
    <row r="42" spans="1:13" x14ac:dyDescent="0.3">
      <c r="D42" s="169" t="s">
        <v>246</v>
      </c>
      <c r="E42" s="170"/>
      <c r="F42" s="170"/>
      <c r="G42" s="171"/>
      <c r="H42" s="172">
        <v>1</v>
      </c>
      <c r="I42" s="117">
        <v>1</v>
      </c>
      <c r="J42" s="117">
        <v>1</v>
      </c>
      <c r="K42" s="173"/>
      <c r="L42" s="129"/>
      <c r="M42" s="131">
        <f t="shared" ref="M42:M51" si="5">25*H42*I42*J42</f>
        <v>25</v>
      </c>
    </row>
    <row r="43" spans="1:13" x14ac:dyDescent="0.3">
      <c r="D43" s="423" t="s">
        <v>337</v>
      </c>
      <c r="E43" s="424"/>
      <c r="F43" s="424"/>
      <c r="G43" s="425"/>
      <c r="H43" s="426">
        <v>0</v>
      </c>
      <c r="I43" s="427">
        <v>3</v>
      </c>
      <c r="J43" s="427">
        <v>8</v>
      </c>
      <c r="K43" s="155"/>
      <c r="L43" s="129"/>
      <c r="M43" s="131">
        <f t="shared" si="5"/>
        <v>0</v>
      </c>
    </row>
    <row r="44" spans="1:13" x14ac:dyDescent="0.3">
      <c r="D44" s="423" t="s">
        <v>311</v>
      </c>
      <c r="E44" s="424"/>
      <c r="F44" s="424"/>
      <c r="G44" s="425"/>
      <c r="H44" s="426">
        <v>2</v>
      </c>
      <c r="I44" s="427">
        <v>1</v>
      </c>
      <c r="J44" s="427">
        <v>2</v>
      </c>
      <c r="K44" s="155"/>
      <c r="L44" s="129"/>
      <c r="M44" s="131">
        <f>50*H44*I44*J44</f>
        <v>200</v>
      </c>
    </row>
    <row r="45" spans="1:13" x14ac:dyDescent="0.3">
      <c r="D45" s="423" t="s">
        <v>266</v>
      </c>
      <c r="E45" s="424"/>
      <c r="F45" s="424"/>
      <c r="G45" s="425"/>
      <c r="H45" s="426">
        <v>1</v>
      </c>
      <c r="I45" s="427">
        <v>1</v>
      </c>
      <c r="J45" s="427">
        <v>1</v>
      </c>
      <c r="K45" s="155"/>
      <c r="L45" s="129"/>
      <c r="M45" s="131">
        <f t="shared" ref="M45:M50" si="6">25*H45*I45*J45</f>
        <v>25</v>
      </c>
    </row>
    <row r="46" spans="1:13" x14ac:dyDescent="0.3">
      <c r="D46" s="423" t="s">
        <v>362</v>
      </c>
      <c r="E46" s="424"/>
      <c r="F46" s="424"/>
      <c r="G46" s="425"/>
      <c r="H46" s="426">
        <v>0</v>
      </c>
      <c r="I46" s="427">
        <v>3</v>
      </c>
      <c r="J46" s="427">
        <v>5</v>
      </c>
      <c r="K46" s="155"/>
      <c r="L46" s="129"/>
      <c r="M46" s="131">
        <f t="shared" ref="M46:M48" si="7">25*H46*I46*J46</f>
        <v>0</v>
      </c>
    </row>
    <row r="47" spans="1:13" x14ac:dyDescent="0.3">
      <c r="D47" s="423" t="s">
        <v>382</v>
      </c>
      <c r="E47" s="424"/>
      <c r="F47" s="424"/>
      <c r="G47" s="425"/>
      <c r="H47" s="426">
        <v>1</v>
      </c>
      <c r="I47" s="427">
        <v>2</v>
      </c>
      <c r="J47" s="427">
        <v>3</v>
      </c>
      <c r="K47" s="155"/>
      <c r="L47" s="129"/>
      <c r="M47" s="131">
        <f t="shared" si="7"/>
        <v>150</v>
      </c>
    </row>
    <row r="48" spans="1:13" x14ac:dyDescent="0.3">
      <c r="D48" s="423" t="s">
        <v>363</v>
      </c>
      <c r="E48" s="424"/>
      <c r="F48" s="424"/>
      <c r="G48" s="425"/>
      <c r="H48" s="426">
        <v>1</v>
      </c>
      <c r="I48" s="427">
        <v>2</v>
      </c>
      <c r="J48" s="427">
        <v>3</v>
      </c>
      <c r="K48" s="155"/>
      <c r="L48" s="129"/>
      <c r="M48" s="131">
        <f t="shared" si="7"/>
        <v>150</v>
      </c>
    </row>
    <row r="49" spans="4:13" x14ac:dyDescent="0.3">
      <c r="D49" s="423" t="s">
        <v>336</v>
      </c>
      <c r="E49" s="424"/>
      <c r="F49" s="424"/>
      <c r="G49" s="425"/>
      <c r="H49" s="426">
        <v>1</v>
      </c>
      <c r="I49" s="427">
        <v>1</v>
      </c>
      <c r="J49" s="427">
        <v>1</v>
      </c>
      <c r="K49" s="155"/>
      <c r="L49" s="129"/>
      <c r="M49" s="131">
        <f t="shared" si="6"/>
        <v>25</v>
      </c>
    </row>
    <row r="50" spans="4:13" x14ac:dyDescent="0.3">
      <c r="D50" s="423" t="s">
        <v>335</v>
      </c>
      <c r="E50" s="424"/>
      <c r="F50" s="424"/>
      <c r="G50" s="425"/>
      <c r="H50" s="426">
        <v>1</v>
      </c>
      <c r="I50" s="427">
        <v>2</v>
      </c>
      <c r="J50" s="427">
        <v>3</v>
      </c>
      <c r="K50" s="155"/>
      <c r="L50" s="129"/>
      <c r="M50" s="131">
        <f t="shared" si="6"/>
        <v>150</v>
      </c>
    </row>
    <row r="51" spans="4:13" ht="16.2" thickBot="1" x14ac:dyDescent="0.35">
      <c r="D51" s="174" t="s">
        <v>334</v>
      </c>
      <c r="E51" s="175"/>
      <c r="F51" s="175"/>
      <c r="G51" s="176"/>
      <c r="H51" s="177">
        <v>1</v>
      </c>
      <c r="I51" s="178">
        <v>2</v>
      </c>
      <c r="J51" s="178">
        <v>3</v>
      </c>
      <c r="K51" s="179"/>
      <c r="L51" s="129"/>
      <c r="M51" s="132">
        <f t="shared" si="5"/>
        <v>150</v>
      </c>
    </row>
    <row r="52" spans="4:13" ht="16.2"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1"/>
  <sheetViews>
    <sheetView showGridLines="0" workbookViewId="0"/>
  </sheetViews>
  <sheetFormatPr defaultColWidth="7.8984375" defaultRowHeight="15.6" x14ac:dyDescent="0.3"/>
  <cols>
    <col min="1" max="1" width="28.796875" style="77" bestFit="1" customWidth="1"/>
    <col min="2" max="2" width="5.69921875" style="77" bestFit="1" customWidth="1"/>
    <col min="3" max="3" width="5.3984375" style="97" bestFit="1" customWidth="1"/>
    <col min="4" max="5" width="23.09765625" style="15" customWidth="1"/>
    <col min="6" max="6" width="1.19921875" style="77" customWidth="1"/>
    <col min="7" max="7" width="8.296875" style="15" bestFit="1" customWidth="1"/>
    <col min="8" max="16384" width="7.8984375" style="15"/>
  </cols>
  <sheetData>
    <row r="1" spans="1:7" ht="23.4" thickBot="1" x14ac:dyDescent="0.35">
      <c r="A1" s="69" t="s">
        <v>72</v>
      </c>
      <c r="B1" s="69"/>
      <c r="C1" s="76"/>
      <c r="D1" s="69"/>
      <c r="E1" s="69"/>
    </row>
    <row r="2" spans="1:7" s="77" customFormat="1" ht="16.8" thickTop="1" thickBot="1" x14ac:dyDescent="0.35">
      <c r="A2" s="78" t="s">
        <v>73</v>
      </c>
      <c r="B2" s="78" t="s">
        <v>3</v>
      </c>
      <c r="C2" s="79" t="s">
        <v>21</v>
      </c>
      <c r="D2" s="80" t="s">
        <v>74</v>
      </c>
      <c r="E2" s="81" t="s">
        <v>75</v>
      </c>
      <c r="G2" s="116" t="s">
        <v>121</v>
      </c>
    </row>
    <row r="3" spans="1:7" x14ac:dyDescent="0.3">
      <c r="A3" s="548" t="s">
        <v>401</v>
      </c>
      <c r="B3" s="369">
        <v>1</v>
      </c>
      <c r="C3" s="84">
        <v>1</v>
      </c>
      <c r="D3" s="549"/>
      <c r="E3" s="550"/>
      <c r="F3"/>
      <c r="G3" s="124">
        <v>1000</v>
      </c>
    </row>
    <row r="4" spans="1:7" x14ac:dyDescent="0.3">
      <c r="A4" s="83" t="s">
        <v>348</v>
      </c>
      <c r="B4" s="369">
        <v>1</v>
      </c>
      <c r="C4" s="84">
        <v>1</v>
      </c>
      <c r="D4" s="85"/>
      <c r="E4" s="86"/>
      <c r="G4" s="187">
        <v>750</v>
      </c>
    </row>
    <row r="5" spans="1:7" x14ac:dyDescent="0.3">
      <c r="A5" s="83" t="s">
        <v>309</v>
      </c>
      <c r="B5" s="369">
        <v>1</v>
      </c>
      <c r="C5" s="84">
        <v>0</v>
      </c>
      <c r="D5" s="85"/>
      <c r="E5" s="86"/>
      <c r="G5" s="187">
        <v>1400</v>
      </c>
    </row>
    <row r="6" spans="1:7" x14ac:dyDescent="0.3">
      <c r="A6" s="184" t="s">
        <v>368</v>
      </c>
      <c r="B6" s="369">
        <v>1</v>
      </c>
      <c r="C6" s="84">
        <v>0</v>
      </c>
      <c r="D6" s="186"/>
      <c r="E6" s="128"/>
      <c r="F6"/>
      <c r="G6" s="187">
        <v>2300</v>
      </c>
    </row>
    <row r="7" spans="1:7" x14ac:dyDescent="0.3">
      <c r="A7" s="318" t="s">
        <v>270</v>
      </c>
      <c r="B7" s="377">
        <v>1</v>
      </c>
      <c r="C7" s="378">
        <v>0</v>
      </c>
      <c r="D7" s="382"/>
      <c r="E7" s="550"/>
      <c r="F7" s="329"/>
      <c r="G7" s="124">
        <v>500</v>
      </c>
    </row>
    <row r="8" spans="1:7" x14ac:dyDescent="0.3">
      <c r="A8" s="548" t="s">
        <v>383</v>
      </c>
      <c r="B8" s="369">
        <v>1</v>
      </c>
      <c r="C8" s="84">
        <v>0.5</v>
      </c>
      <c r="D8" s="549"/>
      <c r="E8" s="550"/>
      <c r="F8"/>
      <c r="G8" s="124">
        <v>1</v>
      </c>
    </row>
    <row r="9" spans="1:7" x14ac:dyDescent="0.3">
      <c r="A9" s="318" t="s">
        <v>284</v>
      </c>
      <c r="B9" s="369">
        <v>4</v>
      </c>
      <c r="C9" s="84">
        <v>0</v>
      </c>
      <c r="D9" s="382" t="s">
        <v>283</v>
      </c>
      <c r="E9" s="379"/>
      <c r="G9" s="124">
        <f>B9*8</f>
        <v>32</v>
      </c>
    </row>
    <row r="10" spans="1:7" x14ac:dyDescent="0.3">
      <c r="A10" s="83" t="s">
        <v>123</v>
      </c>
      <c r="B10" s="369">
        <v>1</v>
      </c>
      <c r="C10" s="84">
        <v>2</v>
      </c>
      <c r="D10" s="85"/>
      <c r="E10" s="86"/>
      <c r="G10" s="187">
        <v>5</v>
      </c>
    </row>
    <row r="11" spans="1:7" x14ac:dyDescent="0.3">
      <c r="A11" s="83" t="s">
        <v>206</v>
      </c>
      <c r="B11" s="369">
        <v>1</v>
      </c>
      <c r="C11" s="84" t="s">
        <v>207</v>
      </c>
      <c r="D11" s="85"/>
      <c r="E11" s="86"/>
      <c r="G11" s="187" t="s">
        <v>129</v>
      </c>
    </row>
    <row r="12" spans="1:7" ht="16.2" thickBot="1" x14ac:dyDescent="0.35">
      <c r="A12" s="87" t="s">
        <v>188</v>
      </c>
      <c r="B12" s="136">
        <v>1</v>
      </c>
      <c r="C12" s="89">
        <v>1</v>
      </c>
      <c r="D12" s="90"/>
      <c r="E12" s="91"/>
      <c r="G12" s="125">
        <v>25</v>
      </c>
    </row>
    <row r="13" spans="1:7" ht="24" thickTop="1" thickBot="1" x14ac:dyDescent="0.35">
      <c r="A13" s="69" t="s">
        <v>76</v>
      </c>
      <c r="B13" s="69"/>
      <c r="C13" s="92"/>
      <c r="D13" s="69"/>
      <c r="E13" s="93"/>
      <c r="G13" s="126"/>
    </row>
    <row r="14" spans="1:7" ht="16.8" thickTop="1" thickBot="1" x14ac:dyDescent="0.35">
      <c r="A14" s="78" t="s">
        <v>73</v>
      </c>
      <c r="B14" s="78" t="s">
        <v>3</v>
      </c>
      <c r="C14" s="79" t="s">
        <v>21</v>
      </c>
      <c r="D14" s="80" t="s">
        <v>74</v>
      </c>
      <c r="E14" s="81" t="s">
        <v>75</v>
      </c>
      <c r="G14" s="127" t="s">
        <v>121</v>
      </c>
    </row>
    <row r="15" spans="1:7" x14ac:dyDescent="0.3">
      <c r="A15" s="83" t="s">
        <v>192</v>
      </c>
      <c r="B15" s="94">
        <v>0</v>
      </c>
      <c r="C15" s="338">
        <f t="shared" ref="C15:C16" si="0">B15/100</f>
        <v>0</v>
      </c>
      <c r="D15" s="85"/>
      <c r="E15" s="86"/>
      <c r="G15" s="124">
        <f>B15</f>
        <v>0</v>
      </c>
    </row>
    <row r="16" spans="1:7" x14ac:dyDescent="0.3">
      <c r="A16" s="184" t="s">
        <v>327</v>
      </c>
      <c r="B16" s="94">
        <v>0</v>
      </c>
      <c r="C16" s="338">
        <f t="shared" si="0"/>
        <v>0</v>
      </c>
      <c r="D16" s="371"/>
      <c r="E16" s="86"/>
      <c r="G16" s="124">
        <f>B16*5</f>
        <v>0</v>
      </c>
    </row>
    <row r="17" spans="1:8" x14ac:dyDescent="0.3">
      <c r="A17" s="184" t="s">
        <v>228</v>
      </c>
      <c r="B17" s="185">
        <v>1</v>
      </c>
      <c r="C17" s="84">
        <v>1</v>
      </c>
      <c r="D17" s="186"/>
      <c r="E17" s="128"/>
      <c r="G17" s="187">
        <v>110</v>
      </c>
    </row>
    <row r="18" spans="1:8" x14ac:dyDescent="0.3">
      <c r="A18" s="534" t="s">
        <v>373</v>
      </c>
      <c r="B18" s="369">
        <v>1</v>
      </c>
      <c r="C18" s="84">
        <v>0</v>
      </c>
      <c r="D18" s="186"/>
      <c r="E18" s="128"/>
      <c r="F18"/>
      <c r="G18" s="187">
        <v>200</v>
      </c>
    </row>
    <row r="19" spans="1:8" x14ac:dyDescent="0.3">
      <c r="A19" s="184" t="s">
        <v>312</v>
      </c>
      <c r="B19" s="94" t="s">
        <v>243</v>
      </c>
      <c r="C19" s="84">
        <v>1</v>
      </c>
      <c r="D19" s="371"/>
      <c r="E19" s="86"/>
      <c r="G19" s="124">
        <v>50</v>
      </c>
    </row>
    <row r="20" spans="1:8" x14ac:dyDescent="0.3">
      <c r="A20" s="184" t="s">
        <v>247</v>
      </c>
      <c r="B20" s="185">
        <v>1</v>
      </c>
      <c r="C20" s="84">
        <v>5</v>
      </c>
      <c r="D20" s="186" t="s">
        <v>248</v>
      </c>
      <c r="E20" s="128"/>
      <c r="G20" s="187">
        <v>10</v>
      </c>
    </row>
    <row r="21" spans="1:8" x14ac:dyDescent="0.3">
      <c r="A21" s="184" t="s">
        <v>258</v>
      </c>
      <c r="B21" s="185">
        <v>1</v>
      </c>
      <c r="C21" s="84">
        <v>4</v>
      </c>
      <c r="D21" s="186" t="s">
        <v>259</v>
      </c>
      <c r="E21" s="128"/>
      <c r="G21" s="187">
        <v>1</v>
      </c>
    </row>
    <row r="22" spans="1:8" x14ac:dyDescent="0.3">
      <c r="A22" s="184" t="s">
        <v>198</v>
      </c>
      <c r="B22" s="185">
        <v>1</v>
      </c>
      <c r="C22" s="84">
        <v>4</v>
      </c>
      <c r="D22" s="186"/>
      <c r="E22" s="128"/>
      <c r="G22" s="187">
        <v>1</v>
      </c>
    </row>
    <row r="23" spans="1:8" x14ac:dyDescent="0.3">
      <c r="A23" s="184" t="s">
        <v>231</v>
      </c>
      <c r="B23" s="185">
        <v>5</v>
      </c>
      <c r="C23" s="84">
        <v>0</v>
      </c>
      <c r="D23" s="186"/>
      <c r="E23" s="128"/>
      <c r="G23" s="187">
        <f>B23</f>
        <v>5</v>
      </c>
    </row>
    <row r="24" spans="1:8" x14ac:dyDescent="0.3">
      <c r="A24" s="488" t="s">
        <v>278</v>
      </c>
      <c r="B24" s="489">
        <v>1</v>
      </c>
      <c r="C24" s="490">
        <v>20</v>
      </c>
      <c r="D24" s="491"/>
      <c r="E24" s="492"/>
      <c r="G24" s="493">
        <v>10</v>
      </c>
    </row>
    <row r="25" spans="1:8" ht="16.2" thickBot="1" x14ac:dyDescent="0.35">
      <c r="A25" s="87" t="s">
        <v>196</v>
      </c>
      <c r="B25" s="88">
        <v>1</v>
      </c>
      <c r="C25" s="96">
        <v>5</v>
      </c>
      <c r="D25" s="90"/>
      <c r="E25" s="91"/>
      <c r="G25" s="125">
        <v>1</v>
      </c>
      <c r="H25" s="129"/>
    </row>
    <row r="26" spans="1:8" ht="22.8" thickTop="1" thickBot="1" x14ac:dyDescent="0.35">
      <c r="A26" s="375" t="s">
        <v>268</v>
      </c>
      <c r="B26" s="374"/>
      <c r="C26" s="374"/>
      <c r="D26" s="375"/>
      <c r="E26" s="374"/>
      <c r="F26" s="329"/>
      <c r="G26" s="329">
        <v>2000</v>
      </c>
    </row>
    <row r="27" spans="1:8" ht="16.8" thickTop="1" thickBot="1" x14ac:dyDescent="0.35">
      <c r="A27" s="78" t="s">
        <v>73</v>
      </c>
      <c r="B27" s="78" t="s">
        <v>3</v>
      </c>
      <c r="C27" s="79" t="s">
        <v>21</v>
      </c>
      <c r="D27" s="80" t="s">
        <v>74</v>
      </c>
      <c r="E27" s="81" t="s">
        <v>75</v>
      </c>
      <c r="G27" s="127" t="s">
        <v>121</v>
      </c>
    </row>
    <row r="28" spans="1:8" x14ac:dyDescent="0.3">
      <c r="A28" s="184" t="s">
        <v>232</v>
      </c>
      <c r="B28" s="94">
        <v>1</v>
      </c>
      <c r="C28" s="95">
        <v>5</v>
      </c>
      <c r="D28" s="371"/>
      <c r="E28" s="86"/>
      <c r="G28" s="187">
        <v>10</v>
      </c>
    </row>
    <row r="29" spans="1:8" x14ac:dyDescent="0.3">
      <c r="A29" s="184" t="s">
        <v>328</v>
      </c>
      <c r="B29" s="94">
        <v>1</v>
      </c>
      <c r="C29" s="95">
        <v>1</v>
      </c>
      <c r="D29" s="186" t="s">
        <v>329</v>
      </c>
      <c r="E29" s="86"/>
      <c r="G29" s="187">
        <v>1</v>
      </c>
    </row>
    <row r="30" spans="1:8" x14ac:dyDescent="0.3">
      <c r="A30" s="184" t="s">
        <v>330</v>
      </c>
      <c r="B30" s="94">
        <v>1</v>
      </c>
      <c r="C30" s="95">
        <v>0.5</v>
      </c>
      <c r="D30" s="186"/>
      <c r="E30" s="86"/>
      <c r="G30" s="187">
        <v>1</v>
      </c>
    </row>
    <row r="31" spans="1:8" x14ac:dyDescent="0.3">
      <c r="A31" s="184" t="s">
        <v>331</v>
      </c>
      <c r="B31" s="94">
        <v>12</v>
      </c>
      <c r="C31" s="95">
        <f>B31/12</f>
        <v>1</v>
      </c>
      <c r="D31" s="186" t="s">
        <v>332</v>
      </c>
      <c r="E31" s="86"/>
      <c r="G31" s="187">
        <f>B31/12</f>
        <v>1</v>
      </c>
    </row>
    <row r="32" spans="1:8" x14ac:dyDescent="0.3">
      <c r="A32" s="184" t="s">
        <v>352</v>
      </c>
      <c r="B32" s="185">
        <v>1</v>
      </c>
      <c r="C32" s="84">
        <v>0</v>
      </c>
      <c r="D32" s="186" t="s">
        <v>353</v>
      </c>
      <c r="E32" s="128"/>
      <c r="F32"/>
      <c r="G32" s="372">
        <v>0</v>
      </c>
      <c r="H32" s="129"/>
    </row>
    <row r="33" spans="1:8" x14ac:dyDescent="0.3">
      <c r="A33" s="184" t="s">
        <v>195</v>
      </c>
      <c r="B33" s="185">
        <v>2</v>
      </c>
      <c r="C33" s="84">
        <f>B33/10</f>
        <v>0.2</v>
      </c>
      <c r="D33" s="186"/>
      <c r="E33" s="128"/>
      <c r="G33" s="187">
        <f>50*B33</f>
        <v>100</v>
      </c>
      <c r="H33" s="129"/>
    </row>
    <row r="34" spans="1:8" x14ac:dyDescent="0.3">
      <c r="A34" s="184" t="s">
        <v>385</v>
      </c>
      <c r="B34" s="185">
        <v>10</v>
      </c>
      <c r="C34" s="84">
        <f>B34*0.1</f>
        <v>1</v>
      </c>
      <c r="D34" s="186"/>
      <c r="E34" s="128"/>
      <c r="G34" s="187">
        <v>0</v>
      </c>
      <c r="H34" s="129"/>
    </row>
    <row r="35" spans="1:8" x14ac:dyDescent="0.3">
      <c r="A35" s="184" t="s">
        <v>194</v>
      </c>
      <c r="B35" s="185">
        <v>4</v>
      </c>
      <c r="C35" s="84">
        <v>0</v>
      </c>
      <c r="D35" s="186"/>
      <c r="E35" s="128"/>
      <c r="G35" s="187">
        <v>0</v>
      </c>
      <c r="H35" s="129"/>
    </row>
    <row r="36" spans="1:8" x14ac:dyDescent="0.3">
      <c r="A36" s="184" t="s">
        <v>360</v>
      </c>
      <c r="B36" s="185">
        <v>1</v>
      </c>
      <c r="C36" s="84">
        <v>3</v>
      </c>
      <c r="D36" s="186" t="s">
        <v>191</v>
      </c>
      <c r="E36" s="128"/>
      <c r="G36" s="187">
        <v>15</v>
      </c>
      <c r="H36" s="129"/>
    </row>
    <row r="37" spans="1:8" x14ac:dyDescent="0.3">
      <c r="A37" s="184" t="s">
        <v>361</v>
      </c>
      <c r="B37" s="185">
        <v>1</v>
      </c>
      <c r="C37" s="84">
        <v>3</v>
      </c>
      <c r="D37" s="186" t="s">
        <v>191</v>
      </c>
      <c r="E37" s="128"/>
      <c r="G37" s="187">
        <v>15</v>
      </c>
      <c r="H37" s="129"/>
    </row>
    <row r="38" spans="1:8" x14ac:dyDescent="0.3">
      <c r="A38" s="184" t="s">
        <v>230</v>
      </c>
      <c r="B38" s="185">
        <v>1</v>
      </c>
      <c r="C38" s="84">
        <v>1</v>
      </c>
      <c r="D38" s="186"/>
      <c r="E38" s="128"/>
      <c r="G38" s="187">
        <v>30</v>
      </c>
      <c r="H38" s="129"/>
    </row>
    <row r="39" spans="1:8" x14ac:dyDescent="0.3">
      <c r="A39" s="184" t="s">
        <v>229</v>
      </c>
      <c r="B39" s="185">
        <v>1</v>
      </c>
      <c r="C39" s="84">
        <v>4</v>
      </c>
      <c r="D39" s="186"/>
      <c r="E39" s="128"/>
      <c r="G39" s="187">
        <v>50</v>
      </c>
      <c r="H39" s="129"/>
    </row>
    <row r="40" spans="1:8" x14ac:dyDescent="0.3">
      <c r="A40" s="184" t="s">
        <v>263</v>
      </c>
      <c r="B40" s="185">
        <v>1</v>
      </c>
      <c r="C40" s="84">
        <v>5</v>
      </c>
      <c r="D40" s="186"/>
      <c r="E40" s="128"/>
      <c r="G40" s="187">
        <v>80</v>
      </c>
      <c r="H40" s="129"/>
    </row>
    <row r="41" spans="1:8" x14ac:dyDescent="0.3">
      <c r="A41" s="184" t="s">
        <v>264</v>
      </c>
      <c r="B41" s="185">
        <v>1</v>
      </c>
      <c r="C41" s="84">
        <v>1</v>
      </c>
      <c r="D41" s="186"/>
      <c r="E41" s="128"/>
      <c r="G41" s="187">
        <v>50</v>
      </c>
      <c r="H41" s="129"/>
    </row>
    <row r="42" spans="1:8" x14ac:dyDescent="0.3">
      <c r="A42" s="184" t="s">
        <v>260</v>
      </c>
      <c r="B42" s="185">
        <v>1</v>
      </c>
      <c r="C42" s="84">
        <v>1</v>
      </c>
      <c r="D42" s="186"/>
      <c r="E42" s="128"/>
      <c r="G42" s="187">
        <v>25</v>
      </c>
      <c r="H42" s="129"/>
    </row>
    <row r="43" spans="1:8" x14ac:dyDescent="0.3">
      <c r="A43" s="184" t="s">
        <v>261</v>
      </c>
      <c r="B43" s="185">
        <v>1</v>
      </c>
      <c r="C43" s="84">
        <v>2</v>
      </c>
      <c r="D43" s="186"/>
      <c r="E43" s="128"/>
      <c r="G43" s="187">
        <v>15</v>
      </c>
      <c r="H43" s="129"/>
    </row>
    <row r="44" spans="1:8" x14ac:dyDescent="0.3">
      <c r="A44" s="184" t="s">
        <v>285</v>
      </c>
      <c r="B44" s="185">
        <v>1</v>
      </c>
      <c r="C44" s="84">
        <v>0.5</v>
      </c>
      <c r="D44" s="186"/>
      <c r="E44" s="128"/>
      <c r="G44" s="187">
        <v>20</v>
      </c>
      <c r="H44" s="129"/>
    </row>
    <row r="45" spans="1:8" x14ac:dyDescent="0.3">
      <c r="A45" s="184" t="s">
        <v>282</v>
      </c>
      <c r="B45" s="185">
        <v>1</v>
      </c>
      <c r="C45" s="84">
        <v>0</v>
      </c>
      <c r="D45" s="186"/>
      <c r="E45" s="128"/>
      <c r="G45" s="187">
        <v>1</v>
      </c>
      <c r="H45" s="129"/>
    </row>
    <row r="46" spans="1:8" x14ac:dyDescent="0.3">
      <c r="A46" s="184" t="s">
        <v>286</v>
      </c>
      <c r="B46" s="185">
        <v>1</v>
      </c>
      <c r="C46" s="84">
        <v>0.5</v>
      </c>
      <c r="D46" s="186"/>
      <c r="E46" s="128"/>
      <c r="G46" s="370">
        <f>B46/10</f>
        <v>0.1</v>
      </c>
      <c r="H46" s="129"/>
    </row>
    <row r="47" spans="1:8" x14ac:dyDescent="0.3">
      <c r="A47" s="184" t="s">
        <v>227</v>
      </c>
      <c r="B47" s="185">
        <v>2</v>
      </c>
      <c r="C47" s="84">
        <f>B47</f>
        <v>2</v>
      </c>
      <c r="D47" s="186"/>
      <c r="E47" s="128"/>
      <c r="F47"/>
      <c r="G47" s="187">
        <f>25*B47</f>
        <v>50</v>
      </c>
      <c r="H47" s="129"/>
    </row>
    <row r="48" spans="1:8" x14ac:dyDescent="0.3">
      <c r="A48" s="184" t="s">
        <v>349</v>
      </c>
      <c r="B48" s="185">
        <v>1</v>
      </c>
      <c r="C48" s="84">
        <v>0</v>
      </c>
      <c r="D48" s="186" t="s">
        <v>350</v>
      </c>
      <c r="E48" s="128"/>
      <c r="F48"/>
      <c r="G48" s="372">
        <v>0</v>
      </c>
      <c r="H48" s="129"/>
    </row>
    <row r="49" spans="1:8" x14ac:dyDescent="0.3">
      <c r="A49" s="184" t="s">
        <v>351</v>
      </c>
      <c r="B49" s="185">
        <v>1</v>
      </c>
      <c r="C49" s="84">
        <v>0</v>
      </c>
      <c r="D49" s="186"/>
      <c r="E49" s="128"/>
      <c r="F49"/>
      <c r="G49" s="372">
        <v>0</v>
      </c>
      <c r="H49" s="129"/>
    </row>
    <row r="50" spans="1:8" x14ac:dyDescent="0.3">
      <c r="A50" s="184" t="s">
        <v>279</v>
      </c>
      <c r="B50" s="94">
        <v>1</v>
      </c>
      <c r="C50" s="95">
        <v>5</v>
      </c>
      <c r="D50" s="371"/>
      <c r="E50" s="86"/>
      <c r="G50" s="187">
        <v>4</v>
      </c>
    </row>
    <row r="51" spans="1:8" x14ac:dyDescent="0.3">
      <c r="A51" s="184" t="s">
        <v>280</v>
      </c>
      <c r="B51" s="94">
        <v>1</v>
      </c>
      <c r="C51" s="95">
        <v>5</v>
      </c>
      <c r="D51" s="371"/>
      <c r="E51" s="86"/>
      <c r="G51" s="187">
        <v>2</v>
      </c>
    </row>
    <row r="52" spans="1:8" x14ac:dyDescent="0.3">
      <c r="A52" s="184" t="s">
        <v>281</v>
      </c>
      <c r="B52" s="94">
        <v>1</v>
      </c>
      <c r="C52" s="95">
        <v>2</v>
      </c>
      <c r="D52" s="371"/>
      <c r="E52" s="86"/>
      <c r="G52" s="370">
        <v>0.5</v>
      </c>
    </row>
    <row r="53" spans="1:8" x14ac:dyDescent="0.3">
      <c r="A53" s="184" t="s">
        <v>233</v>
      </c>
      <c r="B53" s="94">
        <v>1</v>
      </c>
      <c r="C53" s="95">
        <v>1</v>
      </c>
      <c r="D53" s="371"/>
      <c r="E53" s="86"/>
      <c r="G53" s="187">
        <v>1</v>
      </c>
    </row>
    <row r="54" spans="1:8" x14ac:dyDescent="0.3">
      <c r="A54" s="184" t="s">
        <v>234</v>
      </c>
      <c r="B54" s="94">
        <v>1</v>
      </c>
      <c r="C54" s="95">
        <v>1</v>
      </c>
      <c r="D54" s="371"/>
      <c r="E54" s="86"/>
      <c r="G54" s="372">
        <f>6*0.05</f>
        <v>0.30000000000000004</v>
      </c>
    </row>
    <row r="55" spans="1:8" x14ac:dyDescent="0.3">
      <c r="A55" s="184" t="s">
        <v>193</v>
      </c>
      <c r="B55" s="185">
        <v>4</v>
      </c>
      <c r="C55" s="84">
        <f>B55/10</f>
        <v>0.4</v>
      </c>
      <c r="D55" s="186"/>
      <c r="E55" s="128"/>
      <c r="G55" s="187">
        <f>8*B55</f>
        <v>32</v>
      </c>
      <c r="H55" s="129"/>
    </row>
    <row r="56" spans="1:8" x14ac:dyDescent="0.3">
      <c r="A56" s="184" t="s">
        <v>235</v>
      </c>
      <c r="B56" s="94">
        <v>20</v>
      </c>
      <c r="C56" s="338">
        <f>B56/1000</f>
        <v>0.02</v>
      </c>
      <c r="D56" s="371"/>
      <c r="E56" s="86"/>
      <c r="G56" s="370">
        <f>0.5*B56</f>
        <v>10</v>
      </c>
    </row>
    <row r="57" spans="1:8" x14ac:dyDescent="0.3">
      <c r="A57" s="184" t="s">
        <v>197</v>
      </c>
      <c r="B57" s="94">
        <v>1</v>
      </c>
      <c r="C57" s="95">
        <v>3</v>
      </c>
      <c r="D57" s="371"/>
      <c r="E57" s="86"/>
      <c r="G57" s="187">
        <v>0.5</v>
      </c>
    </row>
    <row r="58" spans="1:8" x14ac:dyDescent="0.3">
      <c r="A58" s="184" t="s">
        <v>199</v>
      </c>
      <c r="B58" s="94">
        <v>1</v>
      </c>
      <c r="C58" s="95">
        <v>5</v>
      </c>
      <c r="D58" s="371"/>
      <c r="E58" s="86"/>
      <c r="G58" s="187">
        <v>55</v>
      </c>
    </row>
    <row r="59" spans="1:8" x14ac:dyDescent="0.3">
      <c r="A59" s="184" t="s">
        <v>200</v>
      </c>
      <c r="B59" s="94">
        <v>10</v>
      </c>
      <c r="C59" s="95">
        <f>B59</f>
        <v>10</v>
      </c>
      <c r="D59" s="371"/>
      <c r="E59" s="86"/>
      <c r="G59" s="187">
        <f>B59</f>
        <v>10</v>
      </c>
    </row>
    <row r="60" spans="1:8" x14ac:dyDescent="0.3">
      <c r="A60" s="184" t="s">
        <v>201</v>
      </c>
      <c r="B60" s="185">
        <v>5</v>
      </c>
      <c r="C60" s="84">
        <f>B60</f>
        <v>5</v>
      </c>
      <c r="D60" s="186"/>
      <c r="E60" s="128"/>
      <c r="G60" s="370">
        <f>B60/20</f>
        <v>0.25</v>
      </c>
    </row>
    <row r="61" spans="1:8" x14ac:dyDescent="0.3">
      <c r="A61" s="184" t="s">
        <v>202</v>
      </c>
      <c r="B61" s="94">
        <v>1</v>
      </c>
      <c r="C61" s="95">
        <v>0</v>
      </c>
      <c r="D61" s="371"/>
      <c r="E61" s="86"/>
      <c r="G61" s="370">
        <v>0.1</v>
      </c>
    </row>
    <row r="62" spans="1:8" x14ac:dyDescent="0.3">
      <c r="A62" s="184" t="s">
        <v>203</v>
      </c>
      <c r="B62" s="94">
        <v>1</v>
      </c>
      <c r="C62" s="95">
        <v>10</v>
      </c>
      <c r="D62" s="371"/>
      <c r="E62" s="86"/>
      <c r="G62" s="187">
        <v>5</v>
      </c>
    </row>
    <row r="63" spans="1:8" x14ac:dyDescent="0.3">
      <c r="A63" s="184" t="s">
        <v>204</v>
      </c>
      <c r="B63" s="185">
        <v>1</v>
      </c>
      <c r="C63" s="84">
        <v>10</v>
      </c>
      <c r="D63" s="186"/>
      <c r="E63" s="128"/>
      <c r="G63" s="187">
        <v>1</v>
      </c>
    </row>
    <row r="64" spans="1:8" x14ac:dyDescent="0.3">
      <c r="A64" s="184" t="s">
        <v>205</v>
      </c>
      <c r="B64" s="185">
        <v>1</v>
      </c>
      <c r="C64" s="84">
        <v>8</v>
      </c>
      <c r="D64" s="186"/>
      <c r="E64" s="128"/>
      <c r="G64" s="187">
        <v>2</v>
      </c>
    </row>
    <row r="65" spans="1:7" x14ac:dyDescent="0.3">
      <c r="A65" s="184" t="s">
        <v>208</v>
      </c>
      <c r="B65" s="185">
        <v>1</v>
      </c>
      <c r="C65" s="84">
        <v>4</v>
      </c>
      <c r="D65" s="186"/>
      <c r="E65" s="128"/>
      <c r="G65" s="187">
        <v>1</v>
      </c>
    </row>
    <row r="66" spans="1:7" x14ac:dyDescent="0.3">
      <c r="A66" s="184" t="s">
        <v>128</v>
      </c>
      <c r="B66" s="185">
        <v>1</v>
      </c>
      <c r="C66" s="84">
        <v>5</v>
      </c>
      <c r="D66" s="186" t="s">
        <v>209</v>
      </c>
      <c r="E66" s="128"/>
      <c r="G66" s="187">
        <v>2</v>
      </c>
    </row>
    <row r="67" spans="1:7" x14ac:dyDescent="0.3">
      <c r="A67" s="184" t="s">
        <v>128</v>
      </c>
      <c r="B67" s="185">
        <v>1</v>
      </c>
      <c r="C67" s="84">
        <v>5</v>
      </c>
      <c r="D67" s="186" t="s">
        <v>210</v>
      </c>
      <c r="E67" s="128"/>
      <c r="G67" s="187">
        <v>2</v>
      </c>
    </row>
    <row r="68" spans="1:7" ht="16.2" thickBot="1" x14ac:dyDescent="0.35">
      <c r="A68" s="87" t="s">
        <v>211</v>
      </c>
      <c r="B68" s="88">
        <v>5</v>
      </c>
      <c r="C68" s="96">
        <f>B68</f>
        <v>5</v>
      </c>
      <c r="D68" s="90"/>
      <c r="E68" s="91"/>
      <c r="G68" s="327">
        <f>B68/2</f>
        <v>2.5</v>
      </c>
    </row>
    <row r="69" spans="1:7" ht="16.8" thickTop="1" thickBot="1" x14ac:dyDescent="0.35">
      <c r="A69" s="328" t="s">
        <v>269</v>
      </c>
      <c r="B69" s="376">
        <f>C69/120</f>
        <v>0.96766666666666667</v>
      </c>
      <c r="C69" s="79">
        <f>SUM(C28:C68)</f>
        <v>116.12</v>
      </c>
    </row>
    <row r="70" spans="1:7" x14ac:dyDescent="0.3">
      <c r="E70" s="55" t="s">
        <v>124</v>
      </c>
      <c r="G70" s="373">
        <f>SUM(G3:G68,Martial!M3:M51)</f>
        <v>39662.25</v>
      </c>
    </row>
    <row r="71" spans="1:7" x14ac:dyDescent="0.3">
      <c r="E71" s="55" t="s">
        <v>267</v>
      </c>
      <c r="G71" s="373">
        <v>66000</v>
      </c>
    </row>
  </sheetData>
  <sortState xmlns:xlrd2="http://schemas.microsoft.com/office/spreadsheetml/2017/richdata2" ref="A13:G19">
    <sortCondition ref="A13:A19"/>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Invocations</vt:lpstr>
      <vt:lpstr>Spells</vt:lpstr>
      <vt:lpstr>Spellcasting</vt:lpstr>
      <vt:lpstr>Feats</vt:lpstr>
      <vt:lpstr>Martial</vt:lpstr>
      <vt:lpstr>Equipment</vt:lpstr>
      <vt:lpstr>Invocations!Print_Area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2023-11-17T13:10:43Z</dcterms:modified>
</cp:coreProperties>
</file>