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A\Juegos\FoL\NPCs\"/>
    </mc:Choice>
  </mc:AlternateContent>
  <xr:revisionPtr revIDLastSave="0" documentId="13_ncr:1_{BA1890CC-9FDE-4AA8-885C-D87734BD313A}"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Invocations" sheetId="29" r:id="rId3"/>
    <sheet name="Spells" sheetId="18" r:id="rId4"/>
    <sheet name="Spellcasting" sheetId="30" r:id="rId5"/>
    <sheet name="Feats" sheetId="26" r:id="rId6"/>
    <sheet name="Martial" sheetId="6" r:id="rId7"/>
    <sheet name="Equipment" sheetId="19" r:id="rId8"/>
  </sheets>
  <externalReferences>
    <externalReference r:id="rId9"/>
  </externalReferences>
  <definedNames>
    <definedName name="NoShade">'[1]Spell Sheet'!$FH$1</definedName>
    <definedName name="OLE_LINK1" localSheetId="5">Feats!#REF!</definedName>
    <definedName name="OLE_LINK1" localSheetId="4">Spellcasting!#REF!</definedName>
    <definedName name="_xlnm.Print_Area" localSheetId="7">Equipment!#REF!</definedName>
    <definedName name="_xlnm.Print_Area" localSheetId="5">Feats!#REF!</definedName>
    <definedName name="_xlnm.Print_Area" localSheetId="2">Invocations!$A$1:$H$6</definedName>
    <definedName name="_xlnm.Print_Area" localSheetId="6">Martial!#REF!</definedName>
    <definedName name="_xlnm.Print_Area" localSheetId="0">'Personal File'!$A$1:$H$65</definedName>
    <definedName name="_xlnm.Print_Area" localSheetId="1">Skills!$A$1:$K$33</definedName>
    <definedName name="_xlnm.Print_Area" localSheetId="4">Spellcasting!#REF!</definedName>
    <definedName name="_xlnm.Print_Area" localSheetId="3">Spells!$A$1:$H$11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2" i="15" l="1"/>
  <c r="H31" i="15"/>
  <c r="H29" i="15"/>
  <c r="D29" i="15"/>
  <c r="E29" i="15" s="1"/>
  <c r="H25" i="15"/>
  <c r="D25" i="15"/>
  <c r="G25" i="15" s="1"/>
  <c r="G29" i="15" l="1"/>
  <c r="I29" i="15" s="1"/>
  <c r="I25" i="15"/>
  <c r="E25" i="15"/>
  <c r="D11" i="30"/>
  <c r="D10" i="30"/>
  <c r="E59" i="15"/>
  <c r="E58" i="15"/>
  <c r="B5" i="15"/>
  <c r="B4" i="15"/>
  <c r="B3" i="15"/>
  <c r="B10" i="4"/>
  <c r="H25" i="6" s="1"/>
  <c r="I25" i="6"/>
  <c r="B33" i="6"/>
  <c r="J25" i="6" l="1"/>
  <c r="B12" i="4"/>
  <c r="F45" i="15" l="1"/>
  <c r="F39" i="15"/>
  <c r="F32" i="15"/>
  <c r="F23" i="15"/>
  <c r="F21" i="15"/>
  <c r="F9" i="15"/>
  <c r="F7" i="15"/>
  <c r="F16" i="15"/>
  <c r="E60" i="15"/>
  <c r="E57" i="15"/>
  <c r="B48" i="15"/>
  <c r="H46" i="15"/>
  <c r="H45" i="15"/>
  <c r="H44" i="15"/>
  <c r="H43" i="15"/>
  <c r="H41" i="15"/>
  <c r="H40" i="15"/>
  <c r="H39" i="15"/>
  <c r="H38" i="15"/>
  <c r="H37" i="15"/>
  <c r="H36" i="15"/>
  <c r="H35" i="15"/>
  <c r="H34" i="15"/>
  <c r="H33" i="15"/>
  <c r="H32" i="15"/>
  <c r="H30" i="15"/>
  <c r="H28" i="15"/>
  <c r="H27" i="15"/>
  <c r="H26" i="15"/>
  <c r="H24" i="15"/>
  <c r="H23" i="15"/>
  <c r="H22" i="15"/>
  <c r="H21" i="15"/>
  <c r="H20" i="15"/>
  <c r="H19" i="15"/>
  <c r="H18" i="15"/>
  <c r="H17" i="15"/>
  <c r="H16" i="15"/>
  <c r="H15" i="15"/>
  <c r="H14" i="15"/>
  <c r="H13" i="15"/>
  <c r="H12" i="15"/>
  <c r="H11" i="15"/>
  <c r="H10" i="15"/>
  <c r="H9" i="15"/>
  <c r="H8" i="15"/>
  <c r="D28" i="15"/>
  <c r="E28" i="15" s="1"/>
  <c r="D27" i="15"/>
  <c r="E27" i="15" s="1"/>
  <c r="M7" i="30"/>
  <c r="M1" i="30"/>
  <c r="E14" i="4"/>
  <c r="B13" i="4"/>
  <c r="D7" i="6"/>
  <c r="D6" i="6"/>
  <c r="D4" i="6"/>
  <c r="D3" i="6"/>
  <c r="G28" i="15" l="1"/>
  <c r="I28" i="15" s="1"/>
  <c r="G27" i="15"/>
  <c r="I27" i="15" s="1"/>
  <c r="I21" i="6"/>
  <c r="B17" i="4" l="1"/>
  <c r="C34" i="19"/>
  <c r="C47" i="19" l="1"/>
  <c r="G60" i="19"/>
  <c r="G47" i="19"/>
  <c r="M44" i="6"/>
  <c r="I23" i="6"/>
  <c r="M23" i="6"/>
  <c r="M46" i="6"/>
  <c r="M47" i="6"/>
  <c r="M48" i="6"/>
  <c r="I16" i="6" l="1"/>
  <c r="I14" i="6"/>
  <c r="I13" i="6"/>
  <c r="I12" i="6"/>
  <c r="I11" i="6"/>
  <c r="I10" i="6"/>
  <c r="I9" i="6"/>
  <c r="I7" i="6"/>
  <c r="I4" i="6"/>
  <c r="I3" i="6" l="1"/>
  <c r="D12" i="30" l="1"/>
  <c r="E2" i="26" l="1"/>
  <c r="G24" i="6" l="1"/>
  <c r="M43" i="6" l="1"/>
  <c r="M24" i="6" l="1"/>
  <c r="M50" i="6" l="1"/>
  <c r="M49" i="6"/>
  <c r="M45" i="6"/>
  <c r="M38" i="6"/>
  <c r="G38" i="6"/>
  <c r="G31" i="19" l="1"/>
  <c r="C31" i="19" l="1"/>
  <c r="G16" i="19" l="1"/>
  <c r="C15" i="19"/>
  <c r="C16" i="19"/>
  <c r="A4" i="26" l="1"/>
  <c r="D12" i="26" l="1"/>
  <c r="D13" i="26"/>
  <c r="D14" i="26"/>
  <c r="D15" i="26"/>
  <c r="D16" i="26"/>
  <c r="E17" i="26" l="1"/>
  <c r="E14" i="26"/>
  <c r="E18" i="26"/>
  <c r="E16" i="26"/>
  <c r="E15" i="26"/>
  <c r="F13" i="15"/>
  <c r="I26" i="6"/>
  <c r="K6" i="30" l="1"/>
  <c r="J6" i="30"/>
  <c r="I6" i="30"/>
  <c r="H6" i="30"/>
  <c r="G6" i="30"/>
  <c r="F6" i="30"/>
  <c r="E6" i="30"/>
  <c r="D6" i="30"/>
  <c r="C6" i="30"/>
  <c r="B6" i="30"/>
  <c r="H20" i="6" l="1"/>
  <c r="H21" i="6"/>
  <c r="J21" i="6" s="1"/>
  <c r="G9" i="19" l="1"/>
  <c r="G46" i="19"/>
  <c r="G56" i="19"/>
  <c r="C56" i="19"/>
  <c r="H7" i="15" l="1"/>
  <c r="M42" i="6" l="1"/>
  <c r="M51" i="6"/>
  <c r="C60" i="19" l="1"/>
  <c r="G54" i="19" l="1"/>
  <c r="I6" i="6"/>
  <c r="G23" i="19"/>
  <c r="G68" i="19" l="1"/>
  <c r="C68" i="19"/>
  <c r="G59" i="19"/>
  <c r="C59" i="19"/>
  <c r="G55" i="19"/>
  <c r="G33" i="19"/>
  <c r="G70" i="19" s="1"/>
  <c r="C33" i="19"/>
  <c r="C55" i="19"/>
  <c r="G15" i="19"/>
  <c r="I24" i="6"/>
  <c r="C69" i="19" l="1"/>
  <c r="B69" i="19" s="1"/>
  <c r="E13" i="4"/>
  <c r="H3" i="15"/>
  <c r="H4" i="15"/>
  <c r="H5" i="15"/>
  <c r="I22" i="6" l="1"/>
  <c r="I27" i="6" l="1"/>
  <c r="I20" i="6"/>
  <c r="I17" i="6"/>
  <c r="J20" i="6" l="1"/>
  <c r="I15" i="6" l="1"/>
  <c r="C17" i="4" l="1"/>
  <c r="C16" i="4"/>
  <c r="C15" i="4"/>
  <c r="C14" i="4"/>
  <c r="C13" i="4"/>
  <c r="E15" i="4" s="1"/>
  <c r="C12" i="4"/>
  <c r="E56" i="15" l="1"/>
  <c r="E55" i="15"/>
  <c r="F5" i="15"/>
  <c r="P11" i="30"/>
  <c r="P10" i="30"/>
  <c r="P9" i="30"/>
  <c r="H17" i="6"/>
  <c r="J17" i="6" s="1"/>
  <c r="E17" i="4"/>
  <c r="E16" i="4" s="1"/>
  <c r="H23" i="6"/>
  <c r="J23" i="6" s="1"/>
  <c r="C14" i="6"/>
  <c r="C13" i="6"/>
  <c r="C4" i="6"/>
  <c r="C7" i="6"/>
  <c r="C10" i="6"/>
  <c r="C12" i="6"/>
  <c r="C16" i="6"/>
  <c r="H3" i="6"/>
  <c r="H6" i="6"/>
  <c r="H9" i="6"/>
  <c r="H11" i="6"/>
  <c r="H15" i="6"/>
  <c r="H13" i="6"/>
  <c r="H24" i="6"/>
  <c r="J24" i="6" s="1"/>
  <c r="H26" i="6"/>
  <c r="J26" i="6" s="1"/>
  <c r="E54" i="15"/>
  <c r="D26" i="15"/>
  <c r="E53" i="15"/>
  <c r="E52" i="15"/>
  <c r="E51" i="15"/>
  <c r="E50" i="15"/>
  <c r="P5" i="30"/>
  <c r="G7" i="30"/>
  <c r="P4" i="30"/>
  <c r="F7" i="30"/>
  <c r="P3" i="30"/>
  <c r="E7" i="30"/>
  <c r="D7" i="30"/>
  <c r="K7" i="30"/>
  <c r="C7" i="30"/>
  <c r="B7" i="30"/>
  <c r="I7" i="30"/>
  <c r="H7" i="30"/>
  <c r="J7" i="30"/>
  <c r="C3" i="6"/>
  <c r="C6" i="6"/>
  <c r="C11" i="6"/>
  <c r="C9" i="6"/>
  <c r="B11" i="4"/>
  <c r="D3" i="15"/>
  <c r="D10" i="15"/>
  <c r="E10" i="15" s="1"/>
  <c r="D4" i="15"/>
  <c r="D21" i="15"/>
  <c r="E21" i="15" s="1"/>
  <c r="D39" i="15"/>
  <c r="E39" i="15" s="1"/>
  <c r="D7" i="15"/>
  <c r="E7" i="15" s="1"/>
  <c r="D32" i="15"/>
  <c r="E32" i="15" s="1"/>
  <c r="D45" i="15"/>
  <c r="E45" i="15" s="1"/>
  <c r="D33" i="15"/>
  <c r="E33" i="15" s="1"/>
  <c r="D47" i="15"/>
  <c r="E47" i="15" s="1"/>
  <c r="D16" i="15"/>
  <c r="E16" i="15" s="1"/>
  <c r="D36" i="15"/>
  <c r="E36" i="15" s="1"/>
  <c r="D8" i="15"/>
  <c r="E8" i="15" s="1"/>
  <c r="D22" i="15"/>
  <c r="E22" i="15" s="1"/>
  <c r="D18" i="15"/>
  <c r="E18" i="15" s="1"/>
  <c r="D15" i="15"/>
  <c r="E15" i="15" s="1"/>
  <c r="D13" i="15"/>
  <c r="E13" i="15" s="1"/>
  <c r="D19" i="15"/>
  <c r="E19" i="15" s="1"/>
  <c r="D34" i="15"/>
  <c r="E34" i="15" s="1"/>
  <c r="D46" i="15"/>
  <c r="E46" i="15" s="1"/>
  <c r="D38" i="15"/>
  <c r="E38" i="15" s="1"/>
  <c r="D5" i="15"/>
  <c r="D35" i="15"/>
  <c r="E35" i="15" s="1"/>
  <c r="D20" i="15"/>
  <c r="E20" i="15" s="1"/>
  <c r="D43" i="15"/>
  <c r="E43" i="15" s="1"/>
  <c r="D31" i="15"/>
  <c r="E31" i="15" s="1"/>
  <c r="D42" i="15"/>
  <c r="E42" i="15" s="1"/>
  <c r="D23" i="15"/>
  <c r="E23" i="15" s="1"/>
  <c r="D44" i="15"/>
  <c r="E44" i="15" s="1"/>
  <c r="D9" i="15"/>
  <c r="E9" i="15" s="1"/>
  <c r="E49" i="15"/>
  <c r="D6" i="15"/>
  <c r="E6" i="15" s="1"/>
  <c r="D14" i="15"/>
  <c r="E14" i="15" s="1"/>
  <c r="D30" i="15"/>
  <c r="E30" i="15" s="1"/>
  <c r="D11" i="15"/>
  <c r="E11" i="15" s="1"/>
  <c r="D24" i="15"/>
  <c r="E24" i="15" s="1"/>
  <c r="D17" i="15"/>
  <c r="E17" i="15" s="1"/>
  <c r="D41" i="15"/>
  <c r="E41" i="15" s="1"/>
  <c r="D12" i="15"/>
  <c r="E12" i="15" s="1"/>
  <c r="D40" i="15"/>
  <c r="E40" i="15" s="1"/>
  <c r="D37" i="15"/>
  <c r="E37" i="15" s="1"/>
  <c r="C15" i="6"/>
  <c r="H22" i="6"/>
  <c r="J22" i="6" s="1"/>
  <c r="H27" i="6"/>
  <c r="J27" i="6" s="1"/>
  <c r="H47" i="15"/>
  <c r="H6" i="15"/>
  <c r="H16" i="6" l="1"/>
  <c r="J16" i="6" s="1"/>
  <c r="J15" i="6"/>
  <c r="H12" i="6"/>
  <c r="J12" i="6" s="1"/>
  <c r="J11" i="6"/>
  <c r="H14" i="6"/>
  <c r="J14" i="6" s="1"/>
  <c r="J13" i="6"/>
  <c r="H10" i="6"/>
  <c r="J10" i="6" s="1"/>
  <c r="J9" i="6"/>
  <c r="H7" i="6"/>
  <c r="J7" i="6" s="1"/>
  <c r="J6" i="6"/>
  <c r="H4" i="6"/>
  <c r="J4" i="6" s="1"/>
  <c r="J3" i="6"/>
  <c r="E26" i="15"/>
  <c r="G26" i="15"/>
  <c r="I26" i="15" s="1"/>
  <c r="E3" i="15"/>
  <c r="G3" i="15"/>
  <c r="I3" i="15" s="1"/>
  <c r="E4" i="15"/>
  <c r="G4" i="15"/>
  <c r="I4" i="15" s="1"/>
  <c r="E48" i="15"/>
  <c r="E5" i="15"/>
  <c r="G5" i="15"/>
  <c r="I5" i="15" s="1"/>
  <c r="G30" i="15"/>
  <c r="I30" i="15" s="1"/>
  <c r="G24" i="15" l="1"/>
  <c r="I24" i="15" l="1"/>
  <c r="G35" i="15" l="1"/>
  <c r="G8" i="15" l="1"/>
  <c r="G6" i="15"/>
  <c r="I6" i="15" s="1"/>
  <c r="G10" i="15"/>
  <c r="G16" i="15"/>
  <c r="G21" i="15"/>
  <c r="G32" i="15"/>
  <c r="I32" i="15" s="1"/>
  <c r="G47" i="15"/>
  <c r="G33" i="15"/>
  <c r="I33" i="15" s="1"/>
  <c r="G42" i="15"/>
  <c r="G19" i="15"/>
  <c r="G7" i="15"/>
  <c r="G17" i="15"/>
  <c r="G22" i="15"/>
  <c r="I35" i="15"/>
  <c r="G34" i="15"/>
  <c r="I34" i="15" s="1"/>
  <c r="G12" i="15"/>
  <c r="G46" i="15"/>
  <c r="G45" i="15"/>
  <c r="G41" i="15"/>
  <c r="G13" i="15"/>
  <c r="I13" i="15" s="1"/>
  <c r="G18" i="15"/>
  <c r="G23" i="15"/>
  <c r="G36" i="15"/>
  <c r="G14" i="15"/>
  <c r="G37" i="15"/>
  <c r="G40" i="15"/>
  <c r="G11" i="15"/>
  <c r="I11" i="15" s="1"/>
  <c r="G9" i="15"/>
  <c r="G15" i="15"/>
  <c r="G20" i="15"/>
  <c r="G31" i="15"/>
  <c r="G38" i="15"/>
  <c r="I38" i="15" s="1"/>
  <c r="G39" i="15"/>
  <c r="G44" i="15"/>
  <c r="I44" i="15" s="1"/>
  <c r="G43" i="15"/>
  <c r="I40" i="15" l="1"/>
  <c r="I12" i="15"/>
  <c r="I45" i="15"/>
  <c r="I9" i="15"/>
  <c r="I23" i="15"/>
  <c r="I7" i="15"/>
  <c r="I31" i="15"/>
  <c r="I15" i="15"/>
  <c r="I36" i="15"/>
  <c r="I18" i="15"/>
  <c r="I17" i="15"/>
  <c r="I19" i="15"/>
  <c r="I16" i="15"/>
  <c r="I43" i="15"/>
  <c r="I39" i="15"/>
  <c r="I14" i="15"/>
  <c r="I46" i="15"/>
  <c r="I47" i="15"/>
  <c r="I21" i="15"/>
  <c r="I37" i="15"/>
  <c r="I41" i="15"/>
  <c r="I20" i="15"/>
  <c r="I42"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10" authorId="0" shapeId="0" xr:uid="{F9F071BE-64E9-4879-8C80-9D8FE6D282C5}">
      <text>
        <r>
          <rPr>
            <i/>
            <sz val="12"/>
            <color indexed="81"/>
            <rFont val="Times New Roman"/>
            <family val="1"/>
          </rPr>
          <t>divine favor +1
bane -1
haste +1</t>
        </r>
      </text>
    </comment>
    <comment ref="E10" authorId="0" shapeId="0" xr:uid="{81AC56B1-451D-49E3-AC58-FC737D4BB7C4}">
      <text>
        <r>
          <rPr>
            <b/>
            <sz val="12"/>
            <color indexed="81"/>
            <rFont val="Times New Roman"/>
            <family val="1"/>
          </rPr>
          <t>Extreme Leap (Skill Trick)</t>
        </r>
        <r>
          <rPr>
            <sz val="12"/>
            <color indexed="81"/>
            <rFont val="Times New Roman"/>
            <family val="1"/>
          </rPr>
          <t xml:space="preserve">
Your extraordinary leaping ability carries you over great distances.
</t>
        </r>
        <r>
          <rPr>
            <b/>
            <sz val="12"/>
            <color indexed="81"/>
            <rFont val="Times New Roman"/>
            <family val="1"/>
          </rPr>
          <t xml:space="preserve">Prerequisite:  </t>
        </r>
        <r>
          <rPr>
            <sz val="12"/>
            <color indexed="81"/>
            <rFont val="Times New Roman"/>
            <family val="1"/>
          </rPr>
          <t xml:space="preserve">Jump 5 ranks.
</t>
        </r>
        <r>
          <rPr>
            <b/>
            <sz val="12"/>
            <color indexed="81"/>
            <rFont val="Times New Roman"/>
            <family val="1"/>
          </rPr>
          <t xml:space="preserve">Benefit:  </t>
        </r>
        <r>
          <rPr>
            <sz val="12"/>
            <color indexed="81"/>
            <rFont val="Times New Roman"/>
            <family val="1"/>
          </rPr>
          <t>If you make a horizontal jump of at least 10 feet during your turn, you can spend a swift action to move an additional 10 feet on that turn.
Complete Scoundrel 86</t>
        </r>
      </text>
    </comment>
    <comment ref="C11" authorId="0" shapeId="0" xr:uid="{23C0A8AD-8B24-4DB4-98ED-1E592103C21C}">
      <text>
        <r>
          <rPr>
            <sz val="12"/>
            <color indexed="81"/>
            <rFont val="Times New Roman"/>
            <family val="1"/>
          </rPr>
          <t>Blooded +2</t>
        </r>
      </text>
    </comment>
    <comment ref="E11" authorId="0" shapeId="0" xr:uid="{1007607B-C2D1-43EF-B937-28BD8F66EF8B}">
      <text>
        <r>
          <rPr>
            <sz val="12"/>
            <color indexed="81"/>
            <rFont val="Times New Roman"/>
            <family val="1"/>
          </rPr>
          <t>Next level at 45,000 XPs</t>
        </r>
      </text>
    </comment>
    <comment ref="B12" authorId="0" shapeId="0" xr:uid="{23F6553F-6567-4A45-A0E8-EDCC3FD3CB9C}">
      <text>
        <r>
          <rPr>
            <i/>
            <sz val="12"/>
            <color indexed="81"/>
            <rFont val="Times New Roman"/>
            <family val="1"/>
          </rPr>
          <t>bull’s strength +4
enlarge person +2
Brute Gauntlets +2, 3, or 4</t>
        </r>
      </text>
    </comment>
    <comment ref="E12" authorId="0" shapeId="0" xr:uid="{950A73CF-FD15-4514-A687-6FBD9F49B8A7}">
      <text>
        <r>
          <rPr>
            <sz val="12"/>
            <color indexed="81"/>
            <rFont val="Times New Roman"/>
            <family val="1"/>
          </rPr>
          <t>See PHB 162</t>
        </r>
      </text>
    </comment>
    <comment ref="B13" authorId="0" shapeId="0" xr:uid="{D5394AA1-02C5-43C0-8B4C-219D314E776F}">
      <text>
        <r>
          <rPr>
            <i/>
            <sz val="12"/>
            <color indexed="81"/>
            <rFont val="Times New Roman"/>
            <family val="1"/>
          </rPr>
          <t>enlarge person -2
Fatigue -2</t>
        </r>
      </text>
    </comment>
    <comment ref="E13" authorId="0" shapeId="0" xr:uid="{26CD1242-8118-49FE-A240-0D13C5069AD8}">
      <text>
        <r>
          <rPr>
            <sz val="12"/>
            <color indexed="81"/>
            <rFont val="Times New Roman"/>
            <family val="1"/>
          </rPr>
          <t>Haversack is 5 lbs.</t>
        </r>
      </text>
    </comment>
    <comment ref="E14" authorId="0" shapeId="0" xr:uid="{00000000-0006-0000-0000-000004000000}">
      <text>
        <r>
          <rPr>
            <sz val="12"/>
            <color indexed="81"/>
            <rFont val="Times New Roman"/>
            <family val="1"/>
          </rPr>
          <t>[(4 * 8 Favored Soul) * 75%]
+[(2 * 10 Crusader) * 75%]
+[(2 * 6 Warlock) * 75%]
+[(1 * X Paragon) * 75%]
+ (9 * 1 Con)</t>
        </r>
      </text>
    </comment>
    <comment ref="E15" authorId="0" shapeId="0" xr:uid="{9400A056-C2BB-4FE5-823B-AEE1C062D298}">
      <text>
        <r>
          <rPr>
            <sz val="12"/>
            <color indexed="81"/>
            <rFont val="Times New Roman"/>
            <family val="1"/>
          </rPr>
          <t xml:space="preserve">Ring of Protection +2
</t>
        </r>
        <r>
          <rPr>
            <i/>
            <sz val="12"/>
            <color indexed="81"/>
            <rFont val="Times New Roman"/>
            <family val="1"/>
          </rPr>
          <t>haste +1
Enlarge Person -1</t>
        </r>
      </text>
    </comment>
    <comment ref="B17" authorId="0" shapeId="0" xr:uid="{DBF404F4-2ABD-4454-BB06-7FB1D56135CB}">
      <text>
        <r>
          <rPr>
            <sz val="12"/>
            <color indexed="81"/>
            <rFont val="Times New Roman"/>
            <family val="1"/>
          </rPr>
          <t>Cloak of Charisma +2</t>
        </r>
        <r>
          <rPr>
            <i/>
            <sz val="12"/>
            <color indexed="81"/>
            <rFont val="Times New Roman"/>
            <family val="1"/>
          </rPr>
          <t xml:space="preserve">
eagle’s splendor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78CF1BD1-2079-40BD-B440-C41AA81BC586}">
      <text>
        <r>
          <rPr>
            <sz val="12"/>
            <color indexed="81"/>
            <rFont val="Times New Roman"/>
            <family val="1"/>
          </rPr>
          <t>Vest of Resistance +1</t>
        </r>
      </text>
    </comment>
    <comment ref="F4" authorId="0" shapeId="0" xr:uid="{05AF2ACA-FFCC-4582-9872-A21FA5D8C667}">
      <text>
        <r>
          <rPr>
            <sz val="12"/>
            <color indexed="81"/>
            <rFont val="Times New Roman"/>
            <family val="1"/>
          </rPr>
          <t>Vest of Resistance +1</t>
        </r>
      </text>
    </comment>
    <comment ref="F5" authorId="0" shapeId="0" xr:uid="{11FFC983-5D43-456B-B24F-8ADA95F998E4}">
      <text>
        <r>
          <rPr>
            <sz val="12"/>
            <color indexed="81"/>
            <rFont val="Times New Roman"/>
            <family val="1"/>
          </rPr>
          <t>Fey heritage +3
Vest of Resistance +1
Indomitable Soul +Cha mod</t>
        </r>
      </text>
    </comment>
    <comment ref="F7" authorId="0" shapeId="0" xr:uid="{EEC338AA-01CF-4FC0-B86F-F8DF3D45F6DE}">
      <text>
        <r>
          <rPr>
            <sz val="12"/>
            <color indexed="81"/>
            <rFont val="Times New Roman"/>
            <family val="1"/>
          </rPr>
          <t>Tumble synergy +2
Armor penalty</t>
        </r>
      </text>
    </comment>
    <comment ref="F9" authorId="0" shapeId="0" xr:uid="{AC87610C-4908-4736-94BC-31D5B239F2E4}">
      <text>
        <r>
          <rPr>
            <sz val="12"/>
            <color indexed="81"/>
            <rFont val="Times New Roman"/>
            <family val="1"/>
          </rPr>
          <t>Armor penalty
Climber’s Kit +2</t>
        </r>
      </text>
    </comment>
    <comment ref="F11" authorId="0" shapeId="0" xr:uid="{4F04DBCE-3573-4A4D-9BE7-C773AED1580B}">
      <text>
        <r>
          <rPr>
            <sz val="12"/>
            <color indexed="81"/>
            <rFont val="Times New Roman"/>
            <family val="1"/>
          </rPr>
          <t>MW Kit +2</t>
        </r>
      </text>
    </comment>
    <comment ref="F13" authorId="0" shapeId="0" xr:uid="{A88FCCD6-F11A-49C6-B3BF-1955B4D41E12}">
      <text>
        <r>
          <rPr>
            <sz val="12"/>
            <color indexed="81"/>
            <rFont val="Times New Roman"/>
            <family val="1"/>
          </rPr>
          <t>Sense Motive +2
Bluff +2</t>
        </r>
      </text>
    </comment>
    <comment ref="F16" authorId="0" shapeId="0" xr:uid="{8681E728-1490-4A26-847C-89C1664AE8FC}">
      <text>
        <r>
          <rPr>
            <sz val="12"/>
            <color indexed="81"/>
            <rFont val="Times New Roman"/>
            <family val="1"/>
          </rPr>
          <t>Armor penalty</t>
        </r>
      </text>
    </comment>
    <comment ref="F20" authorId="0" shapeId="0" xr:uid="{9258D464-79FE-459C-B3AC-0C36D1D8220B}">
      <text>
        <r>
          <rPr>
            <sz val="12"/>
            <color indexed="81"/>
            <rFont val="Times New Roman"/>
            <family val="1"/>
          </rPr>
          <t>Healer’s Kit +2</t>
        </r>
      </text>
    </comment>
    <comment ref="F21" authorId="0" shapeId="0" xr:uid="{9BA237BF-295D-4B49-AC11-EFF3B517525F}">
      <text>
        <r>
          <rPr>
            <sz val="12"/>
            <color indexed="81"/>
            <rFont val="Times New Roman"/>
            <family val="1"/>
          </rPr>
          <t>Armor penalty</t>
        </r>
      </text>
    </comment>
    <comment ref="F22" authorId="0" shapeId="0" xr:uid="{12C10405-5391-4154-835E-91EDF3A6DA4C}">
      <text>
        <r>
          <rPr>
            <sz val="12"/>
            <color indexed="81"/>
            <rFont val="Times New Roman"/>
            <family val="1"/>
          </rPr>
          <t>Bluff +2</t>
        </r>
      </text>
    </comment>
    <comment ref="F23" authorId="0" shapeId="0" xr:uid="{9954535D-0B44-46E5-A949-8F12804A1892}">
      <text>
        <r>
          <rPr>
            <sz val="12"/>
            <color indexed="81"/>
            <rFont val="Times New Roman"/>
            <family val="1"/>
          </rPr>
          <t>Tumble synergy +2
Armor penalty</t>
        </r>
      </text>
    </comment>
    <comment ref="F32" authorId="0" shapeId="0" xr:uid="{FEAABE47-FE22-4571-B027-838DB519F77D}">
      <text>
        <r>
          <rPr>
            <sz val="12"/>
            <color indexed="81"/>
            <rFont val="Times New Roman"/>
            <family val="1"/>
          </rPr>
          <t>Armor penalty</t>
        </r>
      </text>
    </comment>
    <comment ref="F39" authorId="0" shapeId="0" xr:uid="{590B8E20-33CF-45A1-9151-6E34B1F8BCD7}">
      <text>
        <r>
          <rPr>
            <sz val="12"/>
            <color indexed="81"/>
            <rFont val="Times New Roman"/>
            <family val="1"/>
          </rPr>
          <t>Armor penalty</t>
        </r>
      </text>
    </comment>
    <comment ref="F42" authorId="0" shapeId="0" xr:uid="{1B300C74-5518-4AD7-8064-C7E1B016C7B1}">
      <text>
        <r>
          <rPr>
            <sz val="12"/>
            <color indexed="81"/>
            <rFont val="Times New Roman"/>
            <family val="1"/>
          </rPr>
          <t>Blooded +2</t>
        </r>
      </text>
    </comment>
    <comment ref="F44" authorId="0" shapeId="0" xr:uid="{0989F04B-E094-44F7-B5F2-8840410CDEB0}">
      <text>
        <r>
          <rPr>
            <sz val="12"/>
            <color indexed="81"/>
            <rFont val="Times New Roman"/>
            <family val="1"/>
          </rPr>
          <t>Crystal of Aquatic Action, Lesser</t>
        </r>
      </text>
    </comment>
    <comment ref="F45" authorId="0" shapeId="0" xr:uid="{9B6B967C-7166-4A3D-A949-9124D3193379}">
      <text>
        <r>
          <rPr>
            <sz val="12"/>
            <color indexed="81"/>
            <rFont val="Times New Roman"/>
            <family val="1"/>
          </rPr>
          <t>Armor penalty
Jump synergy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6" authorId="0" shapeId="0" xr:uid="{00000000-0006-0000-0200-000001000000}">
      <text>
        <r>
          <rPr>
            <sz val="12"/>
            <color indexed="81"/>
            <rFont val="Times New Roman"/>
            <family val="1"/>
          </rPr>
          <t>Phosphorescent moss</t>
        </r>
      </text>
    </comment>
    <comment ref="D8" authorId="0" shapeId="0" xr:uid="{00000000-0006-0000-0200-000003000000}">
      <text>
        <r>
          <rPr>
            <sz val="12"/>
            <color indexed="81"/>
            <rFont val="Times New Roman"/>
            <family val="1"/>
          </rPr>
          <t>Prism, lens, or monocle</t>
        </r>
      </text>
    </comment>
    <comment ref="D11" authorId="0" shapeId="0" xr:uid="{00000000-0006-0000-0200-00000E000000}">
      <text>
        <r>
          <rPr>
            <sz val="12"/>
            <color indexed="81"/>
            <rFont val="Times New Roman"/>
            <family val="1"/>
          </rPr>
          <t>Powdered silver</t>
        </r>
      </text>
    </comment>
    <comment ref="D13" authorId="0" shapeId="0" xr:uid="{D4365AD2-88CD-4BB9-BDC5-5584AE365908}">
      <text>
        <r>
          <rPr>
            <sz val="12"/>
            <color indexed="81"/>
            <rFont val="Times New Roman"/>
            <family val="1"/>
          </rPr>
          <t>Bull-shit or bull-hair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A0D37E7A-FC7D-4488-A203-F06F28C883AD}">
      <text>
        <r>
          <rPr>
            <sz val="12"/>
            <color indexed="81"/>
            <rFont val="Times New Roman"/>
            <family val="1"/>
          </rPr>
          <t xml:space="preserve">You are descended from creatures native to the fey realms. You are naturally resistant to the most common effects produced by your ancestors.
</t>
        </r>
        <r>
          <rPr>
            <b/>
            <sz val="12"/>
            <color indexed="81"/>
            <rFont val="Times New Roman"/>
            <family val="1"/>
          </rPr>
          <t xml:space="preserve">Prerequisite:  </t>
        </r>
        <r>
          <rPr>
            <sz val="12"/>
            <color indexed="81"/>
            <rFont val="Times New Roman"/>
            <family val="1"/>
          </rPr>
          <t xml:space="preserve">Nonlawful alignment.
</t>
        </r>
        <r>
          <rPr>
            <b/>
            <sz val="12"/>
            <color indexed="81"/>
            <rFont val="Times New Roman"/>
            <family val="1"/>
          </rPr>
          <t xml:space="preserve">Benefit:  </t>
        </r>
        <r>
          <rPr>
            <sz val="12"/>
            <color indexed="81"/>
            <rFont val="Times New Roman"/>
            <family val="1"/>
          </rPr>
          <t>You gain a +3 bonus on Will saving throws against enchantment effects.
Complete Mage 43</t>
        </r>
      </text>
    </comment>
    <comment ref="C2" authorId="0" shapeId="0" xr:uid="{BC25CAC2-0BE3-4B29-AA87-EEDEC3FD1F51}">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3" authorId="0" shapeId="0" xr:uid="{64A42BB0-E948-4696-95B5-4D77F3E644F9}">
      <text>
        <r>
          <rPr>
            <sz val="12"/>
            <color indexed="81"/>
            <rFont val="Times New Roman"/>
            <family val="1"/>
          </rPr>
          <t xml:space="preserve">You know what it means to fight for your life, and you understand the value of quick wits and quicker reactions when blades are bared and deadly spells are chanted.
</t>
        </r>
        <r>
          <rPr>
            <b/>
            <sz val="12"/>
            <color indexed="81"/>
            <rFont val="Times New Roman"/>
            <family val="1"/>
          </rPr>
          <t xml:space="preserve">Benefit:  </t>
        </r>
        <r>
          <rPr>
            <sz val="12"/>
            <color indexed="81"/>
            <rFont val="Times New Roman"/>
            <family val="1"/>
          </rPr>
          <t xml:space="preserve">You get a +2 bonus on Initiative checks and a +2 bonus on Spot checks.  You </t>
        </r>
        <r>
          <rPr>
            <i/>
            <sz val="12"/>
            <color indexed="81"/>
            <rFont val="Times New Roman"/>
            <family val="1"/>
          </rPr>
          <t>cannot become shaken</t>
        </r>
        <r>
          <rPr>
            <sz val="12"/>
            <color indexed="81"/>
            <rFont val="Times New Roman"/>
            <family val="1"/>
          </rPr>
          <t xml:space="preserve">, and you ignore the effects of the shaken condition.  However, you can still be frightened or panicked.
</t>
        </r>
        <r>
          <rPr>
            <b/>
            <sz val="12"/>
            <color indexed="81"/>
            <rFont val="Times New Roman"/>
            <family val="1"/>
          </rPr>
          <t xml:space="preserve">Special:  </t>
        </r>
        <r>
          <rPr>
            <sz val="12"/>
            <color indexed="81"/>
            <rFont val="Times New Roman"/>
            <family val="1"/>
          </rPr>
          <t>You may select this feat only as a 1st-level character.  You may have only one regional feat.
Player’s Guide to Faerûn 35</t>
        </r>
      </text>
    </comment>
    <comment ref="A4" authorId="0" shapeId="0" xr:uid="{0CFC1DBF-4B65-4BD4-994A-41B0951ED7B8}">
      <text>
        <r>
          <rPr>
            <sz val="12"/>
            <color indexed="81"/>
            <rFont val="Times New Roman"/>
            <family val="1"/>
          </rPr>
          <t xml:space="preserve">You exude an aura that protects you and those around you.
</t>
        </r>
        <r>
          <rPr>
            <b/>
            <sz val="12"/>
            <color indexed="81"/>
            <rFont val="Times New Roman"/>
            <family val="1"/>
          </rPr>
          <t xml:space="preserve">Benefit:  </t>
        </r>
        <r>
          <rPr>
            <sz val="12"/>
            <color indexed="81"/>
            <rFont val="Times New Roman"/>
            <family val="1"/>
          </rPr>
          <t xml:space="preserve">Once per day as an immediate action, you can activate a protective aura. While it is active, you gain a +2 sacred (if your deity is good or neutral) or profane (if your deity is evil) bonus to AC, as does every ally within  30 feet of you. This bonus increases by 1 for every four character levels you possess (maximum +7 at 20th level).   This effect lasts for 1 minute.
</t>
        </r>
        <r>
          <rPr>
            <b/>
            <sz val="12"/>
            <color indexed="81"/>
            <rFont val="Times New Roman"/>
            <family val="1"/>
          </rPr>
          <t xml:space="preserve">Special:  </t>
        </r>
        <r>
          <rPr>
            <sz val="12"/>
            <color indexed="81"/>
            <rFont val="Times New Roman"/>
            <family val="1"/>
          </rPr>
          <t xml:space="preserve">You can select this feat multiple times, gaining one additional daily use each time you take it.
</t>
        </r>
        <r>
          <rPr>
            <b/>
            <sz val="12"/>
            <color indexed="81"/>
            <rFont val="Times New Roman"/>
            <family val="1"/>
          </rPr>
          <t xml:space="preserve">Special:  </t>
        </r>
        <r>
          <rPr>
            <sz val="12"/>
            <color indexed="81"/>
            <rFont val="Times New Roman"/>
            <family val="1"/>
          </rPr>
          <t>If you have the ability to turn or rebuke undead, you gain one additional daily use of this feat for each three daily turn or rebuke uses you expend.
Complete Champion 61</t>
        </r>
      </text>
    </comment>
    <comment ref="A6" authorId="0" shapeId="0" xr:uid="{1736E379-1F9F-4B19-A49B-6812EF74F626}">
      <text>
        <r>
          <rPr>
            <sz val="12"/>
            <color indexed="81"/>
            <rFont val="Times New Roman"/>
            <family val="1"/>
          </rPr>
          <t xml:space="preserve">You share your ancestors’ knack for playing tricks on the minds of others.
</t>
        </r>
        <r>
          <rPr>
            <b/>
            <sz val="12"/>
            <color indexed="81"/>
            <rFont val="Times New Roman"/>
            <family val="1"/>
          </rPr>
          <t xml:space="preserve">Prerequisites:  </t>
        </r>
        <r>
          <rPr>
            <sz val="12"/>
            <color indexed="81"/>
            <rFont val="Times New Roman"/>
            <family val="1"/>
          </rPr>
          <t xml:space="preserve">Nonlawful alignment, Fey Heritage, character level 6th.
</t>
        </r>
        <r>
          <rPr>
            <b/>
            <sz val="12"/>
            <color indexed="81"/>
            <rFont val="Times New Roman"/>
            <family val="1"/>
          </rPr>
          <t xml:space="preserve">Benefit:  </t>
        </r>
        <r>
          <rPr>
            <sz val="12"/>
            <color indexed="81"/>
            <rFont val="Times New Roman"/>
            <family val="1"/>
          </rPr>
          <t xml:space="preserve">You gain the following spell-like abilities, each usable once per day: </t>
        </r>
        <r>
          <rPr>
            <i/>
            <sz val="12"/>
            <color indexed="81"/>
            <rFont val="Times New Roman"/>
            <family val="1"/>
          </rPr>
          <t xml:space="preserve">charm monster, deep slumber, </t>
        </r>
        <r>
          <rPr>
            <sz val="12"/>
            <color indexed="81"/>
            <rFont val="Times New Roman"/>
            <family val="1"/>
          </rPr>
          <t xml:space="preserve">and </t>
        </r>
        <r>
          <rPr>
            <i/>
            <sz val="12"/>
            <color indexed="81"/>
            <rFont val="Times New Roman"/>
            <family val="1"/>
          </rPr>
          <t xml:space="preserve">disguise self.  </t>
        </r>
        <r>
          <rPr>
            <sz val="12"/>
            <color indexed="81"/>
            <rFont val="Times New Roman"/>
            <family val="1"/>
          </rPr>
          <t>Your caster level equals your character level.
Complete Mage 43</t>
        </r>
      </text>
    </comment>
    <comment ref="C6" authorId="0" shapeId="0" xr:uid="{BDD4F96A-B18E-494E-BB57-3063FB62DD56}">
      <text>
        <r>
          <rPr>
            <sz val="12"/>
            <color indexed="81"/>
            <rFont val="Times New Roman"/>
            <family val="1"/>
          </rPr>
          <t xml:space="preserve">You can channel the pain of your injuries into a boiling rage that lets you lash out at your enemies with renewed vigor and power.  Each attack that strikes you only pushes you onward to greater glory.
During your turn, you gain a bonus on attack rolls and damage rolls equal to the current value of your delayed damage pool (see steely resolve, above) divided by 5, and rounding down (minimum +1).  You can only gain a maximum bonus on attack rolls and damage rolls of +6 from furious counterstrike.  Use the table below to quickly determine the attack bonus and damage bonus from furious counterstrike, based on the amount of damage in your delayed damage pool.  This ability’s benefits last until the end of your turn.
</t>
        </r>
        <r>
          <rPr>
            <b/>
            <sz val="12"/>
            <color indexed="81"/>
            <rFont val="Times New Roman"/>
            <family val="1"/>
          </rPr>
          <t>Delayed Damage Pool Points         Furious Counterstrike Bonus</t>
        </r>
        <r>
          <rPr>
            <sz val="12"/>
            <color indexed="81"/>
            <rFont val="Times New Roman"/>
            <family val="1"/>
          </rPr>
          <t xml:space="preserve">
1–9                                                 +1
10–14                                             +2
15–19                                             +3
20–24                                             +4
25–29                                             +5
30+                                                 +6
Bo9S 10</t>
        </r>
      </text>
    </comment>
    <comment ref="E6" authorId="0" shapeId="0" xr:uid="{F0EE3B0F-8F71-4BC2-9A74-EF85F7A6F190}">
      <text>
        <r>
          <rPr>
            <sz val="12"/>
            <color indexed="81"/>
            <rFont val="Times New Roman"/>
            <family val="1"/>
          </rPr>
          <t xml:space="preserve">Your extraordinary leaping ability carries you over great distances.
</t>
        </r>
        <r>
          <rPr>
            <b/>
            <sz val="12"/>
            <color indexed="81"/>
            <rFont val="Times New Roman"/>
            <family val="1"/>
          </rPr>
          <t xml:space="preserve">Prerequisite:  </t>
        </r>
        <r>
          <rPr>
            <sz val="12"/>
            <color indexed="81"/>
            <rFont val="Times New Roman"/>
            <family val="1"/>
          </rPr>
          <t xml:space="preserve">Jump 5 ranks.
</t>
        </r>
        <r>
          <rPr>
            <b/>
            <sz val="12"/>
            <color indexed="81"/>
            <rFont val="Times New Roman"/>
            <family val="1"/>
          </rPr>
          <t xml:space="preserve">Benefit:  </t>
        </r>
        <r>
          <rPr>
            <sz val="12"/>
            <color indexed="81"/>
            <rFont val="Times New Roman"/>
            <family val="1"/>
          </rPr>
          <t>If you make a horizontal jump of at least 10 feet during your turn, you can spend a swift action to move an additional 10 feet on that turn.
Complete Scoundrel 86</t>
        </r>
      </text>
    </comment>
    <comment ref="A7" authorId="0" shapeId="0" xr:uid="{2041C4C7-FE3A-45A7-8DB7-0079EA0EB5B0}">
      <text>
        <r>
          <rPr>
            <sz val="12"/>
            <color indexed="81"/>
            <rFont val="Times New Roman"/>
            <family val="1"/>
          </rPr>
          <t xml:space="preserve">The magical powers of your ancestors manifest in you.
</t>
        </r>
        <r>
          <rPr>
            <b/>
            <sz val="12"/>
            <color indexed="81"/>
            <rFont val="Times New Roman"/>
            <family val="1"/>
          </rPr>
          <t xml:space="preserve">Prerequisites:  </t>
        </r>
        <r>
          <rPr>
            <sz val="12"/>
            <color indexed="81"/>
            <rFont val="Times New Roman"/>
            <family val="1"/>
          </rPr>
          <t xml:space="preserve">Nonlawful alignment, Fey Heritage, character level 9th.
</t>
        </r>
        <r>
          <rPr>
            <b/>
            <sz val="12"/>
            <color indexed="81"/>
            <rFont val="Times New Roman"/>
            <family val="1"/>
          </rPr>
          <t xml:space="preserve">Benefit:  </t>
        </r>
        <r>
          <rPr>
            <sz val="12"/>
            <color indexed="81"/>
            <rFont val="Times New Roman"/>
            <family val="1"/>
          </rPr>
          <t xml:space="preserve">You gain the following spell-like abilities, each usable once per day: </t>
        </r>
        <r>
          <rPr>
            <i/>
            <sz val="12"/>
            <color indexed="81"/>
            <rFont val="Times New Roman"/>
            <family val="1"/>
          </rPr>
          <t>confusion</t>
        </r>
        <r>
          <rPr>
            <b/>
            <i/>
            <sz val="12"/>
            <color indexed="81"/>
            <rFont val="Times New Roman"/>
            <family val="1"/>
          </rPr>
          <t>,</t>
        </r>
        <r>
          <rPr>
            <i/>
            <sz val="12"/>
            <color indexed="81"/>
            <rFont val="Times New Roman"/>
            <family val="1"/>
          </rPr>
          <t xml:space="preserve"> dimension door</t>
        </r>
        <r>
          <rPr>
            <b/>
            <i/>
            <sz val="12"/>
            <color indexed="81"/>
            <rFont val="Times New Roman"/>
            <family val="1"/>
          </rPr>
          <t xml:space="preserve">, and </t>
        </r>
        <r>
          <rPr>
            <i/>
            <sz val="12"/>
            <color indexed="81"/>
            <rFont val="Times New Roman"/>
            <family val="1"/>
          </rPr>
          <t>summon nature's ally V</t>
        </r>
        <r>
          <rPr>
            <sz val="12"/>
            <color indexed="81"/>
            <rFont val="Times New Roman"/>
            <family val="1"/>
          </rPr>
          <t>.  Your caster level equals your character level.
Complete Mage 43</t>
        </r>
      </text>
    </comment>
    <comment ref="C8" authorId="0" shapeId="0" xr:uid="{7884FE7A-06C5-4898-917B-666653DB1201}">
      <text>
        <r>
          <rPr>
            <sz val="12"/>
            <color indexed="81"/>
            <rFont val="Times New Roman"/>
            <family val="1"/>
          </rPr>
          <t xml:space="preserve">White Raven (Stance)
</t>
        </r>
        <r>
          <rPr>
            <b/>
            <sz val="12"/>
            <color indexed="81"/>
            <rFont val="Times New Roman"/>
            <family val="1"/>
          </rPr>
          <t xml:space="preserve">Level:  </t>
        </r>
        <r>
          <rPr>
            <sz val="12"/>
            <color indexed="81"/>
            <rFont val="Times New Roman"/>
            <family val="1"/>
          </rPr>
          <t xml:space="preserve">Crusader 1, warblade 1
</t>
        </r>
        <r>
          <rPr>
            <b/>
            <sz val="12"/>
            <color indexed="81"/>
            <rFont val="Times New Roman"/>
            <family val="1"/>
          </rPr>
          <t xml:space="preserve">Initiation Action:  </t>
        </r>
        <r>
          <rPr>
            <sz val="12"/>
            <color indexed="81"/>
            <rFont val="Times New Roman"/>
            <family val="1"/>
          </rPr>
          <t xml:space="preserve">1 swift action
</t>
        </r>
        <r>
          <rPr>
            <b/>
            <sz val="12"/>
            <color indexed="81"/>
            <rFont val="Times New Roman"/>
            <family val="1"/>
          </rPr>
          <t xml:space="preserve">Range:  </t>
        </r>
        <r>
          <rPr>
            <sz val="12"/>
            <color indexed="81"/>
            <rFont val="Times New Roman"/>
            <family val="1"/>
          </rPr>
          <t xml:space="preserve">60’
</t>
        </r>
        <r>
          <rPr>
            <b/>
            <sz val="12"/>
            <color indexed="81"/>
            <rFont val="Times New Roman"/>
            <family val="1"/>
          </rPr>
          <t xml:space="preserve">Area:  </t>
        </r>
        <r>
          <rPr>
            <sz val="12"/>
            <color indexed="81"/>
            <rFont val="Times New Roman"/>
            <family val="1"/>
          </rPr>
          <t xml:space="preserve">60’ radius emanation centered on you
</t>
        </r>
        <r>
          <rPr>
            <b/>
            <sz val="12"/>
            <color indexed="81"/>
            <rFont val="Times New Roman"/>
            <family val="1"/>
          </rPr>
          <t xml:space="preserve">Duration:  </t>
        </r>
        <r>
          <rPr>
            <sz val="12"/>
            <color indexed="81"/>
            <rFont val="Times New Roman"/>
            <family val="1"/>
          </rPr>
          <t>Stance
You fire the confidence and martial spirit of your allies, giving them the energy and bravery needed to make a devastating charge against your enemies.
The White Raven discipline teaches that tactics, leadership, and planning can overcome an opponent’s superior individual abilities. This stance embodies that teaching, allowing you to spur your allies on to greater feats of martial skill.
While you are in this stance, all allies who hear you and make a charge attack in the area gain a bonus on damage rolls equal to your initiator level.
Bo9S 92</t>
        </r>
      </text>
    </comment>
    <comment ref="C9" authorId="0" shapeId="0" xr:uid="{3AB6CD92-7E2E-4883-8D35-C62428E6D213}">
      <text>
        <r>
          <rPr>
            <sz val="12"/>
            <color indexed="81"/>
            <rFont val="Times New Roman"/>
            <family val="1"/>
          </rPr>
          <t xml:space="preserve">Devoted Spirit (Stance)
</t>
        </r>
        <r>
          <rPr>
            <b/>
            <sz val="12"/>
            <color indexed="81"/>
            <rFont val="Times New Roman"/>
            <family val="1"/>
          </rPr>
          <t xml:space="preserve">Level:  </t>
        </r>
        <r>
          <rPr>
            <sz val="12"/>
            <color indexed="81"/>
            <rFont val="Times New Roman"/>
            <family val="1"/>
          </rPr>
          <t xml:space="preserve">Crusader 3
</t>
        </r>
        <r>
          <rPr>
            <b/>
            <sz val="12"/>
            <color indexed="81"/>
            <rFont val="Times New Roman"/>
            <family val="1"/>
          </rPr>
          <t xml:space="preserve">Prerequisite:  </t>
        </r>
        <r>
          <rPr>
            <sz val="12"/>
            <color indexed="81"/>
            <rFont val="Times New Roman"/>
            <family val="1"/>
          </rPr>
          <t xml:space="preserve">One Devoted Spirit maneuver
</t>
        </r>
        <r>
          <rPr>
            <b/>
            <sz val="12"/>
            <color indexed="81"/>
            <rFont val="Times New Roman"/>
            <family val="1"/>
          </rPr>
          <t xml:space="preserve">Initiation Action:  </t>
        </r>
        <r>
          <rPr>
            <sz val="12"/>
            <color indexed="81"/>
            <rFont val="Times New Roman"/>
            <family val="1"/>
          </rPr>
          <t xml:space="preserve">1 swift action
</t>
        </r>
        <r>
          <rPr>
            <b/>
            <sz val="12"/>
            <color indexed="81"/>
            <rFont val="Times New Roman"/>
            <family val="1"/>
          </rPr>
          <t xml:space="preserve">Range:  </t>
        </r>
        <r>
          <rPr>
            <sz val="12"/>
            <color indexed="81"/>
            <rFont val="Times New Roman"/>
            <family val="1"/>
          </rPr>
          <t xml:space="preserve">Personal
</t>
        </r>
        <r>
          <rPr>
            <b/>
            <sz val="12"/>
            <color indexed="81"/>
            <rFont val="Times New Roman"/>
            <family val="1"/>
          </rPr>
          <t xml:space="preserve">Target:  </t>
        </r>
        <r>
          <rPr>
            <sz val="12"/>
            <color indexed="81"/>
            <rFont val="Times New Roman"/>
            <family val="1"/>
          </rPr>
          <t xml:space="preserve">You
</t>
        </r>
        <r>
          <rPr>
            <b/>
            <sz val="12"/>
            <color indexed="81"/>
            <rFont val="Times New Roman"/>
            <family val="1"/>
          </rPr>
          <t xml:space="preserve">Duration:  </t>
        </r>
        <r>
          <rPr>
            <sz val="12"/>
            <color indexed="81"/>
            <rFont val="Times New Roman"/>
            <family val="1"/>
          </rPr>
          <t>Stance
You maintain a careful guard as you search for any gaps in your opponent’s awareness.  Even the slightest move provokes a stinging counter from you.
While you are in this stance, any opponent you threaten that takes any sort of movement, including a 5-foot step, provokes an attack of opportunity from you.  Your foes provoke this attack before leaving the area you threaten.
Your opponents also cannot use the withdraw action (PH 143) to treat the square they start in as no longer threatened by you.
Bo9S 61</t>
        </r>
      </text>
    </comment>
    <comment ref="C10" authorId="0" shapeId="0" xr:uid="{C166C6EC-5770-4CFE-ABB6-F150495F47F1}">
      <text>
        <r>
          <rPr>
            <sz val="12"/>
            <color indexed="81"/>
            <rFont val="Times New Roman"/>
            <family val="1"/>
          </rPr>
          <t>Beginning at 2nd level, you draw upon the power of your unwavering faith to steel yourself against the enemies you face. Your personality, energy, and dedication to your faith make it possible for you to shrug off attacks that target your willpower.
You add your Charisma bonus (if any) as a bonus on Will saves. This bonus does not stack with that from a paladin’s divine grace ability.
Bo9S 11</t>
        </r>
      </text>
    </comment>
    <comment ref="E11" authorId="0" shapeId="0" xr:uid="{1EAA3EDA-AF01-47AD-88A2-732AA9B15369}">
      <text>
        <r>
          <rPr>
            <sz val="12"/>
            <color indexed="81"/>
            <rFont val="Times New Roman"/>
            <family val="1"/>
          </rPr>
          <t>At 1st level, a human paragon can designate any one of his human paragon class skills as an adaptive skill. This skill is treated as a class skill in all respects for all classes that character has levels in, both current and future.  For example, if a human paragon chooses  Spot as an adaptive skill, he treats Spot as a class skill for all future class levels he gains, even if it is not normally a class skill for the class in question.
Unearthed Arcana 44</t>
        </r>
      </text>
    </comment>
    <comment ref="C12" authorId="0" shapeId="0" xr:uid="{379514A9-4AFB-43EC-9B6D-1B29613FB70F}">
      <text>
        <r>
          <rPr>
            <sz val="12"/>
            <color indexed="81"/>
            <rFont val="Times New Roman"/>
            <family val="1"/>
          </rPr>
          <t xml:space="preserve">Devoted Spirit (Strike)
</t>
        </r>
        <r>
          <rPr>
            <b/>
            <sz val="12"/>
            <color indexed="81"/>
            <rFont val="Times New Roman"/>
            <family val="1"/>
          </rPr>
          <t xml:space="preserve">Level:  </t>
        </r>
        <r>
          <rPr>
            <sz val="12"/>
            <color indexed="81"/>
            <rFont val="Times New Roman"/>
            <family val="1"/>
          </rPr>
          <t xml:space="preserve">Crusader 2
</t>
        </r>
        <r>
          <rPr>
            <b/>
            <sz val="12"/>
            <color indexed="81"/>
            <rFont val="Times New Roman"/>
            <family val="1"/>
          </rPr>
          <t xml:space="preserve">Initiation Action: </t>
        </r>
        <r>
          <rPr>
            <sz val="12"/>
            <color indexed="81"/>
            <rFont val="Times New Roman"/>
            <family val="1"/>
          </rPr>
          <t xml:space="preserve">1 standard action
</t>
        </r>
        <r>
          <rPr>
            <b/>
            <sz val="12"/>
            <color indexed="81"/>
            <rFont val="Times New Roman"/>
            <family val="1"/>
          </rPr>
          <t xml:space="preserve">Range: </t>
        </r>
        <r>
          <rPr>
            <sz val="12"/>
            <color indexed="81"/>
            <rFont val="Times New Roman"/>
            <family val="1"/>
          </rPr>
          <t xml:space="preserve">Melee attack
</t>
        </r>
        <r>
          <rPr>
            <b/>
            <sz val="12"/>
            <color indexed="81"/>
            <rFont val="Times New Roman"/>
            <family val="1"/>
          </rPr>
          <t xml:space="preserve">Target: </t>
        </r>
        <r>
          <rPr>
            <sz val="12"/>
            <color indexed="81"/>
            <rFont val="Times New Roman"/>
            <family val="1"/>
          </rPr>
          <t>One creature
Your throw yourself behind your attack, lending your blow such great weight and force that you leave injuries that even magical defenses cannot mend.  Your devotion to your cause gives you boundless energy that allows you to smash through supernatural defenses. When you land an attack, you hit with such force that damage reduction offers little resistance against you.
When you use this maneuver, you make a melee attack against a single foe.  This attack automatically overcomes the opponent’s damage reduction and deals an extra 2d6 points of damage.
Bo9S 85</t>
        </r>
      </text>
    </comment>
    <comment ref="C13" authorId="0" shapeId="0" xr:uid="{F12F2619-AED0-4B66-8E13-7A105274ADFA}">
      <text>
        <r>
          <rPr>
            <sz val="12"/>
            <color indexed="81"/>
            <rFont val="Times New Roman"/>
            <family val="1"/>
          </rPr>
          <t xml:space="preserve">Devoted Spirit (Counter)
</t>
        </r>
        <r>
          <rPr>
            <b/>
            <sz val="12"/>
            <color indexed="81"/>
            <rFont val="Times New Roman"/>
            <family val="1"/>
          </rPr>
          <t xml:space="preserve">Level:  </t>
        </r>
        <r>
          <rPr>
            <sz val="12"/>
            <color indexed="81"/>
            <rFont val="Times New Roman"/>
            <family val="1"/>
          </rPr>
          <t xml:space="preserve">Crusader 2
</t>
        </r>
        <r>
          <rPr>
            <b/>
            <sz val="12"/>
            <color indexed="81"/>
            <rFont val="Times New Roman"/>
            <family val="1"/>
          </rPr>
          <t xml:space="preserve">Initiation Action:  </t>
        </r>
        <r>
          <rPr>
            <sz val="12"/>
            <color indexed="81"/>
            <rFont val="Times New Roman"/>
            <family val="1"/>
          </rPr>
          <t xml:space="preserve">1 immediate action
</t>
        </r>
        <r>
          <rPr>
            <b/>
            <sz val="12"/>
            <color indexed="81"/>
            <rFont val="Times New Roman"/>
            <family val="1"/>
          </rPr>
          <t xml:space="preserve">Range:  </t>
        </r>
        <r>
          <rPr>
            <sz val="12"/>
            <color indexed="81"/>
            <rFont val="Times New Roman"/>
            <family val="1"/>
          </rPr>
          <t xml:space="preserve">Personal
</t>
        </r>
        <r>
          <rPr>
            <b/>
            <sz val="12"/>
            <color indexed="81"/>
            <rFont val="Times New Roman"/>
            <family val="1"/>
          </rPr>
          <t xml:space="preserve">Target:  </t>
        </r>
        <r>
          <rPr>
            <sz val="12"/>
            <color indexed="81"/>
            <rFont val="Times New Roman"/>
            <family val="1"/>
          </rPr>
          <t xml:space="preserve">You
</t>
        </r>
        <r>
          <rPr>
            <b/>
            <sz val="12"/>
            <color indexed="81"/>
            <rFont val="Times New Roman"/>
            <family val="1"/>
          </rPr>
          <t xml:space="preserve">Duration:  </t>
        </r>
        <r>
          <rPr>
            <sz val="12"/>
            <color indexed="81"/>
            <rFont val="Times New Roman"/>
            <family val="1"/>
          </rPr>
          <t>Instantaneous
With a heroic burst of effort, you thrust your shield between your defenseless ally and your enemy.
As an immediate action, you can grant an AC bonus to an adjacent ally equal to your shield’s AC bonus + 4.  You apply this bonus in response to a single melee or ranged attack that targets your ally.  You can initiate this maneuver after an opponent makes his attack roll, but you must do so before you know whether the attack was a success or a failure.
Bo9S 60</t>
        </r>
      </text>
    </comment>
    <comment ref="C14" authorId="0" shapeId="0" xr:uid="{4ED27929-D713-4854-8707-281A6E63D885}">
      <text>
        <r>
          <rPr>
            <sz val="12"/>
            <color indexed="81"/>
            <rFont val="Times New Roman"/>
            <family val="1"/>
          </rPr>
          <t xml:space="preserve">Stone Dragon (Strike)
</t>
        </r>
        <r>
          <rPr>
            <b/>
            <sz val="12"/>
            <color indexed="81"/>
            <rFont val="Times New Roman"/>
            <family val="1"/>
          </rPr>
          <t xml:space="preserve">Level: </t>
        </r>
        <r>
          <rPr>
            <sz val="12"/>
            <color indexed="81"/>
            <rFont val="Times New Roman"/>
            <family val="1"/>
          </rPr>
          <t xml:space="preserve">Crusader 2, swordsage 2, warblade 2
</t>
        </r>
        <r>
          <rPr>
            <b/>
            <sz val="12"/>
            <color indexed="81"/>
            <rFont val="Times New Roman"/>
            <family val="1"/>
          </rPr>
          <t xml:space="preserve">Initiation Action: </t>
        </r>
        <r>
          <rPr>
            <sz val="12"/>
            <color indexed="81"/>
            <rFont val="Times New Roman"/>
            <family val="1"/>
          </rPr>
          <t xml:space="preserve">1 standard action
</t>
        </r>
        <r>
          <rPr>
            <b/>
            <sz val="12"/>
            <color indexed="81"/>
            <rFont val="Times New Roman"/>
            <family val="1"/>
          </rPr>
          <t xml:space="preserve">Range: </t>
        </r>
        <r>
          <rPr>
            <sz val="12"/>
            <color indexed="81"/>
            <rFont val="Times New Roman"/>
            <family val="1"/>
          </rPr>
          <t xml:space="preserve">Melee attack
</t>
        </r>
        <r>
          <rPr>
            <b/>
            <sz val="12"/>
            <color indexed="81"/>
            <rFont val="Times New Roman"/>
            <family val="1"/>
          </rPr>
          <t xml:space="preserve">Target: </t>
        </r>
        <r>
          <rPr>
            <sz val="12"/>
            <color indexed="81"/>
            <rFont val="Times New Roman"/>
            <family val="1"/>
          </rPr>
          <t xml:space="preserve">Creature struck
</t>
        </r>
        <r>
          <rPr>
            <b/>
            <sz val="12"/>
            <color indexed="81"/>
            <rFont val="Times New Roman"/>
            <family val="1"/>
          </rPr>
          <t xml:space="preserve">Duration: </t>
        </r>
        <r>
          <rPr>
            <sz val="12"/>
            <color indexed="81"/>
            <rFont val="Times New Roman"/>
            <family val="1"/>
          </rPr>
          <t xml:space="preserve">1 round
</t>
        </r>
        <r>
          <rPr>
            <b/>
            <sz val="12"/>
            <color indexed="81"/>
            <rFont val="Times New Roman"/>
            <family val="1"/>
          </rPr>
          <t xml:space="preserve">Saving Throw: </t>
        </r>
        <r>
          <rPr>
            <sz val="12"/>
            <color indexed="81"/>
            <rFont val="Times New Roman"/>
            <family val="1"/>
          </rPr>
          <t>Fortitude partial
You make a crushing blow that staggers your opponent, leaving it unable to move.  By making a powerful, focused blow, you leave your opponent unable to move.  The crushing weight of your blow forces it to waste a precious moment regaining its footing.
As part of this maneuver, you make a single melee attack.  This attack deals an extra 1d6 points of damage.  If the creature hit is standing on the ground, your attack also drops the target’s speed to 0 feet (for all movement capabilities) for 1 round.  It can otherwise act normally.
A successful Fortitude save (DC 12 + your Str modifier) by the creature struck negates the immobilization, but not the extra damage.
This maneuver functions only against opponents standing on the ground.  A flying creature or a levitating target need not save against the speed reduction effect, but still takes the extra damage.
Bo9S 85</t>
        </r>
      </text>
    </comment>
    <comment ref="C15" authorId="0" shapeId="0" xr:uid="{6D0BEA6F-6800-4091-9A39-F50D47AB1AE2}">
      <text>
        <r>
          <rPr>
            <sz val="12"/>
            <color indexed="81"/>
            <rFont val="Times New Roman"/>
            <family val="1"/>
          </rPr>
          <t xml:space="preserve">Devoted Spirit (Strike)
</t>
        </r>
        <r>
          <rPr>
            <b/>
            <sz val="12"/>
            <color indexed="81"/>
            <rFont val="Times New Roman"/>
            <family val="1"/>
          </rPr>
          <t xml:space="preserve">Level: </t>
        </r>
        <r>
          <rPr>
            <sz val="12"/>
            <color indexed="81"/>
            <rFont val="Times New Roman"/>
            <family val="1"/>
          </rPr>
          <t xml:space="preserve">Crusader 1
</t>
        </r>
        <r>
          <rPr>
            <b/>
            <sz val="12"/>
            <color indexed="81"/>
            <rFont val="Times New Roman"/>
            <family val="1"/>
          </rPr>
          <t xml:space="preserve">Initiation Action: </t>
        </r>
        <r>
          <rPr>
            <sz val="12"/>
            <color indexed="81"/>
            <rFont val="Times New Roman"/>
            <family val="1"/>
          </rPr>
          <t xml:space="preserve">1 standard action
</t>
        </r>
        <r>
          <rPr>
            <b/>
            <sz val="12"/>
            <color indexed="81"/>
            <rFont val="Times New Roman"/>
            <family val="1"/>
          </rPr>
          <t xml:space="preserve">Range: </t>
        </r>
        <r>
          <rPr>
            <sz val="12"/>
            <color indexed="81"/>
            <rFont val="Times New Roman"/>
            <family val="1"/>
          </rPr>
          <t xml:space="preserve">Melee attack
</t>
        </r>
        <r>
          <rPr>
            <b/>
            <sz val="12"/>
            <color indexed="81"/>
            <rFont val="Times New Roman"/>
            <family val="1"/>
          </rPr>
          <t xml:space="preserve">Target: </t>
        </r>
        <r>
          <rPr>
            <sz val="12"/>
            <color indexed="81"/>
            <rFont val="Times New Roman"/>
            <family val="1"/>
          </rPr>
          <t>One creature
Divine energy surrounds your weapon as you strike.  This power washes over you as your weapon finds its mark, mending your wounds and giving you the strength to fight on.
As part of initiating this strike, you must make a successful melee attack against an enemy whose alignment has at least one component different from yours.  This foe must pose a threat to you or your allies in some direct, immediate way.  If your attack hits, you or an ally within 10 feet of you heals 1d6 points of damage + 1 point per initiator level (maximum +5).
Bo9S 58</t>
        </r>
      </text>
    </comment>
    <comment ref="C16" authorId="0" shapeId="0" xr:uid="{5112EB7E-EB97-4A02-883F-5F9B9370BC1E}">
      <text>
        <r>
          <rPr>
            <sz val="12"/>
            <color indexed="81"/>
            <rFont val="Times New Roman"/>
            <family val="1"/>
          </rPr>
          <t xml:space="preserve">White Raven (Strike)
</t>
        </r>
        <r>
          <rPr>
            <b/>
            <sz val="12"/>
            <color indexed="81"/>
            <rFont val="Times New Roman"/>
            <family val="1"/>
          </rPr>
          <t xml:space="preserve">Level: </t>
        </r>
        <r>
          <rPr>
            <sz val="12"/>
            <color indexed="81"/>
            <rFont val="Times New Roman"/>
            <family val="1"/>
          </rPr>
          <t xml:space="preserve">Crusader 2, warblade 2
</t>
        </r>
        <r>
          <rPr>
            <b/>
            <sz val="12"/>
            <color indexed="81"/>
            <rFont val="Times New Roman"/>
            <family val="1"/>
          </rPr>
          <t xml:space="preserve">Prerequisite: </t>
        </r>
        <r>
          <rPr>
            <sz val="12"/>
            <color indexed="81"/>
            <rFont val="Times New Roman"/>
            <family val="1"/>
          </rPr>
          <t xml:space="preserve">One White Raven maneuver
</t>
        </r>
        <r>
          <rPr>
            <b/>
            <sz val="12"/>
            <color indexed="81"/>
            <rFont val="Times New Roman"/>
            <family val="1"/>
          </rPr>
          <t xml:space="preserve">Initiation Action: </t>
        </r>
        <r>
          <rPr>
            <sz val="12"/>
            <color indexed="81"/>
            <rFont val="Times New Roman"/>
            <family val="1"/>
          </rPr>
          <t xml:space="preserve">1 full-round action
</t>
        </r>
        <r>
          <rPr>
            <b/>
            <sz val="12"/>
            <color indexed="81"/>
            <rFont val="Times New Roman"/>
            <family val="1"/>
          </rPr>
          <t xml:space="preserve">Range: </t>
        </r>
        <r>
          <rPr>
            <sz val="12"/>
            <color indexed="81"/>
            <rFont val="Times New Roman"/>
            <family val="1"/>
          </rPr>
          <t xml:space="preserve">Melee attack
</t>
        </r>
        <r>
          <rPr>
            <b/>
            <sz val="12"/>
            <color indexed="81"/>
            <rFont val="Times New Roman"/>
            <family val="1"/>
          </rPr>
          <t xml:space="preserve">Target: </t>
        </r>
        <r>
          <rPr>
            <sz val="12"/>
            <color indexed="81"/>
            <rFont val="Times New Roman"/>
            <family val="1"/>
          </rPr>
          <t>One creature
You lead from the front, charging your enemies so that your allies can follow in your wake.  The White Raven discipline teaches that he who seizes the initiative also seizes victory.  You have learned to lead an attack with a mighty charge, the better to disrupt the enemy and inspire your allies in battle.
As part of this maneuver, you charge an opponent.  You do not provoke attacks of opportunity for moving as part of this charge.  If your charge attack hits, it deals an extra 10 points of damage.
Bo9S 90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B3" authorId="0" shapeId="0" xr:uid="{9D247F4B-6A93-403D-A878-3F6426CB28B7}">
      <text>
        <r>
          <rPr>
            <sz val="12"/>
            <color indexed="81"/>
            <rFont val="Times New Roman"/>
            <family val="1"/>
          </rPr>
          <t>Damage when Large:  1d10 ==&gt; 2d8.
Damage when Small:  1d10 ==&gt; 1d8.</t>
        </r>
      </text>
    </comment>
    <comment ref="D3" authorId="0" shapeId="0" xr:uid="{0AC2D0DD-8608-4B0E-B23B-9CC4F23970E7}">
      <text>
        <r>
          <rPr>
            <sz val="12"/>
            <color indexed="81"/>
            <rFont val="Times New Roman"/>
            <family val="1"/>
          </rPr>
          <t>Weapon Focus +1
Weapon +1
Inspire Courage +2</t>
        </r>
      </text>
    </comment>
    <comment ref="B4" authorId="0" shapeId="0" xr:uid="{AFD059EE-C649-4370-855E-553E4F96E0C0}">
      <text>
        <r>
          <rPr>
            <sz val="12"/>
            <color indexed="81"/>
            <rFont val="Times New Roman"/>
            <family val="1"/>
          </rPr>
          <t>Damage when Large:  1d10 ==&gt; 2d8.
Damage when Small:  1d10 ==&gt; 1d8.</t>
        </r>
      </text>
    </comment>
    <comment ref="D4" authorId="0" shapeId="0" xr:uid="{FCC5EE16-E80A-40A7-A0D0-AE03CBBBB501}">
      <text>
        <r>
          <rPr>
            <sz val="12"/>
            <color indexed="81"/>
            <rFont val="Times New Roman"/>
            <family val="1"/>
          </rPr>
          <t>Weapon Focus +1
Weapon +1
Inspire Courage +2</t>
        </r>
      </text>
    </comment>
    <comment ref="A5" authorId="0" shapeId="0" xr:uid="{18460AE3-AA50-4148-81C0-F866E5E9D460}">
      <text>
        <r>
          <rPr>
            <b/>
            <sz val="12"/>
            <color indexed="81"/>
            <rFont val="Times New Roman"/>
            <family val="1"/>
          </rPr>
          <t xml:space="preserve">Price (Item Level):  </t>
        </r>
        <r>
          <rPr>
            <sz val="12"/>
            <color indexed="81"/>
            <rFont val="Times New Roman"/>
            <family val="1"/>
          </rPr>
          <t xml:space="preserve">1,000 gp (4th) (least); 5,000 gp (9th) (lesser); 10,000 gp (12th) (greater)
</t>
        </r>
        <r>
          <rPr>
            <b/>
            <sz val="12"/>
            <color indexed="81"/>
            <rFont val="Times New Roman"/>
            <family val="1"/>
          </rPr>
          <t xml:space="preserve">Body Slot:  </t>
        </r>
        <r>
          <rPr>
            <sz val="12"/>
            <color indexed="81"/>
            <rFont val="Times New Roman"/>
            <family val="1"/>
          </rPr>
          <t xml:space="preserve">— (weapon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evocation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amethyst is carved in the shape of a humanoid skull.
Clerics craft truedeath crystals to aid themselves and others in sending undead to their final rest.
</t>
        </r>
        <r>
          <rPr>
            <b/>
            <sz val="12"/>
            <color indexed="81"/>
            <rFont val="Times New Roman"/>
            <family val="1"/>
          </rPr>
          <t xml:space="preserve">Least: </t>
        </r>
        <r>
          <rPr>
            <sz val="12"/>
            <color indexed="81"/>
            <rFont val="Times New Roman"/>
            <family val="1"/>
          </rPr>
          <t xml:space="preserve">A weapon with this crystal attached deals an extra 1d6 points of damage to undead.
</t>
        </r>
        <r>
          <rPr>
            <b/>
            <sz val="12"/>
            <color indexed="81"/>
            <rFont val="Times New Roman"/>
            <family val="1"/>
          </rPr>
          <t xml:space="preserve">Lesser: </t>
        </r>
        <r>
          <rPr>
            <sz val="12"/>
            <color indexed="81"/>
            <rFont val="Times New Roman"/>
            <family val="1"/>
          </rPr>
          <t xml:space="preserve">As the least crystal, and the weapon also functions as a ghost touch weapon (DMG 224).
</t>
        </r>
        <r>
          <rPr>
            <b/>
            <sz val="12"/>
            <color indexed="81"/>
            <rFont val="Times New Roman"/>
            <family val="1"/>
          </rPr>
          <t xml:space="preserve">Greater: </t>
        </r>
        <r>
          <rPr>
            <sz val="12"/>
            <color indexed="81"/>
            <rFont val="Times New Roman"/>
            <family val="1"/>
          </rPr>
          <t>As the lesser crystal, and the weapon can deliver sneak attacks and critical hits against undead as if they were living creatures.
MIC 66</t>
        </r>
      </text>
    </comment>
    <comment ref="D6" authorId="0" shapeId="0" xr:uid="{59E08BF5-AC4A-4334-82EC-1582E5D67ACA}">
      <text>
        <r>
          <rPr>
            <sz val="12"/>
            <color indexed="81"/>
            <rFont val="Times New Roman"/>
            <family val="1"/>
          </rPr>
          <t>Masterwork +1
Inspire Courage +2</t>
        </r>
      </text>
    </comment>
    <comment ref="D7" authorId="0" shapeId="0" xr:uid="{8650753B-64F4-4AAE-8A3B-991620DDE8F6}">
      <text>
        <r>
          <rPr>
            <sz val="12"/>
            <color indexed="81"/>
            <rFont val="Times New Roman"/>
            <family val="1"/>
          </rPr>
          <t>Masterwork +1
Inspire Courage +2</t>
        </r>
      </text>
    </comment>
    <comment ref="A8" authorId="0" shapeId="0" xr:uid="{8C948273-0C9A-428B-94FA-E11AF54A86DD}">
      <text>
        <r>
          <rPr>
            <b/>
            <sz val="12"/>
            <color indexed="81"/>
            <rFont val="Times New Roman"/>
            <family val="1"/>
          </rPr>
          <t xml:space="preserve">Price (Item Level): </t>
        </r>
        <r>
          <rPr>
            <sz val="12"/>
            <color indexed="81"/>
            <rFont val="Times New Roman"/>
            <family val="1"/>
          </rPr>
          <t xml:space="preserve">1,000 gp (4th) (least); 3,000 gp (7th) (lesser); 5,000 gp (9th) (greater)
</t>
        </r>
        <r>
          <rPr>
            <b/>
            <sz val="12"/>
            <color indexed="81"/>
            <rFont val="Times New Roman"/>
            <family val="1"/>
          </rPr>
          <t xml:space="preserve">Body Slot: </t>
        </r>
        <r>
          <rPr>
            <sz val="12"/>
            <color indexed="81"/>
            <rFont val="Times New Roman"/>
            <family val="1"/>
          </rPr>
          <t xml:space="preserve">— (weapon crystal)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This perfect crystal sphere emits a faint white glow.
A fiendslayer crystal helps you fi ght creatures infused with evil.
Least: A weapon with this crystal attached deals an extra 1d6 points of damage to evil outsiders.  Lesser: As the least crystal, and the weapon is treated as good-aligned for the purpose of overcoming damage reduction.
Greater: As the lesser crystal, and if the weapon scores a critical hit against an evil outsider, that creature can’t use any teleportation abilities or spells for 1 round.  Any evil creature grasping a weapon that bears a fiendslayer crystal gains one negative level, which remains as long as it holds the weapon and disappears when the weapon is no longer wielded.  This negative level never results in actual level loss, but it cannot be overcome in any way (including restoration spells) while the weapon is wielded.
MIC 65</t>
        </r>
      </text>
    </comment>
    <comment ref="D9" authorId="0" shapeId="0" xr:uid="{EB8DE98C-884B-403A-BD98-78E007A549E3}">
      <text>
        <r>
          <rPr>
            <sz val="12"/>
            <color indexed="81"/>
            <rFont val="Times New Roman"/>
            <family val="1"/>
          </rPr>
          <t>Inspire Courage +2</t>
        </r>
      </text>
    </comment>
    <comment ref="D10" authorId="0" shapeId="0" xr:uid="{0612BE9C-2FD5-46BF-B8C3-0AA49E198D6C}">
      <text>
        <r>
          <rPr>
            <sz val="12"/>
            <color indexed="81"/>
            <rFont val="Times New Roman"/>
            <family val="1"/>
          </rPr>
          <t>Inspire Courage +2</t>
        </r>
      </text>
    </comment>
    <comment ref="D11" authorId="0" shapeId="0" xr:uid="{422625F1-6B08-48D1-9B34-F0FFB96D6211}">
      <text>
        <r>
          <rPr>
            <sz val="12"/>
            <color indexed="81"/>
            <rFont val="Times New Roman"/>
            <family val="1"/>
          </rPr>
          <t>Inspire Courage +2</t>
        </r>
      </text>
    </comment>
    <comment ref="D12" authorId="0" shapeId="0" xr:uid="{A6E607B1-B129-4F4D-B9E0-6298FC45A3B5}">
      <text>
        <r>
          <rPr>
            <sz val="12"/>
            <color indexed="81"/>
            <rFont val="Times New Roman"/>
            <family val="1"/>
          </rPr>
          <t>Inspire Courage +2</t>
        </r>
      </text>
    </comment>
    <comment ref="D13" authorId="0" shapeId="0" xr:uid="{EFE4BBE2-82C1-40AE-A364-2255B51F6258}">
      <text>
        <r>
          <rPr>
            <sz val="12"/>
            <color indexed="81"/>
            <rFont val="Times New Roman"/>
            <family val="1"/>
          </rPr>
          <t>Inspire Courage +2</t>
        </r>
      </text>
    </comment>
    <comment ref="D14" authorId="0" shapeId="0" xr:uid="{9C2D8666-F7EA-4F59-BE2A-FEC0CDD19551}">
      <text>
        <r>
          <rPr>
            <sz val="12"/>
            <color indexed="81"/>
            <rFont val="Times New Roman"/>
            <family val="1"/>
          </rPr>
          <t>Inspire Courage +2</t>
        </r>
      </text>
    </comment>
    <comment ref="D15" authorId="0" shapeId="0" xr:uid="{D5EE3F79-9B57-4A16-88A4-91E7DEE299BD}">
      <text>
        <r>
          <rPr>
            <sz val="12"/>
            <color indexed="81"/>
            <rFont val="Times New Roman"/>
            <family val="1"/>
          </rPr>
          <t>Inspire Courage +2</t>
        </r>
      </text>
    </comment>
    <comment ref="D16" authorId="0" shapeId="0" xr:uid="{DFE6D3EC-C017-4B68-BCAA-F378D98D7056}">
      <text>
        <r>
          <rPr>
            <sz val="12"/>
            <color indexed="81"/>
            <rFont val="Times New Roman"/>
            <family val="1"/>
          </rPr>
          <t>Inspire Courage +2</t>
        </r>
      </text>
    </comment>
    <comment ref="D17" authorId="0" shapeId="0" xr:uid="{52B86011-34D9-4449-A5C7-D30A5C8CCDD6}">
      <text>
        <r>
          <rPr>
            <sz val="12"/>
            <color indexed="81"/>
            <rFont val="Times New Roman"/>
            <family val="1"/>
          </rPr>
          <t>Inspire Courage +2</t>
        </r>
      </text>
    </comment>
    <comment ref="D29" authorId="0" shapeId="0" xr:uid="{00000000-0006-0000-0500-000005000000}">
      <text>
        <r>
          <rPr>
            <sz val="12"/>
            <color indexed="81"/>
            <rFont val="Times New Roman"/>
            <family val="1"/>
          </rPr>
          <t>Balance, Climb, Escape Artist, Hide, Jump, Move Silently, Sleight of Hand, Tumble.</t>
        </r>
      </text>
    </comment>
    <comment ref="A30" authorId="0" shapeId="0" xr:uid="{C575D7D5-B33B-4199-87FA-E95CC4A23E91}">
      <text>
        <r>
          <rPr>
            <b/>
            <sz val="12"/>
            <color indexed="81"/>
            <rFont val="Times New Roman"/>
            <family val="1"/>
          </rPr>
          <t xml:space="preserve">Price:  </t>
        </r>
        <r>
          <rPr>
            <sz val="12"/>
            <color indexed="81"/>
            <rFont val="Times New Roman"/>
            <family val="1"/>
          </rPr>
          <t xml:space="preserve">+1,500 gp
</t>
        </r>
        <r>
          <rPr>
            <b/>
            <sz val="12"/>
            <color indexed="81"/>
            <rFont val="Times New Roman"/>
            <family val="1"/>
          </rPr>
          <t xml:space="preserve">Property:  </t>
        </r>
        <r>
          <rPr>
            <sz val="12"/>
            <color indexed="81"/>
            <rFont val="Times New Roman"/>
            <family val="1"/>
          </rPr>
          <t xml:space="preserve">Armor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This armor seems to weigh less than it should.
When wearing armor that has this property, you can carry up to a medium load as if it were a light load (ignoring the maximum Dexterity bonus, check penalty, and reduced speed normally incurred by a medium load). These reductions apply only to penalties for the load you carry, not to any reduction in speed caused by the armor itself.
In addition, you can walk for up to 10 hours in a day before having to make Constitution checks to avoid taking nonlethal damage (PH 164).
MIC 10</t>
        </r>
      </text>
    </comment>
    <comment ref="A31" authorId="0" shapeId="0" xr:uid="{7407C80F-CDF1-418C-BA97-353BC2DA02B8}">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This sea-green crystal always feels moist to the touch.
A crystal of aquatic action aids the wearer while underwater.
Least: Any armor bearing this augment crystal does not impose an armor check
penalty on your Swim checks.
Lesser: As the least crystal, and you also gain a Swim speed equal to one-half
your land speed (round down to the next 5-foot increment).
Greater: As the lesser crystal, and you also take no penalties on attacks or movement while underwater (as if under the effect of freedom of movement) and you can breathe water as easily as air.
MIC 25</t>
        </r>
      </text>
    </comment>
    <comment ref="A32" authorId="0" shapeId="0" xr:uid="{34702EEA-4909-42B9-B951-27E1AB3CE730}">
      <text>
        <r>
          <rPr>
            <b/>
            <sz val="12"/>
            <color indexed="81"/>
            <rFont val="Times New Roman"/>
            <family val="1"/>
          </rPr>
          <t xml:space="preserve">Price (Item Level): </t>
        </r>
        <r>
          <rPr>
            <sz val="12"/>
            <color indexed="81"/>
            <rFont val="Times New Roman"/>
            <family val="1"/>
          </rPr>
          <t xml:space="preserve">2,300 gp (6th)
</t>
        </r>
        <r>
          <rPr>
            <b/>
            <sz val="12"/>
            <color indexed="81"/>
            <rFont val="Times New Roman"/>
            <family val="1"/>
          </rPr>
          <t xml:space="preserve">Body Slot: </t>
        </r>
        <r>
          <rPr>
            <sz val="12"/>
            <color indexed="81"/>
            <rFont val="Times New Roman"/>
            <family val="1"/>
          </rPr>
          <t xml:space="preserve">Arms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 and immediate (mental)
</t>
        </r>
        <r>
          <rPr>
            <b/>
            <sz val="12"/>
            <color indexed="81"/>
            <rFont val="Times New Roman"/>
            <family val="1"/>
          </rPr>
          <t xml:space="preserve">Weight: </t>
        </r>
        <r>
          <rPr>
            <sz val="12"/>
            <color indexed="81"/>
            <rFont val="Times New Roman"/>
            <family val="1"/>
          </rPr>
          <t>1/2 lb.
These matching leather wristbands feel light but strong.
Bracers of opportunity allow you to take advantage of opponents who let down their defenses.
If you have the Combat Refl exes feat, you gain a +2 competence bonus on any attack of opportunity you make (whether the attack of opportunity is granted by the bracers or not).  This is a continuous effect and requires no activation.
When you activate these bracers, you can take an attack of opportunity granted to you by an opponent, even if you have already reached your normal limit of attacks of opportunity in the round.  This ability functions two times per day.
MIC 81</t>
        </r>
      </text>
    </comment>
    <comment ref="B34" authorId="0" shapeId="0" xr:uid="{117F8254-41A3-43F6-91E5-3939F32C1211}">
      <text>
        <r>
          <rPr>
            <sz val="12"/>
            <color indexed="81"/>
            <rFont val="Times New Roman"/>
            <family val="1"/>
          </rPr>
          <t>This is a deflection bonus, so it's hard-coded into the TAC calculation in the Personal File.</t>
        </r>
      </text>
    </comment>
    <comment ref="A35" authorId="0" shapeId="0" xr:uid="{982973DE-9CA6-4434-97C6-2A77DE64B579}">
      <text>
        <r>
          <rPr>
            <b/>
            <sz val="12"/>
            <color indexed="81"/>
            <rFont val="Times New Roman"/>
            <family val="1"/>
          </rPr>
          <t xml:space="preserve">Price (Item Level): </t>
        </r>
        <r>
          <rPr>
            <sz val="12"/>
            <color indexed="81"/>
            <rFont val="Times New Roman"/>
            <family val="1"/>
          </rPr>
          <t xml:space="preserve">500 gp (3rd) (least), 2,500 gp (7th) (lesser), or 5,000 gp (9th) (greater)
</t>
        </r>
        <r>
          <rPr>
            <b/>
            <sz val="12"/>
            <color indexed="81"/>
            <rFont val="Times New Roman"/>
            <family val="1"/>
          </rPr>
          <t xml:space="preserve">Body Slot: </t>
        </r>
        <r>
          <rPr>
            <sz val="12"/>
            <color indexed="81"/>
            <rFont val="Times New Roman"/>
            <family val="1"/>
          </rPr>
          <t xml:space="preserve">— (shield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divination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blue sapphire is cut into a large cabochon.  It contains a small fl int arrowhead in its center.
A crystal of arrow defl ection protects you from ranged weapon attacks.
</t>
        </r>
        <r>
          <rPr>
            <b/>
            <sz val="12"/>
            <color indexed="81"/>
            <rFont val="Times New Roman"/>
            <family val="1"/>
          </rPr>
          <t xml:space="preserve">Least: </t>
        </r>
        <r>
          <rPr>
            <sz val="12"/>
            <color indexed="81"/>
            <rFont val="Times New Roman"/>
            <family val="1"/>
          </rPr>
          <t xml:space="preserve">This augment crystal grants you a +2 bonus to AC against ranged attacks.
</t>
        </r>
        <r>
          <rPr>
            <b/>
            <sz val="12"/>
            <color indexed="81"/>
            <rFont val="Times New Roman"/>
            <family val="1"/>
          </rPr>
          <t xml:space="preserve">Lesser: </t>
        </r>
        <r>
          <rPr>
            <sz val="12"/>
            <color indexed="81"/>
            <rFont val="Times New Roman"/>
            <family val="1"/>
          </rPr>
          <t xml:space="preserve">As the least crystal, except the bonus is +5.
</t>
        </r>
        <r>
          <rPr>
            <b/>
            <sz val="12"/>
            <color indexed="81"/>
            <rFont val="Times New Roman"/>
            <family val="1"/>
          </rPr>
          <t xml:space="preserve">Greater: </t>
        </r>
        <r>
          <rPr>
            <sz val="12"/>
            <color indexed="81"/>
            <rFont val="Times New Roman"/>
            <family val="1"/>
          </rPr>
          <t>As the least crystal, and you can deflect one ranged attack per round as if you had the Deflect Arrows feat.
MIC 25</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4" authorId="0" shapeId="0" xr:uid="{66BE915B-4E5C-4FA9-AB44-E8C31A69F386}">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t>
        </r>
        <r>
          <rPr>
            <b/>
            <sz val="12"/>
            <color indexed="81"/>
            <rFont val="Times New Roman"/>
            <family val="1"/>
          </rPr>
          <t xml:space="preserve">1 charge:  </t>
        </r>
        <r>
          <rPr>
            <sz val="12"/>
            <color indexed="81"/>
            <rFont val="Times New Roman"/>
            <family val="1"/>
          </rPr>
          <t xml:space="preserve">Heals 2d8 points of damage.
</t>
        </r>
        <r>
          <rPr>
            <b/>
            <sz val="12"/>
            <color indexed="81"/>
            <rFont val="Times New Roman"/>
            <family val="1"/>
          </rPr>
          <t xml:space="preserve">2 charges:  </t>
        </r>
        <r>
          <rPr>
            <sz val="12"/>
            <color indexed="81"/>
            <rFont val="Times New Roman"/>
            <family val="1"/>
          </rPr>
          <t xml:space="preserve">Heals 3d8 points of damage.
</t>
        </r>
        <r>
          <rPr>
            <b/>
            <sz val="12"/>
            <color indexed="81"/>
            <rFont val="Times New Roman"/>
            <family val="1"/>
          </rPr>
          <t xml:space="preserve">3 charges:  </t>
        </r>
        <r>
          <rPr>
            <sz val="12"/>
            <color indexed="81"/>
            <rFont val="Times New Roman"/>
            <family val="1"/>
          </rPr>
          <t xml:space="preserve">Heals 4d8 points of damage.
</t>
        </r>
        <r>
          <rPr>
            <b/>
            <sz val="12"/>
            <color indexed="81"/>
            <rFont val="Times New Roman"/>
            <family val="1"/>
          </rPr>
          <t xml:space="preserve">Prerequisites:  </t>
        </r>
        <r>
          <rPr>
            <sz val="12"/>
            <color indexed="81"/>
            <rFont val="Times New Roman"/>
            <family val="1"/>
          </rPr>
          <t>Craft Wondrous Item, cure moderate wounds.
MIC 110</t>
        </r>
      </text>
    </comment>
    <comment ref="A5" authorId="0" shapeId="0" xr:uid="{09D46464-A6D4-4BC3-84D7-79087BBC5F12}">
      <text>
        <r>
          <rPr>
            <b/>
            <sz val="12"/>
            <color indexed="81"/>
            <rFont val="Times New Roman"/>
            <family val="1"/>
          </rPr>
          <t xml:space="preserve">Price (Item Level):  </t>
        </r>
        <r>
          <rPr>
            <sz val="12"/>
            <color indexed="81"/>
            <rFont val="Times New Roman"/>
            <family val="1"/>
          </rPr>
          <t xml:space="preserve">1,400 gp (5th)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conjuration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A pewter chime hangs from this simple leather ankle-band.
An anklet of translocation allows you to make short dimensional hops.  When it is activated, you can instantly teleport (with no chance of error) up to 10 feet.  The new space must be within line of sight and line of effect.
You can’t use the anklet to move into a space occupied by another creature, nor can you teleport into a solid object; if you attempt to do so, the anklet’s activation is wasted.  You can bring along objects weighing up to your maximum load, but you can’t bring another creature with you.
An anklet of translocation functions two times per day.
MIC 71</t>
        </r>
      </text>
    </comment>
    <comment ref="A6" authorId="0" shapeId="0" xr:uid="{EF0C0A44-C164-40AC-AF6D-2AB9A6BDF00E}">
      <text>
        <r>
          <rPr>
            <b/>
            <sz val="12"/>
            <color indexed="81"/>
            <rFont val="Times New Roman"/>
            <family val="1"/>
          </rPr>
          <t xml:space="preserve">Price (Item Level):  </t>
        </r>
        <r>
          <rPr>
            <sz val="12"/>
            <color indexed="81"/>
            <rFont val="Times New Roman"/>
            <family val="1"/>
          </rPr>
          <t xml:space="preserve">2,300 gp (6th)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4th
</t>
        </r>
        <r>
          <rPr>
            <b/>
            <sz val="12"/>
            <color indexed="81"/>
            <rFont val="Times New Roman"/>
            <family val="1"/>
          </rPr>
          <t xml:space="preserve">Aura:  </t>
        </r>
        <r>
          <rPr>
            <sz val="12"/>
            <color indexed="81"/>
            <rFont val="Times New Roman"/>
            <family val="1"/>
          </rPr>
          <t xml:space="preserve">Faint; (DC 17) enchantment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Adorning a glossy silver chain, a spiral of pearl teardrops circles a colorless crystal sphere.
An amulet of tears has 3 charges, which are renewed each day at dawn.  Spending 1 or more charges when you activate the amulet grants you temporary hit points, as described below.  These hit points last for up to 10 minutes; they don’t stack with any other temporary hit points.
</t>
        </r>
        <r>
          <rPr>
            <b/>
            <sz val="12"/>
            <color indexed="81"/>
            <rFont val="Times New Roman"/>
            <family val="1"/>
          </rPr>
          <t xml:space="preserve">1 charge:  </t>
        </r>
        <r>
          <rPr>
            <sz val="12"/>
            <color indexed="81"/>
            <rFont val="Times New Roman"/>
            <family val="1"/>
          </rPr>
          <t xml:space="preserve">12 temporary hit points.
</t>
        </r>
        <r>
          <rPr>
            <b/>
            <sz val="12"/>
            <color indexed="81"/>
            <rFont val="Times New Roman"/>
            <family val="1"/>
          </rPr>
          <t xml:space="preserve">2 charges:  </t>
        </r>
        <r>
          <rPr>
            <sz val="12"/>
            <color indexed="81"/>
            <rFont val="Times New Roman"/>
            <family val="1"/>
          </rPr>
          <t xml:space="preserve">18 temporary hit points.
</t>
        </r>
        <r>
          <rPr>
            <b/>
            <sz val="12"/>
            <color indexed="81"/>
            <rFont val="Times New Roman"/>
            <family val="1"/>
          </rPr>
          <t xml:space="preserve">3 charges:  </t>
        </r>
        <r>
          <rPr>
            <sz val="12"/>
            <color indexed="81"/>
            <rFont val="Times New Roman"/>
            <family val="1"/>
          </rPr>
          <t>24 temporary hit points.
MIC 70</t>
        </r>
      </text>
    </comment>
    <comment ref="A7" authorId="0" shapeId="0" xr:uid="{C9670EAC-08C0-43BD-9AB6-8AADE92F67B3}">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Hands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This pair of heavy black leather gauntlets is set with metal studs.
Brute gauntlets allow you to temporarily increase your physical might.  These gauntlets have 3 charges, which are renewed each day at dawn.  Spending 1 or more charges grants you a morale bonus on Strength checks, Strength-based skill checks, and melee weapon damage for 1 round.
</t>
        </r>
        <r>
          <rPr>
            <b/>
            <sz val="12"/>
            <color indexed="81"/>
            <rFont val="Times New Roman"/>
            <family val="1"/>
          </rPr>
          <t xml:space="preserve">1 charge:  </t>
        </r>
        <r>
          <rPr>
            <sz val="12"/>
            <color indexed="81"/>
            <rFont val="Times New Roman"/>
            <family val="1"/>
          </rPr>
          <t xml:space="preserve">+2 morale bonus.
</t>
        </r>
        <r>
          <rPr>
            <b/>
            <sz val="12"/>
            <color indexed="81"/>
            <rFont val="Times New Roman"/>
            <family val="1"/>
          </rPr>
          <t xml:space="preserve">2 charges:  </t>
        </r>
        <r>
          <rPr>
            <sz val="12"/>
            <color indexed="81"/>
            <rFont val="Times New Roman"/>
            <family val="1"/>
          </rPr>
          <t xml:space="preserve">+3 morale bonus.
</t>
        </r>
        <r>
          <rPr>
            <b/>
            <sz val="12"/>
            <color indexed="81"/>
            <rFont val="Times New Roman"/>
            <family val="1"/>
          </rPr>
          <t xml:space="preserve">3 charges:  </t>
        </r>
        <r>
          <rPr>
            <sz val="12"/>
            <color indexed="81"/>
            <rFont val="Times New Roman"/>
            <family val="1"/>
          </rPr>
          <t>+4 morale bonus.
MIC 83</t>
        </r>
      </text>
    </comment>
    <comment ref="A18" authorId="0" shapeId="0" xr:uid="{67B52D3C-38E9-4AF6-9421-4AD91CC0ADC3}">
      <text>
        <r>
          <rPr>
            <b/>
            <sz val="12"/>
            <color indexed="81"/>
            <rFont val="Times New Roman"/>
            <family val="1"/>
          </rPr>
          <t xml:space="preserve">Price (Item Level):  </t>
        </r>
        <r>
          <rPr>
            <sz val="12"/>
            <color indexed="81"/>
            <rFont val="Times New Roman"/>
            <family val="1"/>
          </rPr>
          <t xml:space="preserve">200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xml:space="preserve">—
This common-looking brown clay mug has persistent stains just under the rim.
Three times per day, when you recite the command word, this mug fills with 12 ounces of water, cheap ale, or watery wine (your choice).
</t>
        </r>
        <r>
          <rPr>
            <b/>
            <sz val="12"/>
            <color indexed="81"/>
            <rFont val="Times New Roman"/>
            <family val="1"/>
          </rPr>
          <t xml:space="preserve">Prerequisites:  </t>
        </r>
        <r>
          <rPr>
            <sz val="12"/>
            <color indexed="81"/>
            <rFont val="Times New Roman"/>
            <family val="1"/>
          </rPr>
          <t xml:space="preserve">Craft Wondrous Item, create water.
</t>
        </r>
        <r>
          <rPr>
            <b/>
            <sz val="12"/>
            <color indexed="81"/>
            <rFont val="Times New Roman"/>
            <family val="1"/>
          </rPr>
          <t xml:space="preserve">Cost to Create:  </t>
        </r>
        <r>
          <rPr>
            <sz val="12"/>
            <color indexed="81"/>
            <rFont val="Times New Roman"/>
            <family val="1"/>
          </rPr>
          <t>100 gp, 8 XP, 1 day.
MIC 160</t>
        </r>
      </text>
    </comment>
    <comment ref="A26" authorId="0" shapeId="0" xr:uid="{9BF94E10-ABF2-4DFE-907A-6234120BABFA}">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sharedStrings.xml><?xml version="1.0" encoding="utf-8"?>
<sst xmlns="http://schemas.openxmlformats.org/spreadsheetml/2006/main" count="771" uniqueCount="419">
  <si>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</si>
  <si>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</si>
  <si>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</si>
  <si>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</si>
  <si>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</si>
  <si>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</si>
  <si>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</si>
  <si>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</si>
  <si>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</si>
  <si>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</si>
  <si>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</si>
  <si>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</si>
  <si>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</si>
  <si>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</si>
  <si>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</si>
  <si>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</si>
  <si>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</si>
  <si>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</si>
  <si>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</si>
  <si>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</si>
  <si>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</si>
  <si>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</si>
  <si>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</si>
  <si>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</si>
  <si>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</si>
  <si>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</si>
  <si>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</si>
  <si>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</si>
  <si>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</si>
  <si>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</si>
  <si>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</si>
  <si>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</si>
  <si>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</si>
  <si>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</si>
  <si>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</si>
  <si>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</si>
  <si>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</si>
  <si>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</si>
  <si>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</si>
  <si>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</si>
  <si>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</si>
  <si>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</si>
  <si>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</si>
  <si>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</si>
  <si>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</si>
  <si>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</si>
  <si>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</si>
  <si>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</si>
  <si>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</si>
  <si>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</si>
  <si>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</si>
  <si>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</si>
  <si>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</si>
  <si>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</si>
  <si>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</si>
  <si>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</si>
  <si>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</si>
  <si>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</si>
  <si>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</si>
  <si>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</si>
  <si>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Abjuration</t>
  </si>
  <si>
    <t>Touch</t>
  </si>
  <si>
    <t>1 minute</t>
  </si>
  <si>
    <t>Universal</t>
  </si>
  <si>
    <t>1 min/lvl</t>
  </si>
  <si>
    <t>Instant</t>
  </si>
  <si>
    <t>Personal</t>
  </si>
  <si>
    <t>10 min/lvl</t>
  </si>
  <si>
    <t>Evocation</t>
  </si>
  <si>
    <t>Spell</t>
  </si>
  <si>
    <t>Languages</t>
  </si>
  <si>
    <t>School</t>
  </si>
  <si>
    <t>Equipment Worn</t>
  </si>
  <si>
    <t>Item</t>
  </si>
  <si>
    <t>Effects/</t>
  </si>
  <si>
    <t>Notes</t>
  </si>
  <si>
    <t>Equipment Carried</t>
  </si>
  <si>
    <t>Check</t>
  </si>
  <si>
    <t>Arcane</t>
  </si>
  <si>
    <t>Speed</t>
  </si>
  <si>
    <t>Divination</t>
  </si>
  <si>
    <t>Cure Light Wounds</t>
  </si>
  <si>
    <t>Sleight of Hand</t>
  </si>
  <si>
    <t>Survival</t>
  </si>
  <si>
    <t>Weapon Proficiencies</t>
  </si>
  <si>
    <t>Shields (not tower)</t>
  </si>
  <si>
    <t>Atk</t>
  </si>
  <si>
    <t>Components</t>
  </si>
  <si>
    <t>Casting</t>
  </si>
  <si>
    <t>V S</t>
  </si>
  <si>
    <t>1 SA</t>
  </si>
  <si>
    <t>V S DF</t>
  </si>
  <si>
    <t>V S M/DF</t>
  </si>
  <si>
    <t>V S F</t>
  </si>
  <si>
    <t>Light</t>
  </si>
  <si>
    <t>Cure Minor Wounds</t>
  </si>
  <si>
    <t>Guidance</t>
  </si>
  <si>
    <t>Read Magic</t>
  </si>
  <si>
    <t>1st</t>
  </si>
  <si>
    <t>2nd</t>
  </si>
  <si>
    <t>3rd</t>
  </si>
  <si>
    <t>4th</t>
  </si>
  <si>
    <t>5th</t>
  </si>
  <si>
    <t>6th</t>
  </si>
  <si>
    <t>Spell Level</t>
  </si>
  <si>
    <t>0th</t>
  </si>
  <si>
    <t>7th</t>
  </si>
  <si>
    <t>Feats</t>
  </si>
  <si>
    <t>Roll</t>
  </si>
  <si>
    <t>Skill/Save</t>
  </si>
  <si>
    <t>30’</t>
  </si>
  <si>
    <t>Human</t>
  </si>
  <si>
    <t>Divine Favor</t>
  </si>
  <si>
    <t>V M/DF</t>
  </si>
  <si>
    <t>Protection from Evil</t>
  </si>
  <si>
    <t>Knowledge:  Religion</t>
  </si>
  <si>
    <t>Perform:  [type]</t>
  </si>
  <si>
    <t>Knowledge:  Arcana</t>
  </si>
  <si>
    <t>human</t>
  </si>
  <si>
    <t>Bolts</t>
  </si>
  <si>
    <t>+0</t>
  </si>
  <si>
    <t>Value</t>
  </si>
  <si>
    <t>1d8</t>
  </si>
  <si>
    <t>Spell Component Pouch</t>
  </si>
  <si>
    <t>Total Equity:</t>
  </si>
  <si>
    <t>19-20/x2</t>
  </si>
  <si>
    <t>-</t>
  </si>
  <si>
    <t>x2</t>
  </si>
  <si>
    <t>Traveler’s Outfit</t>
  </si>
  <si>
    <t>eight</t>
  </si>
  <si>
    <t>Grapple, Unarmed Strike</t>
  </si>
  <si>
    <t>1d3</t>
  </si>
  <si>
    <t>Bludgeon</t>
  </si>
  <si>
    <t>80’</t>
  </si>
  <si>
    <t>Race</t>
  </si>
  <si>
    <t>Class</t>
  </si>
  <si>
    <t>Sex</t>
  </si>
  <si>
    <t>Effective Caster Level:</t>
  </si>
  <si>
    <t>PHB</t>
  </si>
  <si>
    <t>Reference</t>
  </si>
  <si>
    <t>Page</t>
  </si>
  <si>
    <t>Bypass Spell Resistance</t>
  </si>
  <si>
    <t>Ranged Touch Attack</t>
  </si>
  <si>
    <t>Age</t>
  </si>
  <si>
    <t>Scrolls and Potions</t>
  </si>
  <si>
    <t>CLev</t>
  </si>
  <si>
    <t>Constitution</t>
  </si>
  <si>
    <t>Charisma</t>
  </si>
  <si>
    <t>Intelligence</t>
  </si>
  <si>
    <t>Wisdom</t>
  </si>
  <si>
    <t>Dexterity</t>
  </si>
  <si>
    <t>Strength</t>
  </si>
  <si>
    <t>Region</t>
  </si>
  <si>
    <t>Deity</t>
  </si>
  <si>
    <t>Alignment</t>
  </si>
  <si>
    <t>Attack Bonus</t>
  </si>
  <si>
    <t>Initiative</t>
  </si>
  <si>
    <t>Height</t>
  </si>
  <si>
    <t>Weight</t>
  </si>
  <si>
    <t>Lb. Capacity</t>
  </si>
  <si>
    <t>Lb. Carried</t>
  </si>
  <si>
    <t>Hit Points</t>
  </si>
  <si>
    <t>Touch AC</t>
  </si>
  <si>
    <t>FF AC</t>
  </si>
  <si>
    <t>Craft:  Weaponsmithing</t>
  </si>
  <si>
    <t>Spells Granted by Mayaheine</t>
  </si>
  <si>
    <t>Favored Soul</t>
  </si>
  <si>
    <t>Female</t>
  </si>
  <si>
    <t>5’ 11”</t>
  </si>
  <si>
    <t>211 lbs.</t>
  </si>
  <si>
    <t>Neutral Good</t>
  </si>
  <si>
    <t>Elsabet</t>
  </si>
  <si>
    <t>Played by Ernest Hakey</t>
  </si>
  <si>
    <t>favored soul 1</t>
  </si>
  <si>
    <t>Human:  Fey Heritage</t>
  </si>
  <si>
    <t>Charisma Bonus</t>
  </si>
  <si>
    <t>Favored Soul Spells</t>
  </si>
  <si>
    <t>8th</t>
  </si>
  <si>
    <t>9th</t>
  </si>
  <si>
    <t>DC</t>
  </si>
  <si>
    <t>Cast?</t>
  </si>
  <si>
    <t>Profession:  [type]</t>
  </si>
  <si>
    <t>Slashing</t>
  </si>
  <si>
    <t>AC</t>
  </si>
  <si>
    <t>The Dale</t>
  </si>
  <si>
    <t>Dagger</t>
  </si>
  <si>
    <t>Right Hand</t>
  </si>
  <si>
    <t>Left Hand</t>
  </si>
  <si>
    <t xml:space="preserve">Silver Holy Symbol of Mayaheine </t>
  </si>
  <si>
    <t>Flask of Acid</t>
  </si>
  <si>
    <t>Flask of Alchemist’s Fire</t>
  </si>
  <si>
    <t>Used as a journal</t>
  </si>
  <si>
    <t>Gold Coins</t>
  </si>
  <si>
    <t>Vials of Ink</t>
  </si>
  <si>
    <t>Quills</t>
  </si>
  <si>
    <t>Vials of Antitoxin</t>
  </si>
  <si>
    <t>Bedroll</t>
  </si>
  <si>
    <t>Winter Blanket</t>
  </si>
  <si>
    <t>Waterskin</t>
  </si>
  <si>
    <t>Masterwork Weaponsmith’s Tools</t>
  </si>
  <si>
    <t>Trail Rations, Day’s Supply</t>
  </si>
  <si>
    <t>Torches</t>
  </si>
  <si>
    <t>Flint &amp; Steel</t>
  </si>
  <si>
    <t>Iron Pot</t>
  </si>
  <si>
    <t>Sledge</t>
  </si>
  <si>
    <t>Spade</t>
  </si>
  <si>
    <t>Cold Weather Outfit</t>
  </si>
  <si>
    <t>seven</t>
  </si>
  <si>
    <t>Weaponsmith’s (Artisan’s) Outfit</t>
  </si>
  <si>
    <t>Brown &amp; Green</t>
  </si>
  <si>
    <t>Red &amp; Blue</t>
  </si>
  <si>
    <t>Soap</t>
  </si>
  <si>
    <t>10’</t>
  </si>
  <si>
    <t>1d4</t>
  </si>
  <si>
    <t>Piercing</t>
  </si>
  <si>
    <t>4</t>
  </si>
  <si>
    <t>Crusader</t>
  </si>
  <si>
    <t>+3 vs. Enchantments</t>
  </si>
  <si>
    <t>2</t>
  </si>
  <si>
    <t>Conjuration</t>
  </si>
  <si>
    <t>XP</t>
  </si>
  <si>
    <t>Regional:  Blooded</t>
  </si>
  <si>
    <t>Amanuensis</t>
  </si>
  <si>
    <t>Transmutation</t>
  </si>
  <si>
    <t>25’ + 2½’/lvl</t>
  </si>
  <si>
    <t>Spell Compendium</t>
  </si>
  <si>
    <t>CROSS-CLASS</t>
  </si>
  <si>
    <t>Holy Water, Flask</t>
  </si>
  <si>
    <t>Everburning Torch</t>
  </si>
  <si>
    <t>Tanglefoot Bag</t>
  </si>
  <si>
    <t>Thunderstone</t>
  </si>
  <si>
    <t>Tindertwigs</t>
  </si>
  <si>
    <t>Ice Axe</t>
  </si>
  <si>
    <t>Percolator</t>
  </si>
  <si>
    <t>Mess Kit</t>
  </si>
  <si>
    <t>Zakharan Tea</t>
  </si>
  <si>
    <t>favored soul 2</t>
  </si>
  <si>
    <t>Simple Weapons, Bastard Sword</t>
  </si>
  <si>
    <t>favored soul 3</t>
  </si>
  <si>
    <t>Speak Language:  Giant</t>
  </si>
  <si>
    <t>Favored Soul Features</t>
  </si>
  <si>
    <t>Weapon Focus:  Bastard Sword</t>
  </si>
  <si>
    <t>3rd:  Exotic Proficiency:  Bastard Sword</t>
  </si>
  <si>
    <t>*</t>
  </si>
  <si>
    <t>MW Light Crossbow</t>
  </si>
  <si>
    <t>1</t>
  </si>
  <si>
    <r>
      <t xml:space="preserve">Scroll of </t>
    </r>
    <r>
      <rPr>
        <i/>
        <sz val="12"/>
        <rFont val="Times New Roman"/>
        <family val="1"/>
      </rPr>
      <t>Comprehend Languages</t>
    </r>
  </si>
  <si>
    <t>Silk Rope</t>
  </si>
  <si>
    <t>50’</t>
  </si>
  <si>
    <t>Resurgence</t>
  </si>
  <si>
    <t>Complete Divine</t>
  </si>
  <si>
    <t>Mending</t>
  </si>
  <si>
    <t>Bull’s Strength</t>
  </si>
  <si>
    <t>Restoration, Lesser</t>
  </si>
  <si>
    <t>Silence</t>
  </si>
  <si>
    <t>Illusion</t>
  </si>
  <si>
    <t>400’ + 40’/lvl</t>
  </si>
  <si>
    <t>1d6</t>
  </si>
  <si>
    <t>Grappling Hook</t>
  </si>
  <si>
    <t>Attached to Silk Rope</t>
  </si>
  <si>
    <t>Hourglass</t>
  </si>
  <si>
    <t>Manacles</t>
  </si>
  <si>
    <t>favored soul 4</t>
  </si>
  <si>
    <t>Climber’s Kit</t>
  </si>
  <si>
    <t>Healer’s Kit</t>
  </si>
  <si>
    <t>Favored Soul Level</t>
  </si>
  <si>
    <r>
      <t xml:space="preserve">Scroll of </t>
    </r>
    <r>
      <rPr>
        <i/>
        <sz val="12"/>
        <rFont val="Times New Roman"/>
        <family val="1"/>
      </rPr>
      <t>Magic Weapon</t>
    </r>
  </si>
  <si>
    <t>Soft Equity Ceiling:</t>
  </si>
  <si>
    <t>Heward’s Handy Haversack</t>
  </si>
  <si>
    <t>% Full:</t>
  </si>
  <si>
    <t>Brute Gauntlets</t>
  </si>
  <si>
    <t>crusader 1</t>
  </si>
  <si>
    <t>Knowledge:  History</t>
  </si>
  <si>
    <t>Crusader Features</t>
  </si>
  <si>
    <t>Known Favored Soul Spells</t>
  </si>
  <si>
    <t>Stance:  Leading the Charge (White Raven)</t>
  </si>
  <si>
    <t>Initiator Level:</t>
  </si>
  <si>
    <t>Current Maneuvers</t>
  </si>
  <si>
    <t>Tent</t>
  </si>
  <si>
    <t>Fishing Net</t>
  </si>
  <si>
    <t>Crowbar</t>
  </si>
  <si>
    <t>Hammer</t>
  </si>
  <si>
    <t>Bell</t>
  </si>
  <si>
    <t>4 different tones</t>
  </si>
  <si>
    <t>Signal Whistles, Engraved</t>
  </si>
  <si>
    <t>Smokestick</t>
  </si>
  <si>
    <t>Piton</t>
  </si>
  <si>
    <t>Warlock</t>
  </si>
  <si>
    <t>warlock 1</t>
  </si>
  <si>
    <t>Invocations</t>
  </si>
  <si>
    <t>Grade</t>
  </si>
  <si>
    <t>ESP</t>
  </si>
  <si>
    <t>Properties</t>
  </si>
  <si>
    <t>Eldritch Blast</t>
  </si>
  <si>
    <t>n/a</t>
  </si>
  <si>
    <t>60’</t>
  </si>
  <si>
    <t>1d6, x2 on 20</t>
  </si>
  <si>
    <t>Least</t>
  </si>
  <si>
    <t>24 hours</t>
  </si>
  <si>
    <t>Call of the Beast</t>
  </si>
  <si>
    <t>+2 to act in character</t>
  </si>
  <si>
    <t>6th:  Fey Presence</t>
  </si>
  <si>
    <t>SF</t>
  </si>
  <si>
    <t>q</t>
  </si>
  <si>
    <t>Charm Monster</t>
  </si>
  <si>
    <t>Deep Slumber</t>
  </si>
  <si>
    <t>Disguise Self</t>
  </si>
  <si>
    <t>Favored Soul Spells per Day</t>
  </si>
  <si>
    <t>Bastard Sword +1, 1-handed</t>
  </si>
  <si>
    <t>Anklet of Translocation</t>
  </si>
  <si>
    <t>MIC p. 25</t>
  </si>
  <si>
    <r>
      <t xml:space="preserve">Potion of </t>
    </r>
    <r>
      <rPr>
        <i/>
        <sz val="12"/>
        <rFont val="Times New Roman"/>
        <family val="1"/>
      </rPr>
      <t>Enlarge Person</t>
    </r>
  </si>
  <si>
    <t>Small Mammal Treats</t>
  </si>
  <si>
    <t>Speak with Animals &amp; Wild Empathy</t>
  </si>
  <si>
    <t>60’ max.</t>
  </si>
  <si>
    <t>Furious Counterstrike</t>
  </si>
  <si>
    <t>Steely Resolve 5</t>
  </si>
  <si>
    <t>Foehammer</t>
  </si>
  <si>
    <t>Shield Block</t>
  </si>
  <si>
    <t>Stone Vise</t>
  </si>
  <si>
    <t>Crusader’s Strike</t>
  </si>
  <si>
    <t>Battle Leader’s Charge</t>
  </si>
  <si>
    <t>Maneuvers</t>
  </si>
  <si>
    <t>Cold Iron Spiked Knuckles</t>
  </si>
  <si>
    <t>Silver Spiked Knuckles</t>
  </si>
  <si>
    <t>Total Spells</t>
  </si>
  <si>
    <t>1d10+1</t>
  </si>
  <si>
    <t>Platinum Coins</t>
  </si>
  <si>
    <t>Shawl</t>
  </si>
  <si>
    <t>Mintary weaving</t>
  </si>
  <si>
    <t>Birdseed Bowl</t>
  </si>
  <si>
    <t>MW Candles</t>
  </si>
  <si>
    <t>Last twice as long</t>
  </si>
  <si>
    <t>Prc &amp; Slsh</t>
  </si>
  <si>
    <r>
      <t xml:space="preserve">Scroll of </t>
    </r>
    <r>
      <rPr>
        <i/>
        <sz val="12"/>
        <rFont val="Times New Roman"/>
        <family val="1"/>
      </rPr>
      <t>Remove Paralysis</t>
    </r>
  </si>
  <si>
    <r>
      <t xml:space="preserve">Scroll of </t>
    </r>
    <r>
      <rPr>
        <i/>
        <sz val="12"/>
        <rFont val="Times New Roman"/>
        <family val="1"/>
      </rPr>
      <t>Shield Other</t>
    </r>
  </si>
  <si>
    <r>
      <t xml:space="preserve">Scroll of </t>
    </r>
    <r>
      <rPr>
        <i/>
        <sz val="12"/>
        <rFont val="Times New Roman"/>
        <family val="1"/>
      </rPr>
      <t>Hide from Undead</t>
    </r>
  </si>
  <si>
    <r>
      <t xml:space="preserve">Scroll of </t>
    </r>
    <r>
      <rPr>
        <i/>
        <sz val="12"/>
        <rFont val="Times New Roman"/>
        <family val="1"/>
      </rPr>
      <t>Hold Person</t>
    </r>
  </si>
  <si>
    <t>Bracers of Opportunity</t>
  </si>
  <si>
    <t>warlock 2</t>
  </si>
  <si>
    <t>Warlock Features</t>
  </si>
  <si>
    <t>See the Unseen</t>
  </si>
  <si>
    <t>S</t>
  </si>
  <si>
    <t>Darkvision &amp; See Invisibility</t>
  </si>
  <si>
    <t>For Skill Trick(s)</t>
  </si>
  <si>
    <t>Skill Tricks</t>
  </si>
  <si>
    <t>Extreme Leap</t>
  </si>
  <si>
    <t>Touch Attack</t>
  </si>
  <si>
    <t>Healing Belt</t>
  </si>
  <si>
    <t>List of Culprits at Large</t>
  </si>
  <si>
    <t>Updated Highsun, 6 Tarsakh, 2 fugitives left</t>
  </si>
  <si>
    <t>Copy of Arrest Papers for Kid</t>
  </si>
  <si>
    <t>Parchment</t>
  </si>
  <si>
    <t>Copy of contract to kill the members of the Fist of Light</t>
  </si>
  <si>
    <t>one</t>
  </si>
  <si>
    <r>
      <t xml:space="preserve">+1 </t>
    </r>
    <r>
      <rPr>
        <i/>
        <sz val="13"/>
        <rFont val="Times New Roman"/>
        <family val="1"/>
      </rPr>
      <t>haste</t>
    </r>
  </si>
  <si>
    <t>Indomitable Soul</t>
  </si>
  <si>
    <r>
      <t>66</t>
    </r>
    <r>
      <rPr>
        <sz val="13"/>
        <rFont val="Times New Roman"/>
        <family val="1"/>
      </rPr>
      <t>/</t>
    </r>
    <r>
      <rPr>
        <sz val="13"/>
        <color indexed="51"/>
        <rFont val="Times New Roman"/>
        <family val="1"/>
      </rPr>
      <t>133</t>
    </r>
    <r>
      <rPr>
        <sz val="13"/>
        <rFont val="Times New Roman"/>
        <family val="1"/>
      </rPr>
      <t>/</t>
    </r>
    <r>
      <rPr>
        <sz val="13"/>
        <color indexed="10"/>
        <rFont val="Times New Roman"/>
        <family val="1"/>
      </rPr>
      <t>200</t>
    </r>
  </si>
  <si>
    <t>crusader 2</t>
  </si>
  <si>
    <t>Stance:  Thicket of Blades</t>
  </si>
  <si>
    <t>Wizard’s Spellbook 1</t>
  </si>
  <si>
    <t>Wizard’s Spellbook 2</t>
  </si>
  <si>
    <r>
      <t xml:space="preserve">Scroll of </t>
    </r>
    <r>
      <rPr>
        <i/>
        <sz val="12"/>
        <rFont val="Times New Roman"/>
        <family val="1"/>
      </rPr>
      <t>Dispel Magic</t>
    </r>
  </si>
  <si>
    <r>
      <t xml:space="preserve">Scroll of </t>
    </r>
    <r>
      <rPr>
        <i/>
        <sz val="12"/>
        <rFont val="Times New Roman"/>
        <family val="1"/>
      </rPr>
      <t>Shatter</t>
    </r>
  </si>
  <si>
    <t>Grapple, 2nd Strike</t>
  </si>
  <si>
    <t>Spiked Knuckles, 2nd Strike</t>
  </si>
  <si>
    <t>Dagger, 2nd Attack</t>
  </si>
  <si>
    <t>Bastard Sword, 2nd Attack</t>
  </si>
  <si>
    <t>Amulet of Tears</t>
  </si>
  <si>
    <t>Crystal of Arrow Deflection, Lesser</t>
  </si>
  <si>
    <t>Crystal of Aquatic Action, Lesser</t>
  </si>
  <si>
    <t>+5 vs. ranged weapons (on shield)</t>
  </si>
  <si>
    <t>Fiendslayer Crystal, Least</t>
  </si>
  <si>
    <t>Everfull Mug</t>
  </si>
  <si>
    <t>Flail, 2nd Attack</t>
  </si>
  <si>
    <t>vs.</t>
  </si>
  <si>
    <t>undead</t>
  </si>
  <si>
    <t>Least Truedeath Crystal</t>
  </si>
  <si>
    <t>MW Silver Flail</t>
  </si>
  <si>
    <t>vs. Evil Outsiders</t>
  </si>
  <si>
    <t>1d8-1</t>
  </si>
  <si>
    <t>1d4-1</t>
  </si>
  <si>
    <r>
      <t xml:space="preserve">Scroll of </t>
    </r>
    <r>
      <rPr>
        <i/>
        <sz val="12"/>
        <rFont val="Times New Roman"/>
        <family val="1"/>
      </rPr>
      <t>Resist Energy</t>
    </r>
  </si>
  <si>
    <t>Scroll Case</t>
  </si>
  <si>
    <t>All Armor, Martial Weapons</t>
  </si>
  <si>
    <t>Candles</t>
  </si>
  <si>
    <t>Ring of Protection +2</t>
  </si>
  <si>
    <t>Dispel Magic</t>
  </si>
  <si>
    <t>two</t>
  </si>
  <si>
    <t>9th:  Fey Legacy</t>
  </si>
  <si>
    <t>Human Paragon</t>
  </si>
  <si>
    <t>Confusion</t>
  </si>
  <si>
    <t>Dimension Door</t>
  </si>
  <si>
    <t>Paragon Features</t>
  </si>
  <si>
    <t>Adaptive Learning</t>
  </si>
  <si>
    <t>Knowledge:  Nature</t>
  </si>
  <si>
    <t>Knowledge:  Nobility &amp; Royalty</t>
  </si>
  <si>
    <t>human paragon 1</t>
  </si>
  <si>
    <t>Summon Nature’s Ally V</t>
  </si>
  <si>
    <t>Can take 10</t>
  </si>
  <si>
    <t>Mithral Breastplate of Easy Travel +1</t>
  </si>
  <si>
    <t>Vest of Resistance +1</t>
  </si>
  <si>
    <t>Buckler +2</t>
  </si>
  <si>
    <t>Swim speed = 15’, ½ of land speed</t>
  </si>
  <si>
    <t>15’</t>
  </si>
  <si>
    <t>Common, Goblinoid, Sylvan, Giant</t>
  </si>
  <si>
    <t>Flask, 2nd Lob</t>
  </si>
  <si>
    <t>as above</t>
  </si>
  <si>
    <t>human paragon 2</t>
  </si>
  <si>
    <t>human paragon 3</t>
  </si>
  <si>
    <t>Effective Warlock Level:</t>
  </si>
  <si>
    <t>Knowledge:  Dungeoneering</t>
  </si>
  <si>
    <t>Knowledge:  Planes</t>
  </si>
  <si>
    <t>Feat:  Leadership</t>
  </si>
  <si>
    <t>Feat:  ?</t>
  </si>
  <si>
    <t>12th: ?</t>
  </si>
  <si>
    <t xml:space="preserve">Beguiling Influence </t>
  </si>
  <si>
    <t>Mielikki</t>
  </si>
  <si>
    <t>Bluff, Diplomacy &amp; Intimidate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</si>
</sst>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77"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3"/>
      <color rgb="FFFF0000"/>
      <name val="Times New Roman"/>
      <family val="1"/>
    </font>
    <font>
      <b/>
      <sz val="13"/>
      <color rgb="FF0000FF"/>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sz val="13"/>
      <color rgb="FFFF0000"/>
      <name val="Times New Roman"/>
      <family val="1"/>
    </font>
    <font>
      <i/>
      <sz val="18"/>
      <color rgb="FFFF0000"/>
      <name val="Times New Roman"/>
      <family val="1"/>
    </font>
    <font>
      <i/>
      <sz val="13"/>
      <name val="Times New Roman"/>
      <family val="1"/>
    </font>
    <font>
      <sz val="13"/>
      <color rgb="FF9999FF"/>
      <name val="Times New Roman"/>
      <family val="1"/>
    </font>
    <font>
      <b/>
      <sz val="13"/>
      <color rgb="FF9999FF"/>
      <name val="Times New Roman"/>
      <family val="1"/>
    </font>
    <font>
      <b/>
      <sz val="12"/>
      <color indexed="81"/>
      <name val="Times New Roman"/>
      <family val="1"/>
    </font>
    <font>
      <i/>
      <sz val="12"/>
      <color indexed="81"/>
      <name val="Times New Roman"/>
      <family val="1"/>
    </font>
    <font>
      <i/>
      <sz val="16"/>
      <color rgb="FF0000FF"/>
      <name val="Times New Roman"/>
      <family val="1"/>
    </font>
    <font>
      <b/>
      <sz val="12"/>
      <color theme="1"/>
      <name val="Times New Roman"/>
      <family val="1"/>
    </font>
    <font>
      <b/>
      <sz val="12"/>
      <color rgb="FF0000FF"/>
      <name val="Times New Roman"/>
      <family val="1"/>
    </font>
    <font>
      <i/>
      <sz val="12"/>
      <name val="Times New Roman"/>
      <family val="1"/>
    </font>
    <font>
      <i/>
      <sz val="17"/>
      <name val="Times New Roman"/>
      <family val="1"/>
    </font>
    <font>
      <i/>
      <sz val="18"/>
      <color theme="0"/>
      <name val="Times New Roman"/>
      <family val="1"/>
    </font>
    <font>
      <sz val="13"/>
      <color theme="0"/>
      <name val="Times New Roman"/>
      <family val="1"/>
    </font>
    <font>
      <i/>
      <sz val="18"/>
      <color indexed="20"/>
      <name val="Times New Roman"/>
      <family val="1"/>
    </font>
    <font>
      <sz val="13"/>
      <color indexed="20"/>
      <name val="Times New Roman"/>
      <family val="1"/>
    </font>
    <font>
      <i/>
      <sz val="16"/>
      <name val="Times New Roman"/>
      <family val="1"/>
    </font>
    <font>
      <b/>
      <sz val="13"/>
      <color theme="0"/>
      <name val="Times New Roman"/>
      <family val="1"/>
    </font>
    <font>
      <sz val="13"/>
      <name val="Wingdings"/>
      <charset val="2"/>
    </font>
    <font>
      <b/>
      <i/>
      <sz val="16"/>
      <color theme="0"/>
      <name val="Times New Roman"/>
      <family val="1"/>
    </font>
    <font>
      <sz val="12"/>
      <name val="Wingdings"/>
      <charset val="2"/>
    </font>
    <font>
      <b/>
      <sz val="12"/>
      <color rgb="FF33CC33"/>
      <name val="Times New Roman"/>
      <family val="1"/>
    </font>
    <font>
      <b/>
      <sz val="12"/>
      <color rgb="FF7030A0"/>
      <name val="Times New Roman"/>
      <family val="1"/>
    </font>
    <font>
      <b/>
      <i/>
      <sz val="12"/>
      <color indexed="81"/>
      <name val="Times New Roman"/>
      <family val="1"/>
    </font>
  </fonts>
  <fills count="28">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rgb="FF9966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CFFCC"/>
        <bgColor indexed="55"/>
      </patternFill>
    </fill>
    <fill>
      <patternFill patternType="solid">
        <fgColor rgb="FF0066FF"/>
        <bgColor indexed="64"/>
      </patternFill>
    </fill>
    <fill>
      <patternFill patternType="solid">
        <fgColor indexed="46"/>
        <bgColor indexed="64"/>
      </patternFill>
    </fill>
    <fill>
      <patternFill patternType="solid">
        <fgColor rgb="FF9999FF"/>
        <bgColor indexed="64"/>
      </patternFill>
    </fill>
    <fill>
      <patternFill patternType="solid">
        <fgColor rgb="FFCC66FF"/>
        <bgColor indexed="64"/>
      </patternFill>
    </fill>
    <fill>
      <patternFill patternType="solid">
        <fgColor rgb="FFFFC000"/>
        <bgColor indexed="64"/>
      </patternFill>
    </fill>
    <fill>
      <patternFill patternType="solid">
        <fgColor theme="0" tint="-0.499984740745262"/>
        <bgColor indexed="64"/>
      </patternFill>
    </fill>
    <fill>
      <patternFill patternType="solid">
        <fgColor rgb="FF9900FF"/>
        <bgColor indexed="64"/>
      </patternFill>
    </fill>
    <fill>
      <patternFill patternType="solid">
        <fgColor rgb="FF33CC33"/>
        <bgColor indexed="64"/>
      </patternFill>
    </fill>
    <fill>
      <patternFill patternType="solid">
        <fgColor rgb="FF00B0F0"/>
        <bgColor indexed="64"/>
      </patternFill>
    </fill>
    <fill>
      <patternFill patternType="solid">
        <fgColor rgb="FFFFFF00"/>
        <bgColor indexed="64"/>
      </patternFill>
    </fill>
  </fills>
  <borders count="147">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hair">
        <color indexed="64"/>
      </left>
      <right/>
      <top style="hair">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right style="hair">
        <color indexed="64"/>
      </right>
      <top/>
      <bottom style="hair">
        <color indexed="64"/>
      </bottom>
      <diagonal/>
    </border>
    <border>
      <left style="double">
        <color indexed="64"/>
      </left>
      <right style="hair">
        <color indexed="64"/>
      </right>
      <top/>
      <bottom style="hair">
        <color indexed="64"/>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double">
        <color auto="1"/>
      </right>
      <top style="double">
        <color auto="1"/>
      </top>
      <bottom style="medium">
        <color indexed="64"/>
      </bottom>
      <diagonal/>
    </border>
    <border>
      <left style="double">
        <color auto="1"/>
      </left>
      <right style="medium">
        <color auto="1"/>
      </right>
      <top/>
      <bottom style="hair">
        <color indexed="64"/>
      </bottom>
      <diagonal/>
    </border>
    <border>
      <left style="double">
        <color auto="1"/>
      </left>
      <right style="medium">
        <color auto="1"/>
      </right>
      <top style="hair">
        <color indexed="64"/>
      </top>
      <bottom style="hair">
        <color indexed="64"/>
      </bottom>
      <diagonal/>
    </border>
    <border>
      <left style="double">
        <color auto="1"/>
      </left>
      <right style="medium">
        <color auto="1"/>
      </right>
      <top style="hair">
        <color indexed="64"/>
      </top>
      <bottom style="double">
        <color indexed="64"/>
      </bottom>
      <diagonal/>
    </border>
    <border>
      <left style="double">
        <color auto="1"/>
      </left>
      <right style="medium">
        <color auto="1"/>
      </right>
      <top style="hair">
        <color indexed="64"/>
      </top>
      <bottom/>
      <diagonal/>
    </border>
    <border>
      <left/>
      <right style="hair">
        <color indexed="64"/>
      </right>
      <top style="hair">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double">
        <color indexed="64"/>
      </top>
      <bottom style="thin">
        <color indexed="64"/>
      </bottom>
      <diagonal/>
    </border>
    <border>
      <left style="medium">
        <color indexed="64"/>
      </left>
      <right style="medium">
        <color indexed="64"/>
      </right>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double">
        <color indexed="64"/>
      </right>
      <top style="thin">
        <color indexed="64"/>
      </top>
      <bottom/>
      <diagonal/>
    </border>
    <border>
      <left style="double">
        <color indexed="64"/>
      </left>
      <right style="double">
        <color indexed="64"/>
      </right>
      <top/>
      <bottom/>
      <diagonal/>
    </border>
    <border>
      <left style="double">
        <color indexed="64"/>
      </left>
      <right/>
      <top style="hair">
        <color indexed="64"/>
      </top>
      <bottom/>
      <diagonal/>
    </border>
    <border>
      <left style="hair">
        <color indexed="64"/>
      </left>
      <right/>
      <top style="hair">
        <color indexed="64"/>
      </top>
      <bottom/>
      <diagonal/>
    </border>
    <border>
      <left style="double">
        <color indexed="64"/>
      </left>
      <right style="hair">
        <color indexed="64"/>
      </right>
      <top style="hair">
        <color indexed="64"/>
      </top>
      <bottom/>
      <diagonal/>
    </border>
    <border>
      <left style="double">
        <color indexed="64"/>
      </left>
      <right style="double">
        <color indexed="64"/>
      </right>
      <top style="hair">
        <color indexed="64"/>
      </top>
      <bottom style="medium">
        <color indexed="64"/>
      </bottom>
      <diagonal/>
    </border>
    <border>
      <left style="double">
        <color indexed="64"/>
      </left>
      <right style="double">
        <color indexed="64"/>
      </right>
      <top style="medium">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double">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double">
        <color indexed="64"/>
      </left>
      <right style="double">
        <color indexed="64"/>
      </right>
      <top style="hair">
        <color indexed="64"/>
      </top>
      <bottom style="thin">
        <color indexed="64"/>
      </bottom>
      <diagonal/>
    </border>
    <border>
      <left style="double">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double">
        <color indexed="64"/>
      </top>
      <bottom/>
      <diagonal/>
    </border>
    <border>
      <left style="double">
        <color indexed="64"/>
      </left>
      <right/>
      <top/>
      <bottom style="hair">
        <color indexed="64"/>
      </bottom>
      <diagonal/>
    </border>
  </borders>
  <cellStyleXfs count="14">
    <xf numFmtId="0" fontId="0" fillId="0" borderId="0"/>
    <xf numFmtId="0" fontId="32"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7" fillId="0" borderId="0"/>
    <xf numFmtId="0" fontId="2" fillId="0" borderId="0"/>
    <xf numFmtId="0" fontId="40" fillId="0" borderId="0"/>
    <xf numFmtId="0" fontId="2" fillId="0" borderId="0"/>
    <xf numFmtId="0" fontId="2" fillId="0" borderId="0"/>
    <xf numFmtId="0" fontId="1" fillId="0" borderId="0"/>
    <xf numFmtId="9" fontId="2" fillId="0" borderId="0" applyFont="0" applyFill="0" applyBorder="0" applyAlignment="0" applyProtection="0"/>
    <xf numFmtId="0" fontId="2" fillId="0" borderId="0"/>
    <xf numFmtId="0" fontId="2" fillId="0" borderId="0"/>
    <xf numFmtId="0" fontId="37" fillId="0" borderId="0"/>
  </cellStyleXfs>
  <cellXfs count="571">
    <xf numFmtId="0" fontId="0" fillId="0" borderId="0" xfId="0"/>
    <xf numFmtId="9" fontId="7" fillId="0" borderId="28" xfId="2" applyFont="1" applyFill="1" applyBorder="1" applyAlignment="1">
      <alignment horizontal="center" vertical="center" shrinkToFit="1"/>
    </xf>
    <xf numFmtId="0" fontId="12" fillId="3" borderId="39" xfId="0" applyFont="1" applyFill="1" applyBorder="1" applyAlignment="1">
      <alignment horizontal="center" vertical="center" wrapText="1"/>
    </xf>
    <xf numFmtId="0" fontId="4" fillId="0" borderId="0" xfId="0" applyFont="1" applyAlignment="1">
      <alignment vertical="center"/>
    </xf>
    <xf numFmtId="0" fontId="7" fillId="0" borderId="28" xfId="2" applyNumberFormat="1" applyFont="1" applyFill="1" applyBorder="1" applyAlignment="1">
      <alignment horizontal="center" vertical="center" shrinkToFit="1"/>
    </xf>
    <xf numFmtId="9" fontId="7" fillId="0" borderId="14" xfId="2" applyFont="1" applyFill="1" applyBorder="1" applyAlignment="1">
      <alignment horizontal="center" vertical="center" shrinkToFit="1"/>
    </xf>
    <xf numFmtId="9" fontId="7" fillId="0" borderId="27" xfId="2" applyFont="1" applyFill="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7" fillId="0" borderId="57" xfId="0" applyFont="1" applyBorder="1" applyAlignment="1">
      <alignment horizontal="centerContinuous" vertical="center"/>
    </xf>
    <xf numFmtId="0" fontId="35" fillId="2" borderId="64" xfId="0" applyFont="1" applyFill="1" applyBorder="1" applyAlignment="1">
      <alignment horizontal="right" vertical="center"/>
    </xf>
    <xf numFmtId="0" fontId="36" fillId="2" borderId="65" xfId="0" applyFont="1" applyFill="1" applyBorder="1" applyAlignment="1">
      <alignment horizontal="left" vertical="center"/>
    </xf>
    <xf numFmtId="0" fontId="20" fillId="2" borderId="65" xfId="0" applyFont="1" applyFill="1" applyBorder="1" applyAlignment="1">
      <alignment horizontal="left" vertical="center"/>
    </xf>
    <xf numFmtId="0" fontId="4" fillId="2" borderId="65" xfId="0" applyFont="1" applyFill="1" applyBorder="1" applyAlignment="1">
      <alignment horizontal="centerContinuous" vertical="center"/>
    </xf>
    <xf numFmtId="0" fontId="5" fillId="2" borderId="65" xfId="0" applyFont="1" applyFill="1" applyBorder="1" applyAlignment="1">
      <alignment horizontal="centerContinuous" vertical="center"/>
    </xf>
    <xf numFmtId="0" fontId="34" fillId="2" borderId="66" xfId="1" applyFont="1" applyFill="1" applyBorder="1" applyAlignment="1" applyProtection="1">
      <alignment horizontal="right" vertical="center"/>
    </xf>
    <xf numFmtId="0" fontId="5" fillId="0" borderId="0" xfId="0" applyFont="1" applyAlignment="1">
      <alignment vertical="center"/>
    </xf>
    <xf numFmtId="0" fontId="6" fillId="0" borderId="1" xfId="0" applyFont="1" applyBorder="1" applyAlignment="1">
      <alignment horizontal="righ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69" xfId="0" applyFont="1" applyFill="1" applyBorder="1" applyAlignment="1">
      <alignment horizontal="right" vertical="center"/>
    </xf>
    <xf numFmtId="0" fontId="6" fillId="4" borderId="84" xfId="0" applyFont="1" applyFill="1" applyBorder="1" applyAlignment="1">
      <alignment horizontal="right" vertical="center"/>
    </xf>
    <xf numFmtId="49" fontId="7" fillId="0" borderId="70" xfId="0" applyNumberFormat="1" applyFont="1" applyBorder="1" applyAlignment="1">
      <alignment horizontal="center" vertical="center"/>
    </xf>
    <xf numFmtId="0" fontId="7" fillId="0" borderId="0" xfId="0" applyFont="1" applyAlignment="1">
      <alignment horizontal="left" vertical="center"/>
    </xf>
    <xf numFmtId="0" fontId="8" fillId="2" borderId="13" xfId="0" applyFont="1" applyFill="1" applyBorder="1" applyAlignment="1">
      <alignment horizontal="right" vertical="center"/>
    </xf>
    <xf numFmtId="0" fontId="25" fillId="0" borderId="14" xfId="0" applyFont="1" applyBorder="1" applyAlignment="1">
      <alignment horizontal="center" vertical="center"/>
    </xf>
    <xf numFmtId="0" fontId="8" fillId="4" borderId="54" xfId="0" applyFont="1" applyFill="1" applyBorder="1" applyAlignment="1">
      <alignment horizontal="right" vertical="center"/>
    </xf>
    <xf numFmtId="0" fontId="13" fillId="2" borderId="4" xfId="0" applyFont="1" applyFill="1" applyBorder="1" applyAlignment="1">
      <alignment horizontal="right" vertical="center"/>
    </xf>
    <xf numFmtId="49" fontId="25" fillId="0" borderId="14" xfId="0" applyNumberFormat="1" applyFont="1" applyBorder="1" applyAlignment="1">
      <alignment horizontal="center" vertical="center"/>
    </xf>
    <xf numFmtId="0" fontId="8" fillId="4" borderId="52" xfId="0" applyFont="1" applyFill="1" applyBorder="1" applyAlignment="1">
      <alignment horizontal="right" vertical="center"/>
    </xf>
    <xf numFmtId="164" fontId="6" fillId="8" borderId="31"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41" fillId="2" borderId="4" xfId="0" applyFont="1" applyFill="1" applyBorder="1" applyAlignment="1">
      <alignment horizontal="right" vertical="center"/>
    </xf>
    <xf numFmtId="0" fontId="11" fillId="4" borderId="52"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5" xfId="0" applyFont="1" applyFill="1" applyBorder="1" applyAlignment="1">
      <alignment horizontal="right" vertical="center"/>
    </xf>
    <xf numFmtId="49" fontId="25" fillId="0" borderId="26" xfId="0" applyNumberFormat="1" applyFont="1" applyBorder="1" applyAlignment="1">
      <alignment horizontal="center" vertical="center"/>
    </xf>
    <xf numFmtId="0" fontId="11" fillId="4" borderId="53" xfId="0" applyFont="1" applyFill="1" applyBorder="1" applyAlignment="1">
      <alignment horizontal="right" vertical="center"/>
    </xf>
    <xf numFmtId="0" fontId="3" fillId="0" borderId="1"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Alignment="1">
      <alignment horizontal="right" vertical="center"/>
    </xf>
    <xf numFmtId="0" fontId="5" fillId="0" borderId="0" xfId="0" applyFont="1" applyAlignment="1">
      <alignment horizontal="left" vertical="center"/>
    </xf>
    <xf numFmtId="0" fontId="16" fillId="0" borderId="0" xfId="0" applyFont="1" applyAlignment="1">
      <alignment horizontal="centerContinuous" vertical="center"/>
    </xf>
    <xf numFmtId="0" fontId="19" fillId="0" borderId="0" xfId="0" applyFont="1" applyAlignment="1">
      <alignment vertical="center"/>
    </xf>
    <xf numFmtId="0" fontId="31" fillId="0" borderId="0" xfId="0" applyFont="1" applyAlignment="1">
      <alignment vertical="center"/>
    </xf>
    <xf numFmtId="0" fontId="29" fillId="0" borderId="0" xfId="0" applyFont="1" applyAlignment="1">
      <alignment vertical="center"/>
    </xf>
    <xf numFmtId="0" fontId="28" fillId="0" borderId="0" xfId="0" applyFont="1" applyAlignment="1">
      <alignment vertical="center"/>
    </xf>
    <xf numFmtId="0" fontId="30" fillId="0" borderId="0" xfId="0" applyFont="1" applyAlignment="1">
      <alignment vertical="center"/>
    </xf>
    <xf numFmtId="0" fontId="7" fillId="0" borderId="27" xfId="8" applyFont="1" applyBorder="1" applyAlignment="1">
      <alignment horizontal="center" vertical="center" wrapText="1"/>
    </xf>
    <xf numFmtId="0" fontId="7" fillId="0" borderId="48" xfId="8" applyFont="1" applyBorder="1" applyAlignment="1">
      <alignment horizontal="center" vertical="center" wrapText="1"/>
    </xf>
    <xf numFmtId="9" fontId="7" fillId="0" borderId="48" xfId="2" applyFont="1" applyFill="1" applyBorder="1" applyAlignment="1">
      <alignment horizontal="center" vertical="center" shrinkToFit="1"/>
    </xf>
    <xf numFmtId="0" fontId="7" fillId="0" borderId="29" xfId="0" applyFont="1" applyBorder="1" applyAlignment="1">
      <alignment horizontal="center" vertical="center" wrapText="1"/>
    </xf>
    <xf numFmtId="0" fontId="7" fillId="0" borderId="35" xfId="0" applyFont="1" applyBorder="1" applyAlignment="1">
      <alignment horizontal="center" vertical="center" wrapText="1"/>
    </xf>
    <xf numFmtId="0" fontId="4" fillId="0" borderId="5" xfId="0" applyFont="1" applyBorder="1" applyAlignment="1">
      <alignment horizontal="centerContinuous" vertical="center"/>
    </xf>
    <xf numFmtId="0" fontId="3" fillId="0" borderId="0" xfId="0" applyFont="1" applyAlignment="1">
      <alignment horizontal="centerContinuous" vertical="center"/>
    </xf>
    <xf numFmtId="0" fontId="48" fillId="0" borderId="33" xfId="0" applyFont="1" applyBorder="1" applyAlignment="1">
      <alignment horizontal="centerContinuous" vertical="center"/>
    </xf>
    <xf numFmtId="0" fontId="26" fillId="0" borderId="37" xfId="0" applyFont="1" applyBorder="1" applyAlignment="1">
      <alignment horizontal="centerContinuous" vertical="center"/>
    </xf>
    <xf numFmtId="0" fontId="52" fillId="0" borderId="37" xfId="0" applyFont="1" applyBorder="1" applyAlignment="1">
      <alignment horizontal="center" vertical="center" shrinkToFit="1"/>
    </xf>
    <xf numFmtId="0" fontId="7" fillId="0" borderId="55" xfId="0" applyFont="1" applyBorder="1" applyAlignment="1">
      <alignment horizontal="centerContinuous" vertical="center"/>
    </xf>
    <xf numFmtId="0" fontId="7" fillId="0" borderId="50" xfId="0" applyFont="1" applyBorder="1" applyAlignment="1">
      <alignment horizontal="centerContinuous" vertical="center"/>
    </xf>
    <xf numFmtId="0" fontId="7" fillId="0" borderId="56" xfId="0" applyFont="1" applyBorder="1" applyAlignment="1">
      <alignment horizontal="centerContinuous" vertical="center"/>
    </xf>
    <xf numFmtId="164" fontId="3" fillId="0" borderId="0" xfId="0" applyNumberFormat="1" applyFont="1" applyAlignment="1">
      <alignment horizontal="centerContinuous" vertical="center"/>
    </xf>
    <xf numFmtId="0" fontId="5" fillId="0" borderId="0" xfId="0" applyFont="1" applyAlignment="1">
      <alignment horizontal="center" vertical="center"/>
    </xf>
    <xf numFmtId="0" fontId="21" fillId="3" borderId="38" xfId="0" applyFont="1" applyFill="1" applyBorder="1" applyAlignment="1">
      <alignment horizontal="center" vertical="center"/>
    </xf>
    <xf numFmtId="164" fontId="21" fillId="3" borderId="39" xfId="0" applyNumberFormat="1" applyFont="1" applyFill="1" applyBorder="1" applyAlignment="1">
      <alignment horizontal="center" vertical="center"/>
    </xf>
    <xf numFmtId="0" fontId="21" fillId="3" borderId="38" xfId="0" applyFont="1" applyFill="1" applyBorder="1" applyAlignment="1">
      <alignment horizontal="right" vertical="center"/>
    </xf>
    <xf numFmtId="0" fontId="21" fillId="3" borderId="40" xfId="0" applyFont="1" applyFill="1" applyBorder="1" applyAlignment="1">
      <alignment vertical="center"/>
    </xf>
    <xf numFmtId="0" fontId="2" fillId="0" borderId="76" xfId="0" applyFont="1" applyBorder="1" applyAlignment="1">
      <alignment horizontal="center" vertical="center" shrinkToFit="1"/>
    </xf>
    <xf numFmtId="0" fontId="2" fillId="0" borderId="77" xfId="0" applyFont="1" applyBorder="1" applyAlignment="1">
      <alignment horizontal="center" vertical="center" shrinkToFit="1"/>
    </xf>
    <xf numFmtId="164" fontId="2" fillId="0" borderId="41" xfId="0" applyNumberFormat="1" applyFont="1" applyBorder="1" applyAlignment="1">
      <alignment horizontal="center" vertical="center" shrinkToFit="1"/>
    </xf>
    <xf numFmtId="0" fontId="5" fillId="0" borderId="41" xfId="0" applyFont="1" applyBorder="1" applyAlignment="1">
      <alignment horizontal="left" vertical="center"/>
    </xf>
    <xf numFmtId="0" fontId="5" fillId="0" borderId="42" xfId="0" applyFont="1" applyBorder="1" applyAlignment="1">
      <alignment horizontal="left" vertical="center" shrinkToFit="1"/>
    </xf>
    <xf numFmtId="0" fontId="2" fillId="0" borderId="78" xfId="0" applyFont="1" applyBorder="1" applyAlignment="1">
      <alignment horizontal="center" vertical="center" shrinkToFit="1"/>
    </xf>
    <xf numFmtId="0" fontId="2" fillId="0" borderId="43" xfId="0"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4" xfId="0" applyFont="1" applyBorder="1" applyAlignment="1">
      <alignment horizontal="left" vertical="center" shrinkToFit="1"/>
    </xf>
    <xf numFmtId="164" fontId="3" fillId="0" borderId="0" xfId="0" applyNumberFormat="1" applyFont="1" applyAlignment="1">
      <alignment horizontal="centerContinuous" vertical="center" shrinkToFit="1"/>
    </xf>
    <xf numFmtId="0" fontId="3" fillId="0" borderId="0" xfId="0" applyFont="1" applyAlignment="1">
      <alignment horizontal="centerContinuous" vertical="center" shrinkToFit="1"/>
    </xf>
    <xf numFmtId="0" fontId="2" fillId="0" borderId="41" xfId="0" applyFont="1" applyBorder="1" applyAlignment="1">
      <alignment horizontal="center" vertical="center" shrinkToFit="1"/>
    </xf>
    <xf numFmtId="164" fontId="5" fillId="0" borderId="41" xfId="0" applyNumberFormat="1" applyFont="1" applyBorder="1" applyAlignment="1">
      <alignment horizontal="center" vertical="center" shrinkToFit="1"/>
    </xf>
    <xf numFmtId="164" fontId="5" fillId="0" borderId="43" xfId="0" applyNumberFormat="1" applyFont="1" applyBorder="1" applyAlignment="1">
      <alignment horizontal="center" vertical="center" shrinkToFit="1"/>
    </xf>
    <xf numFmtId="164" fontId="5" fillId="0" borderId="0" xfId="0" applyNumberFormat="1" applyFont="1" applyAlignment="1">
      <alignment horizontal="center" vertical="center"/>
    </xf>
    <xf numFmtId="0" fontId="21" fillId="11" borderId="16" xfId="0" applyFont="1" applyFill="1" applyBorder="1" applyAlignment="1">
      <alignment horizontal="center" vertical="center"/>
    </xf>
    <xf numFmtId="0" fontId="21" fillId="11" borderId="17" xfId="0" applyFont="1" applyFill="1" applyBorder="1" applyAlignment="1">
      <alignment horizontal="center" vertical="center"/>
    </xf>
    <xf numFmtId="49" fontId="21" fillId="11" borderId="17" xfId="0" applyNumberFormat="1" applyFont="1" applyFill="1" applyBorder="1" applyAlignment="1">
      <alignment horizontal="center" vertical="center"/>
    </xf>
    <xf numFmtId="0" fontId="21" fillId="11" borderId="21" xfId="0" applyFont="1" applyFill="1" applyBorder="1" applyAlignment="1">
      <alignment horizontal="center" vertical="center"/>
    </xf>
    <xf numFmtId="0" fontId="46" fillId="12" borderId="21" xfId="0" applyFont="1" applyFill="1" applyBorder="1" applyAlignment="1">
      <alignment horizontal="center" vertical="center"/>
    </xf>
    <xf numFmtId="0" fontId="21" fillId="11" borderId="18" xfId="0" applyFont="1" applyFill="1" applyBorder="1" applyAlignment="1">
      <alignment horizontal="center" vertical="center"/>
    </xf>
    <xf numFmtId="0" fontId="5" fillId="0" borderId="0" xfId="0" applyFont="1" applyAlignment="1">
      <alignment horizontal="centerContinuous" vertical="center"/>
    </xf>
    <xf numFmtId="0" fontId="21" fillId="11" borderId="21" xfId="0" applyFont="1" applyFill="1" applyBorder="1" applyAlignment="1">
      <alignment horizontal="centerContinuous" vertical="center"/>
    </xf>
    <xf numFmtId="0" fontId="21" fillId="11" borderId="71" xfId="0" applyFont="1" applyFill="1" applyBorder="1" applyAlignment="1">
      <alignment horizontal="centerContinuous" vertical="center"/>
    </xf>
    <xf numFmtId="0" fontId="21" fillId="11" borderId="51" xfId="0" applyFont="1" applyFill="1" applyBorder="1" applyAlignment="1">
      <alignment horizontal="centerContinuous" vertical="center"/>
    </xf>
    <xf numFmtId="164" fontId="2" fillId="0" borderId="74" xfId="0" applyNumberFormat="1" applyFont="1" applyBorder="1" applyAlignment="1">
      <alignment horizontal="centerContinuous" vertical="center"/>
    </xf>
    <xf numFmtId="0" fontId="21" fillId="11" borderId="19" xfId="0" applyFont="1" applyFill="1" applyBorder="1" applyAlignment="1">
      <alignment horizontal="centerContinuous" vertical="center"/>
    </xf>
    <xf numFmtId="0" fontId="21" fillId="11" borderId="20" xfId="0" applyFont="1" applyFill="1" applyBorder="1" applyAlignment="1">
      <alignment horizontal="centerContinuous" vertical="center"/>
    </xf>
    <xf numFmtId="49" fontId="2" fillId="0" borderId="9" xfId="0" applyNumberFormat="1" applyFont="1" applyBorder="1" applyAlignment="1">
      <alignment horizontal="centerContinuous" vertical="center"/>
    </xf>
    <xf numFmtId="49" fontId="17" fillId="0" borderId="35" xfId="0" applyNumberFormat="1" applyFont="1" applyBorder="1" applyAlignment="1">
      <alignment horizontal="center" shrinkToFit="1"/>
    </xf>
    <xf numFmtId="0" fontId="2" fillId="0" borderId="43" xfId="0" applyFont="1" applyBorder="1" applyAlignment="1">
      <alignment horizontal="center" vertical="center"/>
    </xf>
    <xf numFmtId="164" fontId="2" fillId="0" borderId="43" xfId="0" applyNumberFormat="1" applyFont="1" applyBorder="1" applyAlignment="1">
      <alignment horizontal="center" vertical="center"/>
    </xf>
    <xf numFmtId="0" fontId="21" fillId="11" borderId="33" xfId="0" applyFont="1" applyFill="1" applyBorder="1" applyAlignment="1">
      <alignment horizontal="center" vertical="center"/>
    </xf>
    <xf numFmtId="164" fontId="21" fillId="3" borderId="33" xfId="0" applyNumberFormat="1" applyFont="1" applyFill="1" applyBorder="1" applyAlignment="1">
      <alignment horizontal="center" vertical="center"/>
    </xf>
    <xf numFmtId="0" fontId="2" fillId="0" borderId="41" xfId="0" applyFont="1" applyBorder="1" applyAlignment="1">
      <alignment horizontal="center" vertical="center"/>
    </xf>
    <xf numFmtId="164" fontId="2" fillId="0" borderId="41" xfId="0" applyNumberFormat="1" applyFont="1" applyBorder="1" applyAlignment="1">
      <alignment horizontal="center" vertical="center"/>
    </xf>
    <xf numFmtId="1" fontId="2" fillId="0" borderId="41" xfId="0" applyNumberFormat="1" applyFont="1" applyBorder="1" applyAlignment="1">
      <alignment horizontal="center" vertical="center"/>
    </xf>
    <xf numFmtId="0" fontId="7" fillId="0" borderId="47" xfId="8" applyFont="1" applyBorder="1" applyAlignment="1">
      <alignment horizontal="center" vertical="center" wrapText="1"/>
    </xf>
    <xf numFmtId="9" fontId="7" fillId="0" borderId="47" xfId="2" applyFont="1" applyFill="1" applyBorder="1" applyAlignment="1">
      <alignment horizontal="center" vertical="center" shrinkToFit="1"/>
    </xf>
    <xf numFmtId="9" fontId="7" fillId="0" borderId="49" xfId="2" applyFont="1" applyFill="1" applyBorder="1" applyAlignment="1">
      <alignment horizontal="center" vertical="center" shrinkToFit="1"/>
    </xf>
    <xf numFmtId="0" fontId="7" fillId="0" borderId="49" xfId="2" applyNumberFormat="1" applyFont="1" applyFill="1" applyBorder="1" applyAlignment="1">
      <alignment horizontal="center" vertical="center" shrinkToFit="1"/>
    </xf>
    <xf numFmtId="1" fontId="2" fillId="0" borderId="57" xfId="0" applyNumberFormat="1" applyFont="1" applyBorder="1" applyAlignment="1">
      <alignment horizontal="center" vertical="center" shrinkToFit="1"/>
    </xf>
    <xf numFmtId="1" fontId="2" fillId="0" borderId="50" xfId="0" applyNumberFormat="1" applyFont="1" applyBorder="1" applyAlignment="1">
      <alignment horizontal="center" vertical="center" shrinkToFit="1"/>
    </xf>
    <xf numFmtId="1" fontId="5" fillId="0" borderId="0" xfId="0" applyNumberFormat="1" applyFont="1" applyAlignment="1">
      <alignment vertical="center"/>
    </xf>
    <xf numFmtId="1" fontId="21" fillId="3" borderId="33" xfId="0" applyNumberFormat="1" applyFont="1" applyFill="1" applyBorder="1" applyAlignment="1">
      <alignment horizontal="center" vertical="center"/>
    </xf>
    <xf numFmtId="0" fontId="2" fillId="0" borderId="42" xfId="0" applyFont="1" applyBorder="1" applyAlignment="1">
      <alignment horizontal="left" vertical="center" shrinkToFit="1"/>
    </xf>
    <xf numFmtId="0" fontId="2" fillId="0" borderId="0" xfId="0" applyFont="1" applyAlignment="1">
      <alignment vertical="center"/>
    </xf>
    <xf numFmtId="1" fontId="2" fillId="0" borderId="37" xfId="0" applyNumberFormat="1" applyFont="1" applyBorder="1" applyAlignment="1">
      <alignment horizontal="center" vertical="center"/>
    </xf>
    <xf numFmtId="1" fontId="2" fillId="0" borderId="81" xfId="0" applyNumberFormat="1" applyFont="1" applyBorder="1" applyAlignment="1">
      <alignment horizontal="center" vertical="center"/>
    </xf>
    <xf numFmtId="1" fontId="2" fillId="0" borderId="50" xfId="0" applyNumberFormat="1" applyFont="1" applyBorder="1" applyAlignment="1">
      <alignment horizontal="center" vertical="center"/>
    </xf>
    <xf numFmtId="0" fontId="6" fillId="4" borderId="11" xfId="0" applyFont="1" applyFill="1" applyBorder="1" applyAlignment="1">
      <alignment horizontal="right" vertical="center"/>
    </xf>
    <xf numFmtId="49" fontId="7" fillId="0" borderId="93" xfId="0" applyNumberFormat="1" applyFont="1" applyBorder="1" applyAlignment="1">
      <alignment horizontal="centerContinuous" vertical="center"/>
    </xf>
    <xf numFmtId="0" fontId="2" fillId="0" borderId="94" xfId="0" applyFont="1" applyBorder="1" applyAlignment="1">
      <alignment horizontal="centerContinuous" vertical="center"/>
    </xf>
    <xf numFmtId="0" fontId="5" fillId="0" borderId="43"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29" xfId="0" quotePrefix="1" applyFont="1" applyBorder="1" applyAlignment="1">
      <alignment horizontal="center" vertical="center" wrapText="1"/>
    </xf>
    <xf numFmtId="0" fontId="7" fillId="0" borderId="14" xfId="0" applyFont="1" applyBorder="1" applyAlignment="1">
      <alignment horizontal="center" vertical="center" shrinkToFit="1"/>
    </xf>
    <xf numFmtId="0" fontId="7" fillId="0" borderId="49" xfId="0" applyFont="1" applyBorder="1" applyAlignment="1">
      <alignment horizontal="center" vertical="center" shrinkToFit="1"/>
    </xf>
    <xf numFmtId="0" fontId="2" fillId="14" borderId="76" xfId="0" applyFont="1" applyFill="1" applyBorder="1" applyAlignment="1">
      <alignment horizontal="center" vertical="center"/>
    </xf>
    <xf numFmtId="0" fontId="2" fillId="14" borderId="46" xfId="0" applyFont="1" applyFill="1" applyBorder="1" applyAlignment="1">
      <alignment horizontal="center" vertical="center"/>
    </xf>
    <xf numFmtId="49" fontId="2" fillId="14" borderId="46" xfId="0" applyNumberFormat="1" applyFont="1" applyFill="1" applyBorder="1" applyAlignment="1">
      <alignment horizontal="center" vertical="center"/>
    </xf>
    <xf numFmtId="0" fontId="2" fillId="14" borderId="45" xfId="0" applyFont="1" applyFill="1" applyBorder="1" applyAlignment="1">
      <alignment horizontal="center" vertical="center"/>
    </xf>
    <xf numFmtId="0" fontId="2" fillId="14" borderId="57" xfId="0" applyFont="1" applyFill="1" applyBorder="1" applyAlignment="1">
      <alignment horizontal="center" vertical="center"/>
    </xf>
    <xf numFmtId="1" fontId="2" fillId="14" borderId="41" xfId="0" applyNumberFormat="1" applyFont="1" applyFill="1" applyBorder="1" applyAlignment="1">
      <alignment horizontal="center" vertical="center"/>
    </xf>
    <xf numFmtId="0" fontId="2" fillId="0" borderId="77" xfId="0" applyFont="1" applyBorder="1" applyAlignment="1">
      <alignment horizontal="center" vertical="center"/>
    </xf>
    <xf numFmtId="49" fontId="2" fillId="0" borderId="41" xfId="0" applyNumberFormat="1" applyFont="1" applyBorder="1" applyAlignment="1">
      <alignment horizontal="center" vertical="center"/>
    </xf>
    <xf numFmtId="0" fontId="2" fillId="0" borderId="42" xfId="0" applyFont="1" applyBorder="1" applyAlignment="1">
      <alignment horizontal="center" vertical="center"/>
    </xf>
    <xf numFmtId="0" fontId="2" fillId="14" borderId="43" xfId="0" applyFont="1" applyFill="1" applyBorder="1" applyAlignment="1">
      <alignment horizontal="center" vertical="center"/>
    </xf>
    <xf numFmtId="49" fontId="2" fillId="14" borderId="43" xfId="0" applyNumberFormat="1" applyFont="1" applyFill="1" applyBorder="1" applyAlignment="1">
      <alignment horizontal="center" vertical="center"/>
    </xf>
    <xf numFmtId="1" fontId="2" fillId="14" borderId="43" xfId="0" applyNumberFormat="1" applyFont="1" applyFill="1" applyBorder="1" applyAlignment="1">
      <alignment horizontal="center" vertical="center"/>
    </xf>
    <xf numFmtId="0" fontId="2" fillId="0" borderId="43" xfId="0" quotePrefix="1" applyFont="1" applyBorder="1" applyAlignment="1">
      <alignment horizontal="center" vertical="center"/>
    </xf>
    <xf numFmtId="9" fontId="2" fillId="0" borderId="43" xfId="0" applyNumberFormat="1" applyFont="1" applyBorder="1" applyAlignment="1">
      <alignment horizontal="center" vertical="center"/>
    </xf>
    <xf numFmtId="0" fontId="2" fillId="0" borderId="89" xfId="0" applyFont="1" applyBorder="1" applyAlignment="1">
      <alignment horizontal="centerContinuous" vertical="center"/>
    </xf>
    <xf numFmtId="0" fontId="5" fillId="0" borderId="75" xfId="0" quotePrefix="1" applyFont="1" applyBorder="1" applyAlignment="1">
      <alignment horizontal="centerContinuous" vertical="center"/>
    </xf>
    <xf numFmtId="0" fontId="49" fillId="0" borderId="33" xfId="0" applyFont="1" applyBorder="1" applyAlignment="1">
      <alignment horizontal="centerContinuous" vertical="center"/>
    </xf>
    <xf numFmtId="0" fontId="50" fillId="0" borderId="33" xfId="0" applyFont="1" applyBorder="1" applyAlignment="1">
      <alignment horizontal="centerContinuous" vertical="center"/>
    </xf>
    <xf numFmtId="0" fontId="54" fillId="0" borderId="25" xfId="0" applyFont="1" applyBorder="1" applyAlignment="1">
      <alignment horizontal="centerContinuous" vertical="center"/>
    </xf>
    <xf numFmtId="0" fontId="12" fillId="11" borderId="22" xfId="0" applyFont="1" applyFill="1" applyBorder="1" applyAlignment="1">
      <alignment horizontal="centerContinuous" vertical="center" wrapText="1"/>
    </xf>
    <xf numFmtId="0" fontId="12" fillId="11" borderId="23" xfId="0" applyFont="1" applyFill="1" applyBorder="1" applyAlignment="1">
      <alignment horizontal="center" vertical="center"/>
    </xf>
    <xf numFmtId="0" fontId="12" fillId="11" borderId="23" xfId="0" applyFont="1" applyFill="1" applyBorder="1" applyAlignment="1">
      <alignment horizontal="center" vertical="center" wrapText="1"/>
    </xf>
    <xf numFmtId="0" fontId="12" fillId="11" borderId="24" xfId="0" applyFont="1" applyFill="1" applyBorder="1" applyAlignment="1">
      <alignment horizontal="centerContinuous" vertical="center" wrapText="1"/>
    </xf>
    <xf numFmtId="0" fontId="53" fillId="0" borderId="1" xfId="8" applyFont="1" applyBorder="1" applyAlignment="1">
      <alignment horizontal="center" vertical="center" shrinkToFit="1"/>
    </xf>
    <xf numFmtId="0" fontId="53" fillId="0" borderId="34" xfId="8" applyFont="1" applyBorder="1" applyAlignment="1">
      <alignment horizontal="center" vertical="center" shrinkToFit="1"/>
    </xf>
    <xf numFmtId="0" fontId="53" fillId="0" borderId="8" xfId="8" applyFont="1" applyBorder="1" applyAlignment="1">
      <alignment horizontal="center" vertical="center" shrinkToFit="1"/>
    </xf>
    <xf numFmtId="0" fontId="21" fillId="11" borderId="95" xfId="0" applyFont="1" applyFill="1" applyBorder="1" applyAlignment="1">
      <alignment horizontal="center" vertical="center"/>
    </xf>
    <xf numFmtId="1" fontId="21" fillId="11" borderId="33" xfId="0" applyNumberFormat="1" applyFont="1" applyFill="1" applyBorder="1" applyAlignment="1">
      <alignment horizontal="center" vertical="center"/>
    </xf>
    <xf numFmtId="0" fontId="2" fillId="0" borderId="82" xfId="0" applyFont="1" applyBorder="1" applyAlignment="1">
      <alignment horizontal="centerContinuous" vertical="center" shrinkToFit="1"/>
    </xf>
    <xf numFmtId="0" fontId="21" fillId="0" borderId="72" xfId="0" applyFont="1" applyBorder="1" applyAlignment="1">
      <alignment horizontal="centerContinuous" vertical="center"/>
    </xf>
    <xf numFmtId="0" fontId="21" fillId="0" borderId="58" xfId="0" applyFont="1" applyBorder="1" applyAlignment="1">
      <alignment horizontal="centerContinuous" vertical="center"/>
    </xf>
    <xf numFmtId="0" fontId="2" fillId="0" borderId="90" xfId="0" applyFont="1" applyBorder="1" applyAlignment="1">
      <alignment horizontal="center" vertical="center"/>
    </xf>
    <xf numFmtId="0" fontId="2" fillId="0" borderId="73" xfId="0" applyFont="1" applyBorder="1" applyAlignment="1">
      <alignment horizontal="centerContinuous" vertical="center"/>
    </xf>
    <xf numFmtId="0" fontId="2" fillId="0" borderId="83" xfId="0" applyFont="1" applyBorder="1" applyAlignment="1">
      <alignment horizontal="centerContinuous" vertical="center" shrinkToFit="1"/>
    </xf>
    <xf numFmtId="0" fontId="2" fillId="0" borderId="74" xfId="0" applyFont="1" applyBorder="1" applyAlignment="1">
      <alignment horizontal="centerContinuous" vertical="center"/>
    </xf>
    <xf numFmtId="0" fontId="2" fillId="0" borderId="63" xfId="0" applyFont="1" applyBorder="1" applyAlignment="1">
      <alignment horizontal="centerContinuous" vertical="center"/>
    </xf>
    <xf numFmtId="49" fontId="2" fillId="0" borderId="87" xfId="0" applyNumberFormat="1" applyFont="1" applyBorder="1" applyAlignment="1">
      <alignment horizontal="center" vertical="center"/>
    </xf>
    <xf numFmtId="49" fontId="2" fillId="0" borderId="43" xfId="0" applyNumberFormat="1" applyFont="1" applyBorder="1" applyAlignment="1">
      <alignment horizontal="center" vertical="center"/>
    </xf>
    <xf numFmtId="0" fontId="2" fillId="0" borderId="75" xfId="0" applyFont="1" applyBorder="1" applyAlignment="1">
      <alignment horizontal="centerContinuous" vertical="center"/>
    </xf>
    <xf numFmtId="0" fontId="52" fillId="0" borderId="37" xfId="0" applyFont="1" applyBorder="1" applyAlignment="1">
      <alignment horizontal="centerContinuous" vertical="center"/>
    </xf>
    <xf numFmtId="49" fontId="4" fillId="0" borderId="0" xfId="0" applyNumberFormat="1" applyFont="1" applyAlignment="1">
      <alignment horizontal="center" vertical="center"/>
    </xf>
    <xf numFmtId="0" fontId="2" fillId="0" borderId="0" xfId="0" applyFont="1" applyAlignment="1">
      <alignment horizontal="left" vertical="center"/>
    </xf>
    <xf numFmtId="0" fontId="4" fillId="0" borderId="0" xfId="0" applyFont="1" applyAlignment="1">
      <alignment horizontal="center" vertical="center"/>
    </xf>
    <xf numFmtId="0" fontId="2" fillId="0" borderId="82" xfId="0" applyFont="1" applyBorder="1" applyAlignment="1">
      <alignment horizontal="center" vertical="center" shrinkToFit="1"/>
    </xf>
    <xf numFmtId="1" fontId="2" fillId="0" borderId="41" xfId="0" applyNumberFormat="1" applyFont="1" applyBorder="1" applyAlignment="1">
      <alignment horizontal="center" vertical="center" shrinkToFit="1"/>
    </xf>
    <xf numFmtId="0" fontId="2" fillId="0" borderId="90" xfId="0" applyFont="1" applyBorder="1" applyAlignment="1">
      <alignment horizontal="left" vertical="center"/>
    </xf>
    <xf numFmtId="1" fontId="2" fillId="0" borderId="37" xfId="0" applyNumberFormat="1" applyFont="1" applyBorder="1" applyAlignment="1">
      <alignment horizontal="center" vertical="center" shrinkToFit="1"/>
    </xf>
    <xf numFmtId="0" fontId="24" fillId="0" borderId="25" xfId="0" applyFont="1" applyBorder="1" applyAlignment="1">
      <alignment horizontal="centerContinuous" vertical="center"/>
    </xf>
    <xf numFmtId="0" fontId="12" fillId="3" borderId="67" xfId="0" applyFont="1" applyFill="1" applyBorder="1" applyAlignment="1">
      <alignment horizontal="centerContinuous" vertical="center"/>
    </xf>
    <xf numFmtId="0" fontId="12" fillId="3" borderId="39" xfId="0" applyFont="1" applyFill="1" applyBorder="1" applyAlignment="1">
      <alignment horizontal="center" vertical="center"/>
    </xf>
    <xf numFmtId="0" fontId="45" fillId="12" borderId="38" xfId="0" applyFont="1" applyFill="1" applyBorder="1" applyAlignment="1">
      <alignment horizontal="center" vertical="center"/>
    </xf>
    <xf numFmtId="0" fontId="12" fillId="3" borderId="68" xfId="0" applyFont="1" applyFill="1" applyBorder="1" applyAlignment="1">
      <alignment horizontal="center" vertical="center"/>
    </xf>
    <xf numFmtId="0" fontId="43" fillId="0" borderId="1" xfId="0" applyFont="1" applyBorder="1" applyAlignment="1">
      <alignment vertical="center"/>
    </xf>
    <xf numFmtId="0" fontId="6" fillId="0" borderId="27" xfId="0" applyFont="1" applyBorder="1" applyAlignment="1">
      <alignment horizontal="center" vertical="center"/>
    </xf>
    <xf numFmtId="0" fontId="52" fillId="0" borderId="27" xfId="0" applyFont="1" applyBorder="1" applyAlignment="1">
      <alignment horizontal="center" vertical="center"/>
    </xf>
    <xf numFmtId="0" fontId="7" fillId="0" borderId="27" xfId="0" applyFont="1" applyBorder="1" applyAlignment="1">
      <alignment horizontal="center" vertical="center"/>
    </xf>
    <xf numFmtId="0" fontId="44" fillId="0" borderId="27" xfId="0" applyFont="1" applyBorder="1" applyAlignment="1">
      <alignment horizontal="center" vertical="center"/>
    </xf>
    <xf numFmtId="1" fontId="7" fillId="0" borderId="27" xfId="0" applyNumberFormat="1" applyFont="1" applyBorder="1" applyAlignment="1">
      <alignment horizontal="center" vertical="center"/>
    </xf>
    <xf numFmtId="0" fontId="42" fillId="12" borderId="28" xfId="0" applyFont="1" applyFill="1" applyBorder="1" applyAlignment="1">
      <alignment horizontal="center" vertical="center"/>
    </xf>
    <xf numFmtId="0" fontId="7" fillId="0" borderId="29" xfId="0" quotePrefix="1" applyFont="1" applyBorder="1" applyAlignment="1">
      <alignment horizontal="center" vertical="center"/>
    </xf>
    <xf numFmtId="0" fontId="57" fillId="0" borderId="1" xfId="0" applyFont="1" applyBorder="1" applyAlignment="1">
      <alignment vertical="center"/>
    </xf>
    <xf numFmtId="0" fontId="56" fillId="0" borderId="27" xfId="0" applyFont="1" applyBorder="1" applyAlignment="1">
      <alignment horizontal="center" vertical="center"/>
    </xf>
    <xf numFmtId="0" fontId="13" fillId="0" borderId="28" xfId="0" applyFont="1" applyBorder="1" applyAlignment="1">
      <alignment horizontal="center" vertical="center"/>
    </xf>
    <xf numFmtId="0" fontId="44" fillId="0" borderId="34" xfId="0" applyFont="1" applyBorder="1" applyAlignment="1">
      <alignment vertical="center"/>
    </xf>
    <xf numFmtId="0" fontId="6" fillId="0" borderId="48" xfId="0" applyFont="1" applyBorder="1" applyAlignment="1">
      <alignment horizontal="center" vertical="center"/>
    </xf>
    <xf numFmtId="0" fontId="7" fillId="0" borderId="48" xfId="0" applyFont="1" applyBorder="1" applyAlignment="1">
      <alignment horizontal="center" vertical="center"/>
    </xf>
    <xf numFmtId="0" fontId="45" fillId="0" borderId="48" xfId="0" applyFont="1" applyBorder="1" applyAlignment="1">
      <alignment horizontal="center" vertical="center"/>
    </xf>
    <xf numFmtId="1" fontId="7" fillId="0" borderId="48" xfId="0" applyNumberFormat="1" applyFont="1" applyBorder="1" applyAlignment="1">
      <alignment horizontal="center" vertical="center"/>
    </xf>
    <xf numFmtId="0" fontId="42" fillId="12" borderId="48" xfId="0" applyFont="1" applyFill="1" applyBorder="1" applyAlignment="1">
      <alignment horizontal="center" vertical="center"/>
    </xf>
    <xf numFmtId="0" fontId="7" fillId="0" borderId="35" xfId="0" quotePrefix="1" applyFont="1" applyBorder="1" applyAlignment="1">
      <alignment horizontal="center" vertical="center"/>
    </xf>
    <xf numFmtId="0" fontId="11" fillId="0" borderId="1" xfId="0" applyFont="1" applyBorder="1" applyAlignment="1">
      <alignment vertical="center"/>
    </xf>
    <xf numFmtId="49" fontId="17" fillId="0" borderId="27" xfId="0" applyNumberFormat="1" applyFont="1" applyBorder="1" applyAlignment="1">
      <alignment horizontal="center" vertical="center"/>
    </xf>
    <xf numFmtId="0" fontId="17" fillId="0" borderId="28" xfId="0" applyFont="1" applyBorder="1" applyAlignment="1">
      <alignment horizontal="center" vertical="center"/>
    </xf>
    <xf numFmtId="0" fontId="11" fillId="0" borderId="28" xfId="0" applyFont="1" applyBorder="1" applyAlignment="1">
      <alignment horizontal="center" vertical="center"/>
    </xf>
    <xf numFmtId="0" fontId="7" fillId="0" borderId="28" xfId="0" applyFont="1" applyBorder="1" applyAlignment="1">
      <alignment horizontal="center" vertical="center"/>
    </xf>
    <xf numFmtId="49" fontId="7" fillId="0" borderId="28" xfId="0" applyNumberFormat="1" applyFont="1" applyBorder="1" applyAlignment="1">
      <alignment horizontal="center" vertical="center"/>
    </xf>
    <xf numFmtId="49" fontId="56" fillId="0" borderId="27" xfId="0" applyNumberFormat="1" applyFont="1" applyBorder="1" applyAlignment="1">
      <alignment horizontal="center" vertical="center"/>
    </xf>
    <xf numFmtId="0" fontId="56" fillId="0" borderId="28" xfId="0" applyFont="1" applyBorder="1" applyAlignment="1">
      <alignment horizontal="center" vertical="center"/>
    </xf>
    <xf numFmtId="0" fontId="57" fillId="0" borderId="28" xfId="0" applyFont="1" applyBorder="1" applyAlignment="1">
      <alignment horizontal="center" vertical="center"/>
    </xf>
    <xf numFmtId="0" fontId="14" fillId="9" borderId="1" xfId="0" applyFont="1" applyFill="1" applyBorder="1" applyAlignment="1">
      <alignment vertical="center"/>
    </xf>
    <xf numFmtId="0" fontId="7" fillId="9" borderId="27" xfId="0" applyFont="1" applyFill="1" applyBorder="1" applyAlignment="1">
      <alignment horizontal="center" vertical="center"/>
    </xf>
    <xf numFmtId="49" fontId="23" fillId="9" borderId="27" xfId="0" applyNumberFormat="1" applyFont="1" applyFill="1" applyBorder="1" applyAlignment="1">
      <alignment horizontal="center" vertical="center"/>
    </xf>
    <xf numFmtId="0" fontId="23" fillId="9" borderId="28" xfId="0" applyFont="1" applyFill="1" applyBorder="1" applyAlignment="1">
      <alignment horizontal="center" vertical="center"/>
    </xf>
    <xf numFmtId="0" fontId="14" fillId="9" borderId="28" xfId="0" applyFont="1" applyFill="1" applyBorder="1" applyAlignment="1">
      <alignment horizontal="center" vertical="center"/>
    </xf>
    <xf numFmtId="49" fontId="7" fillId="9" borderId="28" xfId="0" applyNumberFormat="1" applyFont="1" applyFill="1" applyBorder="1" applyAlignment="1">
      <alignment horizontal="center" vertical="center"/>
    </xf>
    <xf numFmtId="0" fontId="7" fillId="9" borderId="29" xfId="0" quotePrefix="1" applyFont="1" applyFill="1" applyBorder="1" applyAlignment="1">
      <alignment horizontal="center" vertical="center"/>
    </xf>
    <xf numFmtId="0" fontId="8" fillId="0" borderId="1" xfId="0" applyFont="1" applyBorder="1" applyAlignment="1">
      <alignment vertical="center"/>
    </xf>
    <xf numFmtId="49" fontId="18" fillId="0" borderId="27" xfId="0" applyNumberFormat="1" applyFont="1" applyBorder="1" applyAlignment="1">
      <alignment horizontal="center" vertical="center"/>
    </xf>
    <xf numFmtId="0" fontId="18" fillId="0" borderId="28" xfId="0" applyFont="1" applyBorder="1" applyAlignment="1">
      <alignment horizontal="center" vertical="center"/>
    </xf>
    <xf numFmtId="0" fontId="8" fillId="0" borderId="28" xfId="0" applyFont="1" applyBorder="1" applyAlignment="1">
      <alignment horizontal="center" vertical="center"/>
    </xf>
    <xf numFmtId="0" fontId="10" fillId="7" borderId="1" xfId="0" applyFont="1" applyFill="1" applyBorder="1" applyAlignment="1">
      <alignment vertical="center"/>
    </xf>
    <xf numFmtId="0" fontId="7" fillId="7" borderId="27" xfId="0" applyFont="1" applyFill="1" applyBorder="1" applyAlignment="1">
      <alignment horizontal="center" vertical="center"/>
    </xf>
    <xf numFmtId="49" fontId="26" fillId="7" borderId="27" xfId="0" applyNumberFormat="1" applyFont="1" applyFill="1" applyBorder="1" applyAlignment="1">
      <alignment horizontal="center" vertical="center"/>
    </xf>
    <xf numFmtId="0" fontId="26" fillId="7" borderId="28" xfId="0" applyFont="1" applyFill="1" applyBorder="1" applyAlignment="1">
      <alignment horizontal="center" vertical="center"/>
    </xf>
    <xf numFmtId="0" fontId="10" fillId="7" borderId="28" xfId="0" applyFont="1" applyFill="1" applyBorder="1" applyAlignment="1">
      <alignment horizontal="center" vertical="center"/>
    </xf>
    <xf numFmtId="49" fontId="7" fillId="7" borderId="28" xfId="0" applyNumberFormat="1" applyFont="1" applyFill="1" applyBorder="1" applyAlignment="1">
      <alignment horizontal="center" vertical="center"/>
    </xf>
    <xf numFmtId="0" fontId="7" fillId="7" borderId="29" xfId="0" quotePrefix="1" applyFont="1" applyFill="1" applyBorder="1" applyAlignment="1">
      <alignment horizontal="center" vertical="center"/>
    </xf>
    <xf numFmtId="0" fontId="11" fillId="5" borderId="1" xfId="0" applyFont="1" applyFill="1" applyBorder="1" applyAlignment="1">
      <alignment vertical="center"/>
    </xf>
    <xf numFmtId="0" fontId="7" fillId="5" borderId="27" xfId="0" applyFont="1" applyFill="1" applyBorder="1" applyAlignment="1">
      <alignment horizontal="center" vertical="center"/>
    </xf>
    <xf numFmtId="49" fontId="17" fillId="5" borderId="27" xfId="0" applyNumberFormat="1" applyFont="1" applyFill="1" applyBorder="1" applyAlignment="1">
      <alignment horizontal="center" vertical="center"/>
    </xf>
    <xf numFmtId="0" fontId="17" fillId="5" borderId="28" xfId="0" applyFont="1" applyFill="1" applyBorder="1" applyAlignment="1">
      <alignment horizontal="center" vertical="center"/>
    </xf>
    <xf numFmtId="0" fontId="11" fillId="5" borderId="28" xfId="0" applyFont="1" applyFill="1" applyBorder="1" applyAlignment="1">
      <alignment horizontal="center" vertical="center"/>
    </xf>
    <xf numFmtId="49" fontId="7" fillId="5" borderId="28" xfId="0" applyNumberFormat="1" applyFont="1" applyFill="1" applyBorder="1" applyAlignment="1">
      <alignment horizontal="center" vertical="center"/>
    </xf>
    <xf numFmtId="0" fontId="7" fillId="5" borderId="29" xfId="0" quotePrefix="1" applyFont="1" applyFill="1" applyBorder="1" applyAlignment="1">
      <alignment horizontal="center" vertical="center"/>
    </xf>
    <xf numFmtId="0" fontId="14" fillId="0" borderId="1" xfId="0" applyFont="1" applyBorder="1" applyAlignment="1">
      <alignment vertical="center"/>
    </xf>
    <xf numFmtId="49" fontId="23" fillId="0" borderId="27" xfId="0" applyNumberFormat="1" applyFont="1" applyBorder="1" applyAlignment="1">
      <alignment horizontal="center" vertical="center"/>
    </xf>
    <xf numFmtId="0" fontId="23" fillId="0" borderId="28" xfId="0" applyFont="1" applyBorder="1" applyAlignment="1">
      <alignment horizontal="center" vertical="center"/>
    </xf>
    <xf numFmtId="0" fontId="14" fillId="0" borderId="28" xfId="0" applyFont="1" applyBorder="1" applyAlignment="1">
      <alignment horizontal="center" vertical="center"/>
    </xf>
    <xf numFmtId="0" fontId="11" fillId="6" borderId="1" xfId="0" applyFont="1" applyFill="1" applyBorder="1" applyAlignment="1">
      <alignment vertical="center"/>
    </xf>
    <xf numFmtId="0" fontId="7" fillId="6" borderId="27" xfId="0" applyFont="1" applyFill="1" applyBorder="1" applyAlignment="1">
      <alignment horizontal="center" vertical="center"/>
    </xf>
    <xf numFmtId="49" fontId="17" fillId="6" borderId="27" xfId="0" applyNumberFormat="1" applyFont="1" applyFill="1" applyBorder="1" applyAlignment="1">
      <alignment horizontal="center" vertical="center"/>
    </xf>
    <xf numFmtId="0" fontId="17" fillId="6" borderId="28" xfId="0" applyFont="1" applyFill="1" applyBorder="1" applyAlignment="1">
      <alignment horizontal="center" vertical="center"/>
    </xf>
    <xf numFmtId="0" fontId="11" fillId="6" borderId="28" xfId="0" applyFont="1" applyFill="1" applyBorder="1" applyAlignment="1">
      <alignment horizontal="center" vertical="center"/>
    </xf>
    <xf numFmtId="49" fontId="7" fillId="6" borderId="28" xfId="0" applyNumberFormat="1" applyFont="1" applyFill="1" applyBorder="1" applyAlignment="1">
      <alignment horizontal="center" vertical="center"/>
    </xf>
    <xf numFmtId="0" fontId="7" fillId="6" borderId="29" xfId="0" quotePrefix="1" applyFont="1" applyFill="1" applyBorder="1" applyAlignment="1">
      <alignment horizontal="center" vertical="center"/>
    </xf>
    <xf numFmtId="0" fontId="11" fillId="7" borderId="1" xfId="0" applyFont="1" applyFill="1" applyBorder="1" applyAlignment="1">
      <alignment vertical="center"/>
    </xf>
    <xf numFmtId="49" fontId="17" fillId="7" borderId="27" xfId="0" applyNumberFormat="1" applyFont="1" applyFill="1" applyBorder="1" applyAlignment="1">
      <alignment horizontal="center" vertical="center"/>
    </xf>
    <xf numFmtId="0" fontId="17" fillId="7" borderId="28" xfId="0" applyFont="1" applyFill="1" applyBorder="1" applyAlignment="1">
      <alignment horizontal="center" vertical="center"/>
    </xf>
    <xf numFmtId="0" fontId="11" fillId="7" borderId="28" xfId="0" applyFont="1" applyFill="1" applyBorder="1" applyAlignment="1">
      <alignment horizontal="center" vertical="center"/>
    </xf>
    <xf numFmtId="49" fontId="27" fillId="0" borderId="27" xfId="0" applyNumberFormat="1" applyFont="1" applyBorder="1" applyAlignment="1">
      <alignment horizontal="center" vertical="center"/>
    </xf>
    <xf numFmtId="0" fontId="27" fillId="0" borderId="28" xfId="0" applyFont="1" applyBorder="1" applyAlignment="1">
      <alignment horizontal="center" vertical="center"/>
    </xf>
    <xf numFmtId="0" fontId="22" fillId="0" borderId="28" xfId="0" applyFont="1" applyBorder="1" applyAlignment="1">
      <alignment horizontal="center" vertical="center"/>
    </xf>
    <xf numFmtId="0" fontId="57" fillId="5" borderId="1" xfId="0" applyFont="1" applyFill="1" applyBorder="1" applyAlignment="1">
      <alignment vertical="center"/>
    </xf>
    <xf numFmtId="49" fontId="56" fillId="5" borderId="27" xfId="0" applyNumberFormat="1" applyFont="1" applyFill="1" applyBorder="1" applyAlignment="1">
      <alignment horizontal="center" vertical="center"/>
    </xf>
    <xf numFmtId="0" fontId="56" fillId="5" borderId="28" xfId="0" applyFont="1" applyFill="1" applyBorder="1" applyAlignment="1">
      <alignment horizontal="center" vertical="center"/>
    </xf>
    <xf numFmtId="0" fontId="57" fillId="5" borderId="28" xfId="0" applyFont="1" applyFill="1" applyBorder="1" applyAlignment="1">
      <alignment horizontal="center" vertical="center"/>
    </xf>
    <xf numFmtId="49" fontId="27" fillId="9" borderId="27" xfId="0" applyNumberFormat="1" applyFont="1" applyFill="1" applyBorder="1" applyAlignment="1">
      <alignment horizontal="center" vertical="center"/>
    </xf>
    <xf numFmtId="0" fontId="27" fillId="9" borderId="28" xfId="0" applyFont="1" applyFill="1" applyBorder="1" applyAlignment="1">
      <alignment horizontal="center" vertical="center"/>
    </xf>
    <xf numFmtId="0" fontId="22" fillId="9" borderId="28" xfId="0" applyFont="1" applyFill="1" applyBorder="1" applyAlignment="1">
      <alignment horizontal="center" vertical="center"/>
    </xf>
    <xf numFmtId="0" fontId="11" fillId="9" borderId="1" xfId="0" applyFont="1" applyFill="1" applyBorder="1" applyAlignment="1">
      <alignment vertical="center"/>
    </xf>
    <xf numFmtId="49" fontId="17" fillId="9" borderId="27" xfId="0" applyNumberFormat="1" applyFont="1" applyFill="1" applyBorder="1" applyAlignment="1">
      <alignment horizontal="center" vertical="center"/>
    </xf>
    <xf numFmtId="0" fontId="17" fillId="9" borderId="28" xfId="0" applyFont="1" applyFill="1" applyBorder="1" applyAlignment="1">
      <alignment horizontal="center" vertical="center"/>
    </xf>
    <xf numFmtId="0" fontId="11" fillId="9" borderId="28" xfId="0" applyFont="1" applyFill="1" applyBorder="1" applyAlignment="1">
      <alignment horizontal="center" vertical="center"/>
    </xf>
    <xf numFmtId="0" fontId="22" fillId="9" borderId="1" xfId="0" applyFont="1" applyFill="1" applyBorder="1" applyAlignment="1">
      <alignment vertical="center"/>
    </xf>
    <xf numFmtId="0" fontId="57" fillId="0" borderId="8" xfId="0" applyFont="1" applyBorder="1" applyAlignment="1">
      <alignment vertical="center"/>
    </xf>
    <xf numFmtId="0" fontId="7" fillId="0" borderId="47" xfId="0" applyFont="1" applyBorder="1" applyAlignment="1">
      <alignment horizontal="center" vertical="center"/>
    </xf>
    <xf numFmtId="49" fontId="56" fillId="0" borderId="47" xfId="0" applyNumberFormat="1" applyFont="1" applyBorder="1" applyAlignment="1">
      <alignment horizontal="center" vertical="center"/>
    </xf>
    <xf numFmtId="0" fontId="56" fillId="0" borderId="49" xfId="0" applyFont="1" applyBorder="1" applyAlignment="1">
      <alignment horizontal="center" vertical="center"/>
    </xf>
    <xf numFmtId="0" fontId="57" fillId="0" borderId="49" xfId="0" applyFont="1" applyBorder="1" applyAlignment="1">
      <alignment horizontal="center" vertical="center"/>
    </xf>
    <xf numFmtId="49" fontId="7" fillId="0" borderId="49" xfId="0" applyNumberFormat="1" applyFont="1" applyBorder="1" applyAlignment="1">
      <alignment horizontal="center" vertical="center"/>
    </xf>
    <xf numFmtId="0" fontId="42" fillId="12" borderId="47" xfId="0" applyFont="1" applyFill="1" applyBorder="1" applyAlignment="1">
      <alignment horizontal="center" vertical="center"/>
    </xf>
    <xf numFmtId="0" fontId="7" fillId="0" borderId="36" xfId="0" quotePrefix="1" applyFont="1" applyBorder="1" applyAlignment="1">
      <alignment horizontal="center" vertical="center"/>
    </xf>
    <xf numFmtId="0" fontId="4" fillId="0" borderId="0" xfId="0" applyFont="1" applyAlignment="1">
      <alignment horizontal="left" vertical="center"/>
    </xf>
    <xf numFmtId="0" fontId="51" fillId="0" borderId="0" xfId="0" applyFont="1" applyAlignment="1">
      <alignment horizontal="centerContinuous" vertical="center"/>
    </xf>
    <xf numFmtId="0" fontId="38" fillId="0" borderId="0" xfId="0" applyFont="1" applyAlignment="1">
      <alignment horizontal="centerContinuous" vertical="center"/>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2" xfId="0" applyFont="1" applyBorder="1" applyAlignment="1">
      <alignment horizontal="right"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4" fillId="0" borderId="37" xfId="0" applyFont="1" applyBorder="1" applyAlignment="1">
      <alignment horizontal="right" vertical="center"/>
    </xf>
    <xf numFmtId="0" fontId="2" fillId="0" borderId="58" xfId="0" applyFont="1" applyBorder="1" applyAlignment="1">
      <alignment horizontal="center" vertical="center"/>
    </xf>
    <xf numFmtId="0" fontId="4" fillId="0" borderId="50" xfId="0" applyFont="1" applyBorder="1" applyAlignment="1">
      <alignment horizontal="right" vertical="center"/>
    </xf>
    <xf numFmtId="0" fontId="39" fillId="13" borderId="63" xfId="0" applyFont="1" applyFill="1" applyBorder="1" applyAlignment="1">
      <alignment horizontal="center" vertical="center"/>
    </xf>
    <xf numFmtId="0" fontId="39" fillId="13" borderId="43" xfId="0" applyFont="1" applyFill="1" applyBorder="1" applyAlignment="1">
      <alignment horizontal="center" vertical="center"/>
    </xf>
    <xf numFmtId="0" fontId="55" fillId="0" borderId="0" xfId="0" applyFont="1" applyAlignment="1">
      <alignment vertical="center"/>
    </xf>
    <xf numFmtId="0" fontId="2" fillId="15" borderId="60" xfId="0" applyFont="1" applyFill="1" applyBorder="1" applyAlignment="1">
      <alignment horizontal="center" vertical="center"/>
    </xf>
    <xf numFmtId="0" fontId="2" fillId="15" borderId="61" xfId="0" applyFont="1" applyFill="1" applyBorder="1" applyAlignment="1">
      <alignment horizontal="center" vertical="center"/>
    </xf>
    <xf numFmtId="0" fontId="2" fillId="15" borderId="41" xfId="0" applyFont="1" applyFill="1" applyBorder="1" applyAlignment="1">
      <alignment horizontal="center" vertical="center"/>
    </xf>
    <xf numFmtId="0" fontId="2" fillId="15" borderId="42" xfId="0" applyFont="1" applyFill="1" applyBorder="1" applyAlignment="1">
      <alignment horizontal="center" vertical="center"/>
    </xf>
    <xf numFmtId="0" fontId="4" fillId="15" borderId="44" xfId="0" applyFont="1" applyFill="1" applyBorder="1" applyAlignment="1">
      <alignment horizontal="center" vertical="center"/>
    </xf>
    <xf numFmtId="0" fontId="4" fillId="15" borderId="43" xfId="0" applyFont="1" applyFill="1" applyBorder="1" applyAlignment="1">
      <alignment horizontal="center" vertical="center"/>
    </xf>
    <xf numFmtId="0" fontId="6" fillId="4" borderId="32" xfId="0" applyFont="1" applyFill="1" applyBorder="1" applyAlignment="1">
      <alignment horizontal="right" vertical="center"/>
    </xf>
    <xf numFmtId="3" fontId="7" fillId="0" borderId="12" xfId="0" applyNumberFormat="1" applyFont="1" applyBorder="1" applyAlignment="1">
      <alignment horizontal="center" vertical="center"/>
    </xf>
    <xf numFmtId="0" fontId="4" fillId="0" borderId="57" xfId="0" applyFont="1" applyBorder="1" applyAlignment="1">
      <alignment horizontal="right" vertical="center"/>
    </xf>
    <xf numFmtId="49" fontId="2" fillId="0" borderId="96" xfId="0" applyNumberFormat="1" applyFont="1" applyBorder="1" applyAlignment="1">
      <alignment horizontal="center" vertical="center"/>
    </xf>
    <xf numFmtId="0" fontId="4" fillId="16" borderId="44" xfId="0" applyFont="1" applyFill="1" applyBorder="1" applyAlignment="1">
      <alignment horizontal="center" vertical="center"/>
    </xf>
    <xf numFmtId="49" fontId="2" fillId="16" borderId="60" xfId="0" applyNumberFormat="1" applyFont="1" applyFill="1" applyBorder="1" applyAlignment="1">
      <alignment horizontal="center" vertical="center"/>
    </xf>
    <xf numFmtId="49" fontId="2" fillId="16" borderId="61" xfId="0" applyNumberFormat="1" applyFont="1" applyFill="1" applyBorder="1" applyAlignment="1">
      <alignment horizontal="center" vertical="center"/>
    </xf>
    <xf numFmtId="0" fontId="4" fillId="16" borderId="43" xfId="0" applyFont="1" applyFill="1" applyBorder="1" applyAlignment="1">
      <alignment horizontal="center" vertical="center"/>
    </xf>
    <xf numFmtId="0" fontId="8" fillId="9" borderId="1" xfId="0" applyFont="1" applyFill="1" applyBorder="1" applyAlignment="1">
      <alignment vertical="center"/>
    </xf>
    <xf numFmtId="49" fontId="18" fillId="9" borderId="27" xfId="0" applyNumberFormat="1" applyFont="1" applyFill="1" applyBorder="1" applyAlignment="1">
      <alignment horizontal="center" vertical="center"/>
    </xf>
    <xf numFmtId="0" fontId="18" fillId="9" borderId="28" xfId="0" applyFont="1" applyFill="1" applyBorder="1" applyAlignment="1">
      <alignment horizontal="center" vertical="center"/>
    </xf>
    <xf numFmtId="0" fontId="8" fillId="9" borderId="28" xfId="0" applyFont="1" applyFill="1" applyBorder="1" applyAlignment="1">
      <alignment horizontal="center" vertical="center"/>
    </xf>
    <xf numFmtId="0" fontId="2" fillId="0" borderId="97" xfId="0" applyFont="1" applyBorder="1" applyAlignment="1">
      <alignment horizontal="center" vertical="center" shrinkToFit="1"/>
    </xf>
    <xf numFmtId="0" fontId="2" fillId="0" borderId="91" xfId="0" applyFont="1" applyBorder="1" applyAlignment="1">
      <alignment horizontal="center" vertical="center"/>
    </xf>
    <xf numFmtId="49" fontId="2" fillId="0" borderId="91" xfId="0" applyNumberFormat="1" applyFont="1" applyBorder="1" applyAlignment="1">
      <alignment horizontal="center" vertical="center"/>
    </xf>
    <xf numFmtId="164" fontId="2" fillId="0" borderId="91" xfId="0" applyNumberFormat="1" applyFont="1" applyBorder="1" applyAlignment="1">
      <alignment horizontal="center" vertical="center"/>
    </xf>
    <xf numFmtId="1" fontId="2" fillId="0" borderId="91" xfId="0" applyNumberFormat="1" applyFont="1" applyBorder="1" applyAlignment="1">
      <alignment horizontal="center" vertical="center"/>
    </xf>
    <xf numFmtId="0" fontId="2" fillId="0" borderId="92" xfId="0" quotePrefix="1" applyFont="1" applyBorder="1" applyAlignment="1">
      <alignment horizontal="center" vertical="center"/>
    </xf>
    <xf numFmtId="0" fontId="2" fillId="14" borderId="78" xfId="0" applyFont="1" applyFill="1" applyBorder="1" applyAlignment="1">
      <alignment horizontal="center" vertical="center"/>
    </xf>
    <xf numFmtId="0" fontId="2" fillId="14" borderId="44" xfId="0" applyFont="1" applyFill="1" applyBorder="1" applyAlignment="1">
      <alignment horizontal="center" vertical="center"/>
    </xf>
    <xf numFmtId="0" fontId="2" fillId="14" borderId="50" xfId="0" applyFont="1" applyFill="1" applyBorder="1" applyAlignment="1">
      <alignment horizontal="center" vertical="center"/>
    </xf>
    <xf numFmtId="164" fontId="2" fillId="0" borderId="50" xfId="0" applyNumberFormat="1" applyFont="1" applyBorder="1" applyAlignment="1">
      <alignment horizontal="center" vertical="center" shrinkToFit="1"/>
    </xf>
    <xf numFmtId="0" fontId="21" fillId="3" borderId="21" xfId="0" applyFont="1" applyFill="1" applyBorder="1" applyAlignment="1">
      <alignment horizontal="center" vertical="center"/>
    </xf>
    <xf numFmtId="0" fontId="2" fillId="0" borderId="0" xfId="0" applyFont="1" applyAlignment="1">
      <alignment horizontal="center" vertical="center"/>
    </xf>
    <xf numFmtId="0" fontId="7" fillId="0" borderId="27" xfId="5" applyFont="1" applyBorder="1" applyAlignment="1">
      <alignment horizontal="center" vertical="center" shrinkToFit="1"/>
    </xf>
    <xf numFmtId="9" fontId="7" fillId="0" borderId="28" xfId="2" applyFont="1" applyBorder="1" applyAlignment="1">
      <alignment horizontal="center" vertical="center" shrinkToFit="1"/>
    </xf>
    <xf numFmtId="0" fontId="7" fillId="0" borderId="28" xfId="2" applyNumberFormat="1" applyFont="1" applyBorder="1" applyAlignment="1">
      <alignment horizontal="center" vertical="center" shrinkToFit="1"/>
    </xf>
    <xf numFmtId="0" fontId="57" fillId="9" borderId="1" xfId="0" applyFont="1" applyFill="1" applyBorder="1" applyAlignment="1">
      <alignment vertical="center"/>
    </xf>
    <xf numFmtId="49" fontId="56" fillId="9" borderId="27" xfId="0" applyNumberFormat="1" applyFont="1" applyFill="1" applyBorder="1" applyAlignment="1">
      <alignment horizontal="center" vertical="center"/>
    </xf>
    <xf numFmtId="0" fontId="56" fillId="9" borderId="28" xfId="0" applyFont="1" applyFill="1" applyBorder="1" applyAlignment="1">
      <alignment horizontal="center" vertical="center"/>
    </xf>
    <xf numFmtId="0" fontId="57" fillId="9" borderId="28" xfId="0" applyFont="1" applyFill="1" applyBorder="1" applyAlignment="1">
      <alignment horizontal="center" vertical="center"/>
    </xf>
    <xf numFmtId="49" fontId="7" fillId="17" borderId="28" xfId="0" applyNumberFormat="1" applyFont="1" applyFill="1" applyBorder="1" applyAlignment="1">
      <alignment horizontal="center" vertical="center"/>
    </xf>
    <xf numFmtId="2" fontId="5" fillId="0" borderId="41" xfId="0" applyNumberFormat="1" applyFont="1" applyBorder="1" applyAlignment="1">
      <alignment horizontal="center" vertical="center" shrinkToFit="1"/>
    </xf>
    <xf numFmtId="0" fontId="7" fillId="17" borderId="28" xfId="0" applyFont="1" applyFill="1" applyBorder="1" applyAlignment="1">
      <alignment horizontal="center" vertical="center"/>
    </xf>
    <xf numFmtId="0" fontId="60" fillId="0" borderId="0" xfId="0" applyFont="1" applyAlignment="1">
      <alignment horizontal="centerContinuous" vertical="center" wrapText="1"/>
    </xf>
    <xf numFmtId="0" fontId="51" fillId="0" borderId="0" xfId="0" applyFont="1" applyAlignment="1">
      <alignment horizontal="centerContinuous" vertical="center" wrapText="1"/>
    </xf>
    <xf numFmtId="0" fontId="61" fillId="0" borderId="16" xfId="0" applyFont="1" applyBorder="1" applyAlignment="1">
      <alignment horizontal="center"/>
    </xf>
    <xf numFmtId="0" fontId="61" fillId="0" borderId="98" xfId="0" applyFont="1" applyBorder="1" applyAlignment="1">
      <alignment horizontal="center"/>
    </xf>
    <xf numFmtId="0" fontId="61" fillId="0" borderId="99" xfId="0" applyFont="1" applyBorder="1" applyAlignment="1">
      <alignment horizontal="center"/>
    </xf>
    <xf numFmtId="0" fontId="61" fillId="0" borderId="100" xfId="0" applyFont="1" applyBorder="1" applyAlignment="1">
      <alignment horizontal="center"/>
    </xf>
    <xf numFmtId="0" fontId="0" fillId="0" borderId="101" xfId="0" applyBorder="1" applyAlignment="1">
      <alignment horizontal="center"/>
    </xf>
    <xf numFmtId="0" fontId="0" fillId="10" borderId="91" xfId="0" applyFill="1" applyBorder="1" applyAlignment="1">
      <alignment horizontal="center"/>
    </xf>
    <xf numFmtId="0" fontId="0" fillId="10" borderId="92" xfId="0" applyFill="1" applyBorder="1" applyAlignment="1">
      <alignment horizontal="center"/>
    </xf>
    <xf numFmtId="0" fontId="0" fillId="0" borderId="102" xfId="0" applyBorder="1" applyAlignment="1">
      <alignment horizontal="center"/>
    </xf>
    <xf numFmtId="0" fontId="0" fillId="0" borderId="58" xfId="0" applyBorder="1" applyAlignment="1">
      <alignment horizontal="center"/>
    </xf>
    <xf numFmtId="0" fontId="0" fillId="10" borderId="41" xfId="0" applyFill="1" applyBorder="1" applyAlignment="1">
      <alignment horizontal="center"/>
    </xf>
    <xf numFmtId="0" fontId="0" fillId="10" borderId="42" xfId="0" applyFill="1" applyBorder="1" applyAlignment="1">
      <alignment horizontal="center"/>
    </xf>
    <xf numFmtId="0" fontId="0" fillId="0" borderId="41" xfId="0" applyBorder="1" applyAlignment="1">
      <alignment horizontal="center"/>
    </xf>
    <xf numFmtId="0" fontId="62" fillId="0" borderId="102" xfId="0" applyFont="1" applyBorder="1" applyAlignment="1">
      <alignment horizontal="center"/>
    </xf>
    <xf numFmtId="0" fontId="62" fillId="0" borderId="58" xfId="0" applyFont="1" applyBorder="1" applyAlignment="1">
      <alignment horizontal="center"/>
    </xf>
    <xf numFmtId="0" fontId="0" fillId="0" borderId="103" xfId="0" applyBorder="1" applyAlignment="1">
      <alignment horizontal="center"/>
    </xf>
    <xf numFmtId="0" fontId="0" fillId="0" borderId="63"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49" fontId="2" fillId="0" borderId="96" xfId="0" applyNumberFormat="1" applyFont="1" applyBorder="1" applyAlignment="1">
      <alignment horizontal="center"/>
    </xf>
    <xf numFmtId="0" fontId="0" fillId="0" borderId="104" xfId="0" applyBorder="1" applyAlignment="1">
      <alignment horizontal="center"/>
    </xf>
    <xf numFmtId="0" fontId="0" fillId="0" borderId="105" xfId="0" applyBorder="1" applyAlignment="1">
      <alignment horizontal="center"/>
    </xf>
    <xf numFmtId="0" fontId="0" fillId="0" borderId="79" xfId="0" applyBorder="1" applyAlignment="1">
      <alignment horizontal="center"/>
    </xf>
    <xf numFmtId="0" fontId="0" fillId="0" borderId="80" xfId="0" applyBorder="1" applyAlignment="1">
      <alignment horizontal="center"/>
    </xf>
    <xf numFmtId="0" fontId="2" fillId="0" borderId="63" xfId="0" applyFont="1" applyBorder="1" applyAlignment="1">
      <alignment horizontal="center"/>
    </xf>
    <xf numFmtId="0" fontId="7" fillId="0" borderId="36" xfId="0" applyFont="1" applyBorder="1" applyAlignment="1">
      <alignment horizontal="center" vertical="center" wrapText="1"/>
    </xf>
    <xf numFmtId="0" fontId="7" fillId="0" borderId="35" xfId="0" quotePrefix="1" applyFont="1" applyBorder="1" applyAlignment="1">
      <alignment horizontal="center" vertical="center" wrapText="1"/>
    </xf>
    <xf numFmtId="0" fontId="46" fillId="0" borderId="41" xfId="0" applyFont="1" applyBorder="1" applyAlignment="1">
      <alignment horizontal="center" vertical="center"/>
    </xf>
    <xf numFmtId="0" fontId="5" fillId="0" borderId="41" xfId="0" applyFont="1" applyBorder="1" applyAlignment="1">
      <alignment horizontal="center" vertical="center" shrinkToFit="1"/>
    </xf>
    <xf numFmtId="164" fontId="2" fillId="0" borderId="37" xfId="0" applyNumberFormat="1" applyFont="1" applyBorder="1" applyAlignment="1">
      <alignment horizontal="center" vertical="center" shrinkToFit="1"/>
    </xf>
    <xf numFmtId="0" fontId="5" fillId="0" borderId="90" xfId="0" applyFont="1" applyBorder="1" applyAlignment="1">
      <alignment horizontal="left" vertical="center"/>
    </xf>
    <xf numFmtId="2" fontId="2" fillId="0" borderId="37" xfId="0" applyNumberFormat="1" applyFont="1" applyBorder="1" applyAlignment="1">
      <alignment horizontal="center" vertical="center" shrinkToFit="1"/>
    </xf>
    <xf numFmtId="165" fontId="2" fillId="0" borderId="0" xfId="0" applyNumberFormat="1" applyFont="1" applyAlignment="1">
      <alignment horizontal="center" vertical="center"/>
    </xf>
    <xf numFmtId="0" fontId="2" fillId="0" borderId="0" xfId="0" applyFont="1" applyAlignment="1">
      <alignment horizontal="centerContinuous" vertical="center" shrinkToFit="1"/>
    </xf>
    <xf numFmtId="0" fontId="64" fillId="0" borderId="0" xfId="0" applyFont="1" applyAlignment="1">
      <alignment horizontal="centerContinuous" vertical="center"/>
    </xf>
    <xf numFmtId="9" fontId="21" fillId="3" borderId="20" xfId="2" applyFont="1" applyFill="1" applyBorder="1" applyAlignment="1">
      <alignment horizontal="center" vertical="center"/>
    </xf>
    <xf numFmtId="0" fontId="2" fillId="0" borderId="91" xfId="0" applyFont="1" applyBorder="1" applyAlignment="1">
      <alignment horizontal="center" vertical="center" shrinkToFit="1"/>
    </xf>
    <xf numFmtId="164" fontId="2" fillId="0" borderId="91" xfId="0" applyNumberFormat="1" applyFont="1" applyBorder="1" applyAlignment="1">
      <alignment horizontal="center" vertical="center" shrinkToFit="1"/>
    </xf>
    <xf numFmtId="0" fontId="5" fillId="0" borderId="92" xfId="0" applyFont="1" applyBorder="1" applyAlignment="1">
      <alignment horizontal="left" vertical="center" shrinkToFit="1"/>
    </xf>
    <xf numFmtId="1" fontId="7" fillId="14" borderId="27" xfId="0" applyNumberFormat="1" applyFont="1" applyFill="1" applyBorder="1" applyAlignment="1">
      <alignment horizontal="center" vertical="center"/>
    </xf>
    <xf numFmtId="1" fontId="7" fillId="14" borderId="48" xfId="0" applyNumberFormat="1" applyFont="1" applyFill="1" applyBorder="1" applyAlignment="1">
      <alignment horizontal="center" vertical="center"/>
    </xf>
    <xf numFmtId="0" fontId="2" fillId="0" borderId="91" xfId="0" applyFont="1" applyBorder="1" applyAlignment="1">
      <alignment horizontal="left" vertical="center"/>
    </xf>
    <xf numFmtId="0" fontId="7" fillId="9" borderId="28" xfId="0" applyFont="1" applyFill="1" applyBorder="1" applyAlignment="1">
      <alignment horizontal="center" vertical="center"/>
    </xf>
    <xf numFmtId="0" fontId="65" fillId="11" borderId="33" xfId="0" applyFont="1" applyFill="1" applyBorder="1" applyAlignment="1">
      <alignment horizontal="centerContinuous" vertical="center"/>
    </xf>
    <xf numFmtId="0" fontId="66" fillId="11" borderId="57" xfId="0" applyFont="1" applyFill="1" applyBorder="1" applyAlignment="1">
      <alignment horizontal="centerContinuous" vertical="center"/>
    </xf>
    <xf numFmtId="0" fontId="65" fillId="18" borderId="33" xfId="0" applyFont="1" applyFill="1" applyBorder="1" applyAlignment="1">
      <alignment horizontal="centerContinuous" vertical="center"/>
    </xf>
    <xf numFmtId="0" fontId="66" fillId="18" borderId="37" xfId="0" applyFont="1" applyFill="1" applyBorder="1" applyAlignment="1">
      <alignment horizontal="centerContinuous" vertical="center"/>
    </xf>
    <xf numFmtId="0" fontId="66" fillId="18" borderId="50" xfId="0" applyFont="1" applyFill="1" applyBorder="1" applyAlignment="1">
      <alignment horizontal="centerContinuous" vertical="center"/>
    </xf>
    <xf numFmtId="0" fontId="52" fillId="0" borderId="81" xfId="0" applyFont="1" applyBorder="1" applyAlignment="1">
      <alignment horizontal="center" vertical="center" shrinkToFit="1"/>
    </xf>
    <xf numFmtId="0" fontId="68" fillId="0" borderId="1" xfId="0" applyFont="1" applyBorder="1" applyAlignment="1">
      <alignment horizontal="center" vertical="center" shrinkToFit="1"/>
    </xf>
    <xf numFmtId="0" fontId="7" fillId="0" borderId="27" xfId="0" applyFont="1" applyBorder="1" applyAlignment="1">
      <alignment horizontal="center" vertical="center" shrinkToFit="1"/>
    </xf>
    <xf numFmtId="0" fontId="68" fillId="0" borderId="8" xfId="0" applyFont="1" applyBorder="1" applyAlignment="1">
      <alignment horizontal="center" vertical="center" shrinkToFit="1"/>
    </xf>
    <xf numFmtId="0" fontId="7" fillId="0" borderId="47" xfId="2" applyNumberFormat="1" applyFont="1" applyFill="1" applyBorder="1" applyAlignment="1">
      <alignment horizontal="center" vertical="center" shrinkToFit="1"/>
    </xf>
    <xf numFmtId="0" fontId="67" fillId="0" borderId="25" xfId="0" applyFont="1" applyBorder="1" applyAlignment="1">
      <alignment horizontal="centerContinuous"/>
    </xf>
    <xf numFmtId="0" fontId="16" fillId="0" borderId="0" xfId="0" applyFont="1" applyAlignment="1">
      <alignment horizontal="centerContinuous"/>
    </xf>
    <xf numFmtId="0" fontId="2" fillId="0" borderId="0" xfId="0" applyFont="1"/>
    <xf numFmtId="0" fontId="4" fillId="0" borderId="0" xfId="0" applyFont="1"/>
    <xf numFmtId="49" fontId="7" fillId="0" borderId="29" xfId="0" applyNumberFormat="1" applyFont="1" applyBorder="1" applyAlignment="1">
      <alignment horizontal="center" vertical="center"/>
    </xf>
    <xf numFmtId="0" fontId="7" fillId="0" borderId="0" xfId="0" applyFont="1" applyAlignment="1">
      <alignment horizontal="center"/>
    </xf>
    <xf numFmtId="9" fontId="7" fillId="0" borderId="0" xfId="2" applyFont="1" applyFill="1" applyBorder="1" applyAlignment="1">
      <alignment horizontal="center"/>
    </xf>
    <xf numFmtId="0" fontId="7" fillId="0" borderId="0" xfId="0" applyFont="1"/>
    <xf numFmtId="0" fontId="4" fillId="0" borderId="0" xfId="0" applyFont="1" applyAlignment="1">
      <alignment horizontal="right"/>
    </xf>
    <xf numFmtId="0" fontId="2" fillId="0" borderId="0" xfId="0" applyFont="1" applyAlignment="1">
      <alignment horizontal="left"/>
    </xf>
    <xf numFmtId="0" fontId="69" fillId="0" borderId="106" xfId="0" applyFont="1" applyBorder="1" applyAlignment="1">
      <alignment horizontal="centerContinuous" vertical="center"/>
    </xf>
    <xf numFmtId="0" fontId="6" fillId="0" borderId="107" xfId="0" applyFont="1" applyBorder="1" applyAlignment="1">
      <alignment horizontal="centerContinuous" vertical="center"/>
    </xf>
    <xf numFmtId="0" fontId="6" fillId="0" borderId="108" xfId="0" applyFont="1" applyBorder="1" applyAlignment="1">
      <alignment horizontal="centerContinuous" vertical="center"/>
    </xf>
    <xf numFmtId="0" fontId="70" fillId="12" borderId="34" xfId="0" applyFont="1" applyFill="1" applyBorder="1" applyAlignment="1">
      <alignment horizontal="centerContinuous" vertical="center"/>
    </xf>
    <xf numFmtId="0" fontId="70" fillId="12" borderId="109" xfId="0" applyFont="1" applyFill="1" applyBorder="1" applyAlignment="1">
      <alignment horizontal="centerContinuous" vertical="center"/>
    </xf>
    <xf numFmtId="0" fontId="70" fillId="12" borderId="110" xfId="0" applyFont="1" applyFill="1" applyBorder="1" applyAlignment="1">
      <alignment horizontal="center" vertical="center"/>
    </xf>
    <xf numFmtId="0" fontId="70" fillId="12" borderId="111" xfId="0" applyFont="1" applyFill="1" applyBorder="1" applyAlignment="1">
      <alignment horizontal="centerContinuous" vertical="center"/>
    </xf>
    <xf numFmtId="0" fontId="7" fillId="0" borderId="112" xfId="0" applyFont="1" applyBorder="1" applyAlignment="1">
      <alignment horizontal="center" vertical="center"/>
    </xf>
    <xf numFmtId="0" fontId="7" fillId="0" borderId="113" xfId="0" applyFont="1" applyBorder="1" applyAlignment="1">
      <alignment horizontal="centerContinuous" vertical="center"/>
    </xf>
    <xf numFmtId="49" fontId="7" fillId="0" borderId="114" xfId="0" applyNumberFormat="1" applyFont="1" applyBorder="1" applyAlignment="1">
      <alignment horizontal="center" vertical="center"/>
    </xf>
    <xf numFmtId="0" fontId="71" fillId="8" borderId="115" xfId="2" applyNumberFormat="1" applyFont="1" applyFill="1" applyBorder="1" applyAlignment="1">
      <alignment horizontal="centerContinuous" vertical="center" shrinkToFit="1"/>
    </xf>
    <xf numFmtId="0" fontId="7" fillId="0" borderId="1" xfId="0" applyFont="1" applyBorder="1" applyAlignment="1">
      <alignment horizontal="center" vertical="center"/>
    </xf>
    <xf numFmtId="0" fontId="7" fillId="0" borderId="28" xfId="0" applyFont="1" applyBorder="1" applyAlignment="1">
      <alignment horizontal="centerContinuous" vertical="center"/>
    </xf>
    <xf numFmtId="49" fontId="7" fillId="0" borderId="27" xfId="0" applyNumberFormat="1" applyFont="1" applyBorder="1" applyAlignment="1">
      <alignment horizontal="center" vertical="center"/>
    </xf>
    <xf numFmtId="0" fontId="71" fillId="8" borderId="2" xfId="2" applyNumberFormat="1" applyFont="1" applyFill="1" applyBorder="1" applyAlignment="1">
      <alignment horizontal="centerContinuous" vertical="center" shrinkToFit="1"/>
    </xf>
    <xf numFmtId="0" fontId="7" fillId="0" borderId="8" xfId="0" applyFont="1" applyBorder="1" applyAlignment="1">
      <alignment horizontal="center" vertical="center"/>
    </xf>
    <xf numFmtId="0" fontId="7" fillId="0" borderId="49" xfId="0" applyFont="1" applyBorder="1" applyAlignment="1">
      <alignment horizontal="centerContinuous" vertical="center"/>
    </xf>
    <xf numFmtId="49" fontId="7" fillId="0" borderId="47" xfId="0" applyNumberFormat="1" applyFont="1" applyBorder="1" applyAlignment="1">
      <alignment horizontal="center" vertical="center"/>
    </xf>
    <xf numFmtId="0" fontId="71" fillId="8" borderId="10" xfId="2" applyNumberFormat="1" applyFont="1" applyFill="1" applyBorder="1" applyAlignment="1">
      <alignment horizontal="centerContinuous" vertical="center" shrinkToFit="1"/>
    </xf>
    <xf numFmtId="0" fontId="2" fillId="0" borderId="117" xfId="0" applyFont="1" applyBorder="1" applyAlignment="1">
      <alignment horizontal="centerContinuous" vertical="center" shrinkToFit="1"/>
    </xf>
    <xf numFmtId="0" fontId="21" fillId="0" borderId="88" xfId="0" applyFont="1" applyBorder="1" applyAlignment="1">
      <alignment horizontal="centerContinuous" vertical="center"/>
    </xf>
    <xf numFmtId="0" fontId="21" fillId="0" borderId="105" xfId="0" applyFont="1" applyBorder="1" applyAlignment="1">
      <alignment horizontal="centerContinuous" vertical="center"/>
    </xf>
    <xf numFmtId="0" fontId="2" fillId="0" borderId="118" xfId="0" applyFont="1" applyBorder="1" applyAlignment="1">
      <alignment horizontal="center" vertical="center"/>
    </xf>
    <xf numFmtId="0" fontId="2" fillId="0" borderId="79" xfId="0" applyFont="1" applyBorder="1" applyAlignment="1">
      <alignment horizontal="center" vertical="center"/>
    </xf>
    <xf numFmtId="1" fontId="2" fillId="20" borderId="81" xfId="0" applyNumberFormat="1" applyFont="1" applyFill="1" applyBorder="1" applyAlignment="1">
      <alignment horizontal="center" vertical="center"/>
    </xf>
    <xf numFmtId="0" fontId="2" fillId="20" borderId="119" xfId="0" applyFont="1" applyFill="1" applyBorder="1" applyAlignment="1">
      <alignment horizontal="center" vertical="center"/>
    </xf>
    <xf numFmtId="49" fontId="2" fillId="20" borderId="79" xfId="0" applyNumberFormat="1" applyFont="1" applyFill="1" applyBorder="1" applyAlignment="1">
      <alignment horizontal="center" vertical="center"/>
    </xf>
    <xf numFmtId="0" fontId="2" fillId="20" borderId="79" xfId="0" applyFont="1" applyFill="1" applyBorder="1" applyAlignment="1">
      <alignment horizontal="center" vertical="center"/>
    </xf>
    <xf numFmtId="164" fontId="2" fillId="20" borderId="79" xfId="0" applyNumberFormat="1" applyFont="1" applyFill="1" applyBorder="1" applyAlignment="1">
      <alignment horizontal="center" vertical="center"/>
    </xf>
    <xf numFmtId="1" fontId="2" fillId="20" borderId="79" xfId="0" applyNumberFormat="1" applyFont="1" applyFill="1" applyBorder="1" applyAlignment="1">
      <alignment horizontal="center" vertical="center"/>
    </xf>
    <xf numFmtId="0" fontId="2" fillId="20" borderId="80" xfId="0" applyFont="1" applyFill="1" applyBorder="1" applyAlignment="1">
      <alignment horizontal="center" vertical="center"/>
    </xf>
    <xf numFmtId="0" fontId="66" fillId="11" borderId="120" xfId="0" applyFont="1" applyFill="1" applyBorder="1" applyAlignment="1">
      <alignment horizontal="centerContinuous" vertical="center"/>
    </xf>
    <xf numFmtId="0" fontId="55" fillId="0" borderId="0" xfId="0" applyFont="1" applyAlignment="1">
      <alignment horizontal="center" vertical="center"/>
    </xf>
    <xf numFmtId="0" fontId="66" fillId="0" borderId="0" xfId="0" applyFont="1" applyAlignment="1">
      <alignment vertical="center"/>
    </xf>
    <xf numFmtId="0" fontId="54" fillId="0" borderId="33" xfId="0" applyFont="1" applyBorder="1" applyAlignment="1">
      <alignment horizontal="center" vertical="center"/>
    </xf>
    <xf numFmtId="0" fontId="7" fillId="0" borderId="116" xfId="0" applyFont="1" applyBorder="1" applyAlignment="1">
      <alignment horizontal="center" vertical="center"/>
    </xf>
    <xf numFmtId="0" fontId="7" fillId="0" borderId="56" xfId="0" applyFont="1" applyBorder="1" applyAlignment="1">
      <alignment horizontal="center" vertical="center"/>
    </xf>
    <xf numFmtId="0" fontId="66" fillId="0" borderId="0" xfId="0" applyFont="1" applyAlignment="1">
      <alignment horizontal="center" vertical="center"/>
    </xf>
    <xf numFmtId="0" fontId="66" fillId="21" borderId="57" xfId="0" applyFont="1" applyFill="1" applyBorder="1" applyAlignment="1">
      <alignment horizontal="centerContinuous" vertical="center"/>
    </xf>
    <xf numFmtId="0" fontId="72" fillId="21" borderId="121" xfId="0" applyFont="1" applyFill="1" applyBorder="1" applyAlignment="1">
      <alignment horizontal="centerContinuous" vertical="center"/>
    </xf>
    <xf numFmtId="0" fontId="12" fillId="19" borderId="67" xfId="0" applyFont="1" applyFill="1" applyBorder="1" applyAlignment="1">
      <alignment horizontal="centerContinuous" vertical="center"/>
    </xf>
    <xf numFmtId="0" fontId="12" fillId="19" borderId="39" xfId="0" applyFont="1" applyFill="1" applyBorder="1" applyAlignment="1">
      <alignment horizontal="center" vertical="center"/>
    </xf>
    <xf numFmtId="0" fontId="12" fillId="19" borderId="68" xfId="0" applyFont="1" applyFill="1" applyBorder="1" applyAlignment="1">
      <alignment horizontal="centerContinuous" vertical="center"/>
    </xf>
    <xf numFmtId="0" fontId="2" fillId="0" borderId="46" xfId="0" applyFont="1" applyBorder="1" applyAlignment="1">
      <alignment horizontal="center" vertical="center"/>
    </xf>
    <xf numFmtId="0" fontId="2" fillId="0" borderId="46" xfId="0" quotePrefix="1" applyFont="1" applyBorder="1" applyAlignment="1">
      <alignment horizontal="center" vertical="center"/>
    </xf>
    <xf numFmtId="164" fontId="5" fillId="0" borderId="46" xfId="0" applyNumberFormat="1" applyFont="1" applyBorder="1" applyAlignment="1">
      <alignment horizontal="center" vertical="center"/>
    </xf>
    <xf numFmtId="164" fontId="2" fillId="0" borderId="122" xfId="0" applyNumberFormat="1" applyFont="1" applyBorder="1" applyAlignment="1">
      <alignment horizontal="centerContinuous" vertical="center"/>
    </xf>
    <xf numFmtId="164" fontId="2" fillId="0" borderId="123" xfId="0" applyNumberFormat="1" applyFont="1" applyBorder="1" applyAlignment="1">
      <alignment horizontal="centerContinuous" vertical="center"/>
    </xf>
    <xf numFmtId="0" fontId="5" fillId="0" borderId="124" xfId="0" quotePrefix="1" applyFont="1" applyBorder="1" applyAlignment="1">
      <alignment horizontal="centerContinuous" vertical="center"/>
    </xf>
    <xf numFmtId="0" fontId="2" fillId="0" borderId="41" xfId="0" quotePrefix="1" applyFont="1" applyBorder="1" applyAlignment="1">
      <alignment horizontal="center" vertical="center"/>
    </xf>
    <xf numFmtId="164" fontId="2" fillId="0" borderId="90" xfId="0" applyNumberFormat="1" applyFont="1" applyBorder="1" applyAlignment="1">
      <alignment horizontal="centerContinuous" vertical="center"/>
    </xf>
    <xf numFmtId="164" fontId="2" fillId="0" borderId="72" xfId="0" applyNumberFormat="1" applyFont="1" applyBorder="1" applyAlignment="1">
      <alignment horizontal="centerContinuous" vertical="center"/>
    </xf>
    <xf numFmtId="0" fontId="2" fillId="0" borderId="8" xfId="0" applyFont="1" applyBorder="1" applyAlignment="1">
      <alignment horizontal="centerContinuous" vertical="center"/>
    </xf>
    <xf numFmtId="0" fontId="5" fillId="0" borderId="125" xfId="0" applyFont="1" applyBorder="1" applyAlignment="1">
      <alignment horizontal="centerContinuous" vertical="center"/>
    </xf>
    <xf numFmtId="0" fontId="5" fillId="0" borderId="126" xfId="0" applyFont="1" applyBorder="1" applyAlignment="1">
      <alignment horizontal="centerContinuous" vertical="center"/>
    </xf>
    <xf numFmtId="164" fontId="5" fillId="0" borderId="126" xfId="0" applyNumberFormat="1" applyFont="1" applyBorder="1" applyAlignment="1">
      <alignment horizontal="center" vertical="center"/>
    </xf>
    <xf numFmtId="49" fontId="2" fillId="0" borderId="126" xfId="0" applyNumberFormat="1" applyFont="1" applyBorder="1" applyAlignment="1">
      <alignment horizontal="center" vertical="center"/>
    </xf>
    <xf numFmtId="49" fontId="2" fillId="0" borderId="127" xfId="0" applyNumberFormat="1" applyFont="1" applyBorder="1" applyAlignment="1">
      <alignment horizontal="centerContinuous" vertical="center"/>
    </xf>
    <xf numFmtId="0" fontId="5" fillId="0" borderId="10" xfId="0" applyFont="1" applyBorder="1" applyAlignment="1">
      <alignment horizontal="centerContinuous" vertical="center"/>
    </xf>
    <xf numFmtId="2" fontId="2" fillId="0" borderId="56" xfId="0" applyNumberFormat="1" applyFont="1" applyBorder="1" applyAlignment="1">
      <alignment horizontal="center" vertical="center"/>
    </xf>
    <xf numFmtId="0" fontId="2" fillId="0" borderId="128" xfId="0" applyFont="1" applyBorder="1" applyAlignment="1">
      <alignment horizontal="centerContinuous" vertical="center"/>
    </xf>
    <xf numFmtId="0" fontId="2" fillId="0" borderId="129" xfId="0" applyFont="1" applyBorder="1" applyAlignment="1">
      <alignment horizontal="centerContinuous" vertical="center"/>
    </xf>
    <xf numFmtId="0" fontId="2" fillId="0" borderId="46" xfId="0" applyFont="1" applyBorder="1" applyAlignment="1">
      <alignment horizontal="centerContinuous" vertical="center"/>
    </xf>
    <xf numFmtId="0" fontId="2" fillId="0" borderId="122" xfId="0" applyFont="1" applyBorder="1" applyAlignment="1">
      <alignment horizontal="centerContinuous" vertical="center"/>
    </xf>
    <xf numFmtId="0" fontId="2" fillId="0" borderId="123" xfId="0" applyFont="1" applyBorder="1" applyAlignment="1">
      <alignment horizontal="centerContinuous" vertical="center"/>
    </xf>
    <xf numFmtId="0" fontId="2" fillId="0" borderId="124" xfId="0" applyFont="1" applyBorder="1" applyAlignment="1">
      <alignment horizontal="centerContinuous" vertical="center"/>
    </xf>
    <xf numFmtId="0" fontId="2" fillId="0" borderId="57" xfId="0" applyFont="1" applyBorder="1" applyAlignment="1">
      <alignment horizontal="center" vertical="center"/>
    </xf>
    <xf numFmtId="0" fontId="2" fillId="0" borderId="91" xfId="0" quotePrefix="1" applyFont="1" applyBorder="1" applyAlignment="1">
      <alignment horizontal="center" vertical="center"/>
    </xf>
    <xf numFmtId="164" fontId="5" fillId="0" borderId="91" xfId="0" applyNumberFormat="1" applyFont="1" applyBorder="1" applyAlignment="1">
      <alignment horizontal="center" vertical="center"/>
    </xf>
    <xf numFmtId="164" fontId="2" fillId="0" borderId="131" xfId="0" applyNumberFormat="1" applyFont="1" applyBorder="1" applyAlignment="1">
      <alignment horizontal="centerContinuous" vertical="center"/>
    </xf>
    <xf numFmtId="0" fontId="5" fillId="0" borderId="132" xfId="0" quotePrefix="1" applyFont="1" applyBorder="1" applyAlignment="1">
      <alignment horizontal="centerContinuous" vertical="center"/>
    </xf>
    <xf numFmtId="0" fontId="73" fillId="0" borderId="0" xfId="0" applyFont="1" applyAlignment="1">
      <alignment vertical="center"/>
    </xf>
    <xf numFmtId="9" fontId="2" fillId="15" borderId="91" xfId="0" applyNumberFormat="1" applyFont="1" applyFill="1" applyBorder="1" applyAlignment="1">
      <alignment horizontal="center" vertical="center"/>
    </xf>
    <xf numFmtId="0" fontId="65" fillId="23" borderId="33" xfId="0" applyFont="1" applyFill="1" applyBorder="1" applyAlignment="1">
      <alignment horizontal="centerContinuous" vertical="center"/>
    </xf>
    <xf numFmtId="0" fontId="66" fillId="23" borderId="37" xfId="0" applyFont="1" applyFill="1" applyBorder="1" applyAlignment="1">
      <alignment horizontal="centerContinuous" vertical="center"/>
    </xf>
    <xf numFmtId="0" fontId="66" fillId="23" borderId="50" xfId="0" applyFont="1" applyFill="1" applyBorder="1" applyAlignment="1">
      <alignment horizontal="centerContinuous" vertical="center"/>
    </xf>
    <xf numFmtId="0" fontId="14" fillId="17" borderId="1" xfId="0" applyFont="1" applyFill="1" applyBorder="1" applyAlignment="1">
      <alignment vertical="center"/>
    </xf>
    <xf numFmtId="0" fontId="7" fillId="17" borderId="27" xfId="0" applyFont="1" applyFill="1" applyBorder="1" applyAlignment="1">
      <alignment horizontal="center" vertical="center"/>
    </xf>
    <xf numFmtId="49" fontId="23" fillId="17" borderId="27" xfId="0" applyNumberFormat="1" applyFont="1" applyFill="1" applyBorder="1" applyAlignment="1">
      <alignment horizontal="center" vertical="center"/>
    </xf>
    <xf numFmtId="0" fontId="23" fillId="17" borderId="28" xfId="0" applyFont="1" applyFill="1" applyBorder="1" applyAlignment="1">
      <alignment horizontal="center" vertical="center"/>
    </xf>
    <xf numFmtId="0" fontId="14" fillId="17" borderId="28" xfId="0" applyFont="1" applyFill="1" applyBorder="1" applyAlignment="1">
      <alignment horizontal="center" vertical="center"/>
    </xf>
    <xf numFmtId="0" fontId="7" fillId="17" borderId="29" xfId="0" quotePrefix="1" applyFont="1" applyFill="1" applyBorder="1" applyAlignment="1">
      <alignment horizontal="center" vertical="center"/>
    </xf>
    <xf numFmtId="0" fontId="51" fillId="22" borderId="33" xfId="0" applyFont="1" applyFill="1" applyBorder="1" applyAlignment="1">
      <alignment horizontal="centerContinuous" vertical="center"/>
    </xf>
    <xf numFmtId="0" fontId="52" fillId="22" borderId="50" xfId="0" applyFont="1" applyFill="1" applyBorder="1" applyAlignment="1">
      <alignment horizontal="centerContinuous" vertical="center"/>
    </xf>
    <xf numFmtId="0" fontId="2" fillId="0" borderId="117" xfId="0" applyFont="1" applyBorder="1" applyAlignment="1">
      <alignment horizontal="center" vertical="center" shrinkToFit="1"/>
    </xf>
    <xf numFmtId="1" fontId="2" fillId="0" borderId="79" xfId="0" applyNumberFormat="1" applyFont="1" applyBorder="1" applyAlignment="1">
      <alignment horizontal="center" vertical="center" shrinkToFit="1"/>
    </xf>
    <xf numFmtId="164" fontId="2" fillId="0" borderId="79" xfId="0" applyNumberFormat="1" applyFont="1" applyBorder="1" applyAlignment="1">
      <alignment horizontal="center" vertical="center" shrinkToFit="1"/>
    </xf>
    <xf numFmtId="0" fontId="2" fillId="0" borderId="118" xfId="0" applyFont="1" applyBorder="1" applyAlignment="1">
      <alignment horizontal="left" vertical="center"/>
    </xf>
    <xf numFmtId="0" fontId="2" fillId="0" borderId="80" xfId="0" applyFont="1" applyBorder="1" applyAlignment="1">
      <alignment horizontal="left" vertical="center" shrinkToFit="1"/>
    </xf>
    <xf numFmtId="1" fontId="2" fillId="0" borderId="81" xfId="0" applyNumberFormat="1" applyFont="1" applyBorder="1" applyAlignment="1">
      <alignment horizontal="center" vertical="center" shrinkToFit="1"/>
    </xf>
    <xf numFmtId="0" fontId="66" fillId="11" borderId="116" xfId="0" applyFont="1" applyFill="1" applyBorder="1" applyAlignment="1">
      <alignment horizontal="centerContinuous" vertical="center"/>
    </xf>
    <xf numFmtId="0" fontId="66" fillId="21" borderId="50" xfId="0" applyFont="1" applyFill="1" applyBorder="1" applyAlignment="1">
      <alignment horizontal="centerContinuous" vertical="center"/>
    </xf>
    <xf numFmtId="1" fontId="2" fillId="0" borderId="116" xfId="0" applyNumberFormat="1" applyFont="1" applyBorder="1" applyAlignment="1">
      <alignment horizontal="center" vertical="center"/>
    </xf>
    <xf numFmtId="0" fontId="2" fillId="0" borderId="133" xfId="0" applyFont="1" applyBorder="1" applyAlignment="1">
      <alignment horizontal="center" vertical="center" shrinkToFit="1"/>
    </xf>
    <xf numFmtId="49" fontId="2" fillId="0" borderId="134" xfId="0" applyNumberFormat="1" applyFont="1" applyBorder="1" applyAlignment="1">
      <alignment horizontal="center" vertical="center"/>
    </xf>
    <xf numFmtId="0" fontId="2" fillId="0" borderId="134" xfId="0" applyFont="1" applyBorder="1" applyAlignment="1">
      <alignment horizontal="center" vertical="center"/>
    </xf>
    <xf numFmtId="164" fontId="2" fillId="0" borderId="134" xfId="0" applyNumberFormat="1" applyFont="1" applyBorder="1" applyAlignment="1">
      <alignment horizontal="center" vertical="center"/>
    </xf>
    <xf numFmtId="1" fontId="2" fillId="0" borderId="134" xfId="0" applyNumberFormat="1" applyFont="1" applyBorder="1" applyAlignment="1">
      <alignment horizontal="center" vertical="center"/>
    </xf>
    <xf numFmtId="0" fontId="2" fillId="0" borderId="135" xfId="0" quotePrefix="1" applyFont="1" applyBorder="1" applyAlignment="1">
      <alignment horizontal="center" vertical="center"/>
    </xf>
    <xf numFmtId="1" fontId="2" fillId="0" borderId="136" xfId="0" applyNumberFormat="1" applyFont="1" applyBorder="1" applyAlignment="1">
      <alignment horizontal="center" vertical="center"/>
    </xf>
    <xf numFmtId="0" fontId="2" fillId="0" borderId="97" xfId="0" applyFont="1" applyBorder="1" applyAlignment="1">
      <alignment horizontal="center" vertical="center"/>
    </xf>
    <xf numFmtId="0" fontId="2" fillId="0" borderId="91" xfId="0" quotePrefix="1" applyFont="1" applyBorder="1" applyAlignment="1">
      <alignment horizontal="center" vertical="center" wrapText="1"/>
    </xf>
    <xf numFmtId="49" fontId="2" fillId="0" borderId="91" xfId="2" applyNumberFormat="1" applyFont="1" applyBorder="1" applyAlignment="1">
      <alignment horizontal="center" vertical="center"/>
    </xf>
    <xf numFmtId="1" fontId="5" fillId="0" borderId="91" xfId="0" applyNumberFormat="1" applyFont="1" applyBorder="1" applyAlignment="1">
      <alignment horizontal="center" vertical="center"/>
    </xf>
    <xf numFmtId="1" fontId="2" fillId="10" borderId="116" xfId="0" applyNumberFormat="1" applyFont="1" applyFill="1" applyBorder="1" applyAlignment="1">
      <alignment horizontal="center" vertical="center"/>
    </xf>
    <xf numFmtId="0" fontId="2" fillId="14" borderId="137" xfId="0" applyFont="1" applyFill="1" applyBorder="1" applyAlignment="1">
      <alignment horizontal="center" vertical="center" shrinkToFit="1"/>
    </xf>
    <xf numFmtId="0" fontId="2" fillId="14" borderId="126" xfId="0" applyFont="1" applyFill="1" applyBorder="1" applyAlignment="1">
      <alignment horizontal="center" vertical="center"/>
    </xf>
    <xf numFmtId="49" fontId="2" fillId="14" borderId="126" xfId="0" applyNumberFormat="1" applyFont="1" applyFill="1" applyBorder="1" applyAlignment="1">
      <alignment horizontal="center" vertical="center"/>
    </xf>
    <xf numFmtId="164" fontId="2" fillId="14" borderId="126" xfId="0" applyNumberFormat="1" applyFont="1" applyFill="1" applyBorder="1" applyAlignment="1">
      <alignment horizontal="center" vertical="center"/>
    </xf>
    <xf numFmtId="1" fontId="2" fillId="14" borderId="126" xfId="0" applyNumberFormat="1" applyFont="1" applyFill="1" applyBorder="1" applyAlignment="1">
      <alignment horizontal="center" vertical="center"/>
    </xf>
    <xf numFmtId="0" fontId="2" fillId="14" borderId="138" xfId="0" quotePrefix="1" applyFont="1" applyFill="1" applyBorder="1" applyAlignment="1">
      <alignment horizontal="center" vertical="center"/>
    </xf>
    <xf numFmtId="1" fontId="2" fillId="14" borderId="56" xfId="0" applyNumberFormat="1" applyFont="1" applyFill="1" applyBorder="1" applyAlignment="1">
      <alignment horizontal="center" vertical="center"/>
    </xf>
    <xf numFmtId="0" fontId="2" fillId="0" borderId="139" xfId="0" applyFont="1" applyBorder="1" applyAlignment="1">
      <alignment horizontal="center" vertical="center"/>
    </xf>
    <xf numFmtId="0" fontId="2" fillId="0" borderId="140" xfId="0" applyFont="1" applyBorder="1" applyAlignment="1">
      <alignment horizontal="center" vertical="center"/>
    </xf>
    <xf numFmtId="0" fontId="2" fillId="0" borderId="140" xfId="0" quotePrefix="1" applyFont="1" applyBorder="1" applyAlignment="1">
      <alignment horizontal="center" vertical="center" wrapText="1"/>
    </xf>
    <xf numFmtId="49" fontId="2" fillId="0" borderId="140" xfId="2" applyNumberFormat="1" applyFont="1" applyBorder="1" applyAlignment="1">
      <alignment horizontal="center" vertical="center"/>
    </xf>
    <xf numFmtId="0" fontId="2" fillId="0" borderId="140" xfId="0" applyFont="1" applyBorder="1" applyAlignment="1">
      <alignment horizontal="center" vertical="center" shrinkToFit="1"/>
    </xf>
    <xf numFmtId="164" fontId="5" fillId="0" borderId="140" xfId="0" applyNumberFormat="1" applyFont="1" applyBorder="1" applyAlignment="1">
      <alignment horizontal="center" vertical="center"/>
    </xf>
    <xf numFmtId="1" fontId="5" fillId="0" borderId="140" xfId="0" applyNumberFormat="1" applyFont="1" applyBorder="1" applyAlignment="1">
      <alignment horizontal="center" vertical="center"/>
    </xf>
    <xf numFmtId="0" fontId="2" fillId="0" borderId="141" xfId="0" quotePrefix="1" applyFont="1" applyBorder="1" applyAlignment="1">
      <alignment horizontal="center" vertical="center"/>
    </xf>
    <xf numFmtId="1" fontId="2" fillId="10" borderId="136" xfId="0" applyNumberFormat="1" applyFont="1" applyFill="1" applyBorder="1" applyAlignment="1">
      <alignment horizontal="center" vertical="center"/>
    </xf>
    <xf numFmtId="0" fontId="74" fillId="0" borderId="41" xfId="0" applyFont="1" applyBorder="1" applyAlignment="1">
      <alignment horizontal="center" vertical="center"/>
    </xf>
    <xf numFmtId="0" fontId="75" fillId="20" borderId="79" xfId="0" applyFont="1" applyFill="1" applyBorder="1" applyAlignment="1">
      <alignment horizontal="center" vertical="center"/>
    </xf>
    <xf numFmtId="164" fontId="2" fillId="0" borderId="87" xfId="0" quotePrefix="1" applyNumberFormat="1" applyFont="1" applyBorder="1" applyAlignment="1">
      <alignment horizontal="centerContinuous" vertical="center"/>
    </xf>
    <xf numFmtId="0" fontId="2" fillId="0" borderId="119" xfId="0" applyFont="1" applyBorder="1" applyAlignment="1">
      <alignment horizontal="center" vertical="center" shrinkToFit="1"/>
    </xf>
    <xf numFmtId="0" fontId="2" fillId="0" borderId="79" xfId="0" quotePrefix="1" applyFont="1" applyBorder="1" applyAlignment="1">
      <alignment horizontal="center" vertical="center"/>
    </xf>
    <xf numFmtId="9" fontId="2" fillId="15" borderId="142" xfId="0" applyNumberFormat="1" applyFont="1" applyFill="1" applyBorder="1" applyAlignment="1">
      <alignment horizontal="center" vertical="center"/>
    </xf>
    <xf numFmtId="164" fontId="2" fillId="0" borderId="79" xfId="0" applyNumberFormat="1" applyFont="1" applyBorder="1" applyAlignment="1">
      <alignment horizontal="center" vertical="center"/>
    </xf>
    <xf numFmtId="164" fontId="2" fillId="0" borderId="118" xfId="0" applyNumberFormat="1" applyFont="1" applyBorder="1" applyAlignment="1">
      <alignment horizontal="centerContinuous" vertical="center"/>
    </xf>
    <xf numFmtId="164" fontId="2" fillId="0" borderId="88" xfId="0" applyNumberFormat="1" applyFont="1" applyBorder="1" applyAlignment="1">
      <alignment horizontal="centerContinuous" vertical="center"/>
    </xf>
    <xf numFmtId="0" fontId="2" fillId="0" borderId="82" xfId="0" applyFont="1" applyBorder="1" applyAlignment="1">
      <alignment horizontal="center" shrinkToFit="1"/>
    </xf>
    <xf numFmtId="0" fontId="2" fillId="10" borderId="140" xfId="0" applyFont="1" applyFill="1" applyBorder="1" applyAlignment="1">
      <alignment horizontal="center" vertical="center" shrinkToFit="1"/>
    </xf>
    <xf numFmtId="0" fontId="2" fillId="0" borderId="143" xfId="0" applyFont="1" applyBorder="1" applyAlignment="1">
      <alignment vertical="center"/>
    </xf>
    <xf numFmtId="1" fontId="47" fillId="24" borderId="91" xfId="0" applyNumberFormat="1" applyFont="1" applyFill="1" applyBorder="1" applyAlignment="1">
      <alignment horizontal="center" vertical="center"/>
    </xf>
    <xf numFmtId="1" fontId="47" fillId="24" borderId="134" xfId="0" applyNumberFormat="1" applyFont="1" applyFill="1" applyBorder="1" applyAlignment="1">
      <alignment horizontal="center" vertical="center"/>
    </xf>
    <xf numFmtId="1" fontId="47" fillId="24" borderId="140" xfId="0" applyNumberFormat="1" applyFont="1" applyFill="1" applyBorder="1" applyAlignment="1">
      <alignment horizontal="center" vertical="center"/>
    </xf>
    <xf numFmtId="1" fontId="47" fillId="24" borderId="126" xfId="0" applyNumberFormat="1" applyFont="1" applyFill="1" applyBorder="1" applyAlignment="1">
      <alignment horizontal="center" vertical="center"/>
    </xf>
    <xf numFmtId="0" fontId="46" fillId="24" borderId="21" xfId="0" applyFont="1" applyFill="1" applyBorder="1" applyAlignment="1">
      <alignment horizontal="center" vertical="center"/>
    </xf>
    <xf numFmtId="1" fontId="47" fillId="24" borderId="41" xfId="0" applyNumberFormat="1" applyFont="1" applyFill="1" applyBorder="1" applyAlignment="1">
      <alignment horizontal="center" vertical="center"/>
    </xf>
    <xf numFmtId="1" fontId="47" fillId="24" borderId="43" xfId="0" applyNumberFormat="1" applyFont="1" applyFill="1" applyBorder="1" applyAlignment="1">
      <alignment horizontal="center" vertical="center"/>
    </xf>
    <xf numFmtId="0" fontId="47" fillId="24" borderId="140" xfId="0" applyFont="1" applyFill="1" applyBorder="1" applyAlignment="1">
      <alignment horizontal="center" vertical="center" shrinkToFit="1"/>
    </xf>
    <xf numFmtId="0" fontId="2" fillId="10" borderId="135" xfId="0" quotePrefix="1" applyFont="1" applyFill="1" applyBorder="1" applyAlignment="1">
      <alignment horizontal="center" vertical="center"/>
    </xf>
    <xf numFmtId="1" fontId="2" fillId="0" borderId="144" xfId="0" applyNumberFormat="1" applyFont="1" applyBorder="1" applyAlignment="1">
      <alignment horizontal="center" vertical="center"/>
    </xf>
    <xf numFmtId="0" fontId="21" fillId="11" borderId="145" xfId="0" applyFont="1" applyFill="1" applyBorder="1" applyAlignment="1">
      <alignment horizontal="center" vertical="center"/>
    </xf>
    <xf numFmtId="0" fontId="2" fillId="0" borderId="146" xfId="0" applyFont="1" applyBorder="1" applyAlignment="1">
      <alignment horizontal="center" shrinkToFit="1"/>
    </xf>
    <xf numFmtId="0" fontId="2" fillId="0" borderId="130" xfId="0" applyFont="1" applyBorder="1" applyAlignment="1">
      <alignment horizontal="left" vertical="center"/>
    </xf>
    <xf numFmtId="0" fontId="2" fillId="0" borderId="92" xfId="0" applyFont="1" applyBorder="1" applyAlignment="1">
      <alignment horizontal="left" vertical="center" shrinkToFit="1"/>
    </xf>
    <xf numFmtId="0" fontId="6" fillId="25" borderId="30" xfId="0" applyFont="1" applyFill="1" applyBorder="1" applyAlignment="1">
      <alignment horizontal="center" vertical="center"/>
    </xf>
    <xf numFmtId="0" fontId="2" fillId="21" borderId="79" xfId="0" quotePrefix="1" applyFont="1" applyFill="1" applyBorder="1" applyAlignment="1">
      <alignment horizontal="center" vertical="center"/>
    </xf>
    <xf numFmtId="0" fontId="7" fillId="0" borderId="26" xfId="0" quotePrefix="1" applyFont="1" applyBorder="1" applyAlignment="1">
      <alignment horizontal="center" vertical="center"/>
    </xf>
    <xf numFmtId="0" fontId="2" fillId="14" borderId="97" xfId="0" applyFont="1" applyFill="1" applyBorder="1" applyAlignment="1">
      <alignment horizontal="center" vertical="center"/>
    </xf>
    <xf numFmtId="0" fontId="2" fillId="14" borderId="91" xfId="0" applyFont="1" applyFill="1" applyBorder="1" applyAlignment="1">
      <alignment horizontal="center" vertical="center"/>
    </xf>
    <xf numFmtId="49" fontId="2" fillId="14" borderId="91" xfId="0" applyNumberFormat="1" applyFont="1" applyFill="1" applyBorder="1" applyAlignment="1">
      <alignment horizontal="center" vertical="center"/>
    </xf>
    <xf numFmtId="0" fontId="2" fillId="14" borderId="92" xfId="0" applyFont="1" applyFill="1" applyBorder="1" applyAlignment="1">
      <alignment horizontal="center" vertical="center"/>
    </xf>
    <xf numFmtId="0" fontId="7" fillId="0" borderId="3" xfId="0" quotePrefix="1" applyFont="1" applyBorder="1" applyAlignment="1">
      <alignment horizontal="center" vertical="center"/>
    </xf>
    <xf numFmtId="1" fontId="7" fillId="21" borderId="30" xfId="0" applyNumberFormat="1" applyFont="1" applyFill="1" applyBorder="1" applyAlignment="1">
      <alignment horizontal="center" vertical="center"/>
    </xf>
    <xf numFmtId="1" fontId="7" fillId="0" borderId="30" xfId="0" applyNumberFormat="1" applyFont="1" applyBorder="1" applyAlignment="1">
      <alignment horizontal="center" vertical="center"/>
    </xf>
    <xf numFmtId="1" fontId="7" fillId="0" borderId="12" xfId="0" applyNumberFormat="1" applyFont="1" applyBorder="1" applyAlignment="1">
      <alignment horizontal="center" vertical="center"/>
    </xf>
    <xf numFmtId="164" fontId="2" fillId="0" borderId="130" xfId="0" quotePrefix="1" applyNumberFormat="1" applyFont="1" applyBorder="1" applyAlignment="1">
      <alignment horizontal="centerContinuous" vertical="center"/>
    </xf>
    <xf numFmtId="0" fontId="2" fillId="26" borderId="91" xfId="0" quotePrefix="1" applyFont="1" applyFill="1" applyBorder="1" applyAlignment="1">
      <alignment horizontal="center" vertical="center"/>
    </xf>
    <xf numFmtId="1" fontId="7" fillId="0" borderId="85" xfId="0" applyNumberFormat="1" applyFont="1" applyBorder="1" applyAlignment="1">
      <alignment horizontal="centerContinuous" vertical="center"/>
    </xf>
    <xf numFmtId="0" fontId="2" fillId="0" borderId="86" xfId="0" applyFont="1" applyBorder="1" applyAlignment="1">
      <alignment horizontal="centerContinuous" vertical="center"/>
    </xf>
    <xf numFmtId="0" fontId="7" fillId="0" borderId="14" xfId="0" applyFont="1" applyBorder="1" applyAlignment="1">
      <alignment horizontal="center" vertical="center"/>
    </xf>
    <xf numFmtId="0" fontId="2" fillId="0" borderId="119" xfId="0" applyFont="1" applyBorder="1" applyAlignment="1">
      <alignment horizontal="center" vertical="center"/>
    </xf>
    <xf numFmtId="0" fontId="52" fillId="22" borderId="116" xfId="0" applyFont="1" applyFill="1" applyBorder="1" applyAlignment="1">
      <alignment horizontal="centerContinuous" vertical="center"/>
    </xf>
    <xf numFmtId="0" fontId="26" fillId="27" borderId="50" xfId="0" applyFont="1" applyFill="1" applyBorder="1" applyAlignment="1">
      <alignment horizontal="centerContinuous" vertical="center"/>
    </xf>
    <xf numFmtId="0" fontId="52" fillId="27" borderId="116" xfId="0" applyFont="1" applyFill="1" applyBorder="1" applyAlignment="1">
      <alignment horizontal="centerContinuous" vertical="center"/>
    </xf>
  </cellXfs>
  <cellStyles count="14">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12" xr:uid="{00000000-0005-0000-0000-000005000000}"/>
    <cellStyle name="Normal 2 3" xfId="13" xr:uid="{00000000-0005-0000-0000-000006000000}"/>
    <cellStyle name="Normal 3" xfId="8" xr:uid="{00000000-0005-0000-0000-000007000000}"/>
    <cellStyle name="Normal 4" xfId="7" xr:uid="{00000000-0005-0000-0000-000008000000}"/>
    <cellStyle name="Normal 5" xfId="9" xr:uid="{00000000-0005-0000-0000-000009000000}"/>
    <cellStyle name="Normal 6" xfId="11" xr:uid="{00000000-0005-0000-0000-00000A000000}"/>
    <cellStyle name="Percent" xfId="2" builtinId="5"/>
    <cellStyle name="Percent 2" xfId="3" xr:uid="{00000000-0005-0000-0000-00000C000000}"/>
    <cellStyle name="Percent 2 2" xfId="10" xr:uid="{00000000-0005-0000-0000-00000D000000}"/>
  </cellStyles>
  <dxfs count="4">
    <dxf>
      <fill>
        <patternFill>
          <bgColor rgb="FFFF0000"/>
        </patternFill>
      </fill>
    </dxf>
    <dxf>
      <fill>
        <patternFill>
          <bgColor rgb="FFFF0000"/>
        </patternFill>
      </fill>
    </dxf>
    <dxf>
      <fill>
        <patternFill>
          <bgColor rgb="FFFFC000"/>
        </patternFill>
      </fill>
    </dxf>
    <dxf>
      <fill>
        <patternFill>
          <bgColor rgb="FFFF0000"/>
        </patternFill>
      </fill>
    </dxf>
  </dxfs>
  <tableStyles count="0" defaultTableStyle="TableStyleMedium2" defaultPivotStyle="PivotStyleLight16"/>
  <colors>
    <mruColors>
      <color rgb="FFCCFFCC"/>
      <color rgb="FFCCCCFF"/>
      <color rgb="FFCC99FF"/>
      <color rgb="FFCC66FF"/>
      <color rgb="FF9900FF"/>
      <color rgb="FF33CC33"/>
      <color rgb="FF008000"/>
      <color rgb="FF0000FF"/>
      <color rgb="FF0099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83820</xdr:colOff>
      <xdr:row>1</xdr:row>
      <xdr:rowOff>91440</xdr:rowOff>
    </xdr:from>
    <xdr:to>
      <xdr:col>6</xdr:col>
      <xdr:colOff>1219281</xdr:colOff>
      <xdr:row>16</xdr:row>
      <xdr:rowOff>15240</xdr:rowOff>
    </xdr:to>
    <xdr:pic>
      <xdr:nvPicPr>
        <xdr:cNvPr id="2" name="Picture 1">
          <a:extLst>
            <a:ext uri="{FF2B5EF4-FFF2-40B4-BE49-F238E27FC236}">
              <a16:creationId xmlns:a16="http://schemas.microsoft.com/office/drawing/2014/main" id="{6C30DC07-CFB7-4E78-9F6E-9BECA7B0E99D}"/>
            </a:ext>
          </a:extLst>
        </xdr:cNvPr>
        <xdr:cNvPicPr>
          <a:picLocks noChangeAspect="1"/>
        </xdr:cNvPicPr>
      </xdr:nvPicPr>
      <xdr:blipFill>
        <a:blip xmlns:r="http://schemas.openxmlformats.org/officeDocument/2006/relationships" r:embed="rId1"/>
        <a:stretch>
          <a:fillRect/>
        </a:stretch>
      </xdr:blipFill>
      <xdr:spPr>
        <a:xfrm>
          <a:off x="4244340" y="464820"/>
          <a:ext cx="2255601" cy="3162300"/>
        </a:xfrm>
        <a:prstGeom prst="rect">
          <a:avLst/>
        </a:prstGeom>
        <a:ln w="53975" cmpd="dbl">
          <a:solidFill>
            <a:srgbClr val="00CC66"/>
          </a:solidFill>
        </a:ln>
      </xdr:spPr>
    </xdr:pic>
    <xdr:clientData/>
  </xdr:twoCellAnchor>
  <xdr:twoCellAnchor>
    <xdr:from>
      <xdr:col>0</xdr:col>
      <xdr:colOff>41910</xdr:colOff>
      <xdr:row>18</xdr:row>
      <xdr:rowOff>51434</xdr:rowOff>
    </xdr:from>
    <xdr:to>
      <xdr:col>6</xdr:col>
      <xdr:colOff>1261110</xdr:colOff>
      <xdr:row>64</xdr:row>
      <xdr:rowOff>190499</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41910" y="3762374"/>
          <a:ext cx="6499860" cy="548068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anose="02020603050405020304" pitchFamily="18" charset="0"/>
              <a:ea typeface="+mn-ea"/>
              <a:cs typeface="Times New Roman" panose="02020603050405020304" pitchFamily="18" charset="0"/>
            </a:rPr>
            <a:t>Appearance:  </a:t>
          </a:r>
          <a:r>
            <a:rPr lang="en-US" sz="1200">
              <a:effectLst/>
              <a:latin typeface="Times New Roman" panose="02020603050405020304" pitchFamily="18" charset="0"/>
              <a:ea typeface="+mn-ea"/>
              <a:cs typeface="Times New Roman" panose="02020603050405020304" pitchFamily="18" charset="0"/>
            </a:rPr>
            <a:t>Elsabet is tall, heavyset, and muscular, more bodybuilder and less ballroom dancer, with wide shoulders and hips, her breasts aren't very prominent, and her face is more handsome than beautiful. She has long blond hair in braids, and bright green eyes. While not a classic beauty, she does move fairly confidently and gracefully.</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b="1">
              <a:effectLst/>
              <a:latin typeface="Times New Roman" panose="02020603050405020304" pitchFamily="18" charset="0"/>
              <a:ea typeface="+mn-ea"/>
              <a:cs typeface="Times New Roman" panose="02020603050405020304" pitchFamily="18" charset="0"/>
            </a:rPr>
            <a:t>History:  </a:t>
          </a:r>
          <a:r>
            <a:rPr lang="en-US" sz="1200">
              <a:effectLst/>
              <a:latin typeface="Times New Roman" panose="02020603050405020304" pitchFamily="18" charset="0"/>
              <a:ea typeface="+mn-ea"/>
              <a:cs typeface="Times New Roman" panose="02020603050405020304" pitchFamily="18" charset="0"/>
            </a:rPr>
            <a:t>Elsabet is the daughter of a weaponsmith mother and an herbalist father, from a small village not far from a local lord's castle, in an area where goblinoid raiders were not uncommon, and near what some considered a haunted wood but where she at a young age made some unusual friends. She has a few brothers and sisters, some older and some younger. She started to learn her mother's trade, and enjoyed working at the forge, but when a traveling priest of a warrior goddess came through, her interest and imagination were captured - indeed, some feeling of rightness came over her as soon as she heard the man preach, and she felt a calling to duty. She left home to travel with the priest, a cleric, seeking to learn more. The priest despaired of her learning divine magic the way he understood it, yet she was able to master certain divine spells very easily, and he realized she was receiving boons directly from the goddess he served, and did his best to help her master those boons. He recently parted ways with her, satisfied that she was a good servant of the goddess, despite her occasional lack of common sense and flights of fancy... She now seeks to put her boons to good use protecting those less stalwart than herself.</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b="1">
              <a:effectLst/>
              <a:latin typeface="Times New Roman" panose="02020603050405020304" pitchFamily="18" charset="0"/>
              <a:ea typeface="+mn-ea"/>
              <a:cs typeface="Times New Roman" panose="02020603050405020304" pitchFamily="18" charset="0"/>
            </a:rPr>
            <a:t>Personality:</a:t>
          </a:r>
          <a:r>
            <a:rPr lang="en-US" sz="1200">
              <a:effectLst/>
              <a:latin typeface="Times New Roman" panose="02020603050405020304" pitchFamily="18" charset="0"/>
              <a:ea typeface="+mn-ea"/>
              <a:cs typeface="Times New Roman" panose="02020603050405020304" pitchFamily="18" charset="0"/>
            </a:rPr>
            <a:t>  Elsabet is friendly and outgoing, but has spent some time trying to learn how to tell honest folks from liars, good folks from bad, reliable folks from unreliable...she's smarter than she first seems. She plans to devote her life to emulating her goddess, protecting those less able to protect themselves, fighting evil where necessary, aiding good honest folk, and seeing that justice is done, though despite trying as best she can, sometimes she's not quite sure about why it is so important to follow the rules; she's willing to, it's just sometimes hard when they don't seem fair. She tries to use the boons she has received wisely...or at least is smart enough not to waste them frivolously. She's not extremely competitive - she doesn't need to be better than others at what she does, she just needs to know she's doing the best she can and that makes her happy. Unlike many adventurers, she doesn't have a traumatic event spurring her on, just a bit of wanderlust, curiosity, and a desire to help people.</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100" b="1">
              <a:effectLst/>
              <a:latin typeface="Times New Roman" panose="02020603050405020304" pitchFamily="18" charset="0"/>
              <a:ea typeface="+mn-ea"/>
              <a:cs typeface="Times New Roman" panose="02020603050405020304" pitchFamily="18" charset="0"/>
            </a:rPr>
            <a:t>Character Background: </a:t>
          </a:r>
          <a:r>
            <a:rPr lang="en-US" sz="1100">
              <a:effectLst/>
              <a:latin typeface="Times New Roman" panose="02020603050405020304" pitchFamily="18" charset="0"/>
              <a:ea typeface="+mn-ea"/>
              <a:cs typeface="Times New Roman" panose="02020603050405020304" pitchFamily="18" charset="0"/>
            </a:rPr>
            <a:t>Artisan</a:t>
          </a:r>
        </a:p>
        <a:p>
          <a:pPr algn="just"/>
          <a:endParaRPr lang="en-US" sz="1100">
            <a:effectLst/>
            <a:latin typeface="Times New Roman" panose="02020603050405020304" pitchFamily="18" charset="0"/>
            <a:ea typeface="+mn-ea"/>
            <a:cs typeface="Times New Roman" panose="02020603050405020304" pitchFamily="18" charset="0"/>
          </a:endParaRPr>
        </a:p>
        <a:p>
          <a:pPr algn="just"/>
          <a:r>
            <a:rPr lang="en-US" sz="1100" b="1">
              <a:effectLst/>
              <a:latin typeface="Times New Roman" panose="02020603050405020304" pitchFamily="18" charset="0"/>
              <a:ea typeface="+mn-ea"/>
              <a:cs typeface="Times New Roman" panose="02020603050405020304" pitchFamily="18" charset="0"/>
            </a:rPr>
            <a:t>Transition: </a:t>
          </a:r>
          <a:r>
            <a:rPr lang="en-US" sz="1100">
              <a:effectLst/>
              <a:latin typeface="Times New Roman" panose="02020603050405020304" pitchFamily="18" charset="0"/>
              <a:ea typeface="+mn-ea"/>
              <a:cs typeface="Times New Roman" panose="02020603050405020304" pitchFamily="18" charset="0"/>
            </a:rPr>
            <a:t>Felt the calling when a traveling priest (cleric) of a warrior goddess (Mayaheine) came through, and left home to travel with him, to learn how to use the gifts I was being given.</a:t>
          </a:r>
        </a:p>
        <a:p>
          <a:pPr algn="just"/>
          <a:endParaRPr lang="en-US" sz="1100">
            <a:effectLst/>
            <a:latin typeface="Times New Roman" panose="02020603050405020304" pitchFamily="18" charset="0"/>
            <a:ea typeface="+mn-ea"/>
            <a:cs typeface="Times New Roman" panose="02020603050405020304" pitchFamily="18" charset="0"/>
          </a:endParaRPr>
        </a:p>
        <a:p>
          <a:pPr algn="just"/>
          <a:r>
            <a:rPr lang="en-US" sz="1100" b="1">
              <a:effectLst/>
              <a:latin typeface="Times New Roman" panose="02020603050405020304" pitchFamily="18" charset="0"/>
              <a:ea typeface="+mn-ea"/>
              <a:cs typeface="Times New Roman" panose="02020603050405020304" pitchFamily="18" charset="0"/>
            </a:rPr>
            <a:t>Roleplaying: </a:t>
          </a:r>
          <a:r>
            <a:rPr lang="en-US" sz="1100">
              <a:effectLst/>
              <a:latin typeface="Times New Roman" panose="02020603050405020304" pitchFamily="18" charset="0"/>
              <a:ea typeface="+mn-ea"/>
              <a:cs typeface="Times New Roman" panose="02020603050405020304" pitchFamily="18" charset="0"/>
            </a:rPr>
            <a:t>I do try to work my weaponsmithing skill into the narrative.</a:t>
          </a:r>
        </a:p>
        <a:p>
          <a:pPr algn="just"/>
          <a:endParaRPr lang="en-US" sz="1100">
            <a:effectLst/>
            <a:latin typeface="Times New Roman" panose="02020603050405020304" pitchFamily="18" charset="0"/>
            <a:ea typeface="+mn-ea"/>
            <a:cs typeface="Times New Roman" panose="02020603050405020304" pitchFamily="18" charset="0"/>
          </a:endParaRPr>
        </a:p>
        <a:p>
          <a:pPr algn="just"/>
          <a:r>
            <a:rPr lang="en-US" sz="1100" b="1">
              <a:effectLst/>
              <a:latin typeface="Times New Roman" panose="02020603050405020304" pitchFamily="18" charset="0"/>
              <a:ea typeface="+mn-ea"/>
              <a:cs typeface="Times New Roman" panose="02020603050405020304" pitchFamily="18" charset="0"/>
            </a:rPr>
            <a:t>Personality Archetype: </a:t>
          </a:r>
          <a:r>
            <a:rPr lang="en-US" sz="1100">
              <a:effectLst/>
              <a:latin typeface="Times New Roman" panose="02020603050405020304" pitchFamily="18" charset="0"/>
              <a:ea typeface="+mn-ea"/>
              <a:cs typeface="Times New Roman" panose="02020603050405020304" pitchFamily="18" charset="0"/>
            </a:rPr>
            <a:t>Crusader</a:t>
          </a:r>
        </a:p>
        <a:p>
          <a:pPr algn="just"/>
          <a:endParaRPr lang="en-US" sz="1100">
            <a:effectLst/>
            <a:latin typeface="Times New Roman" panose="02020603050405020304" pitchFamily="18" charset="0"/>
            <a:ea typeface="+mn-ea"/>
            <a:cs typeface="Times New Roman" panose="02020603050405020304" pitchFamily="18" charset="0"/>
          </a:endParaRPr>
        </a:p>
        <a:p>
          <a:pPr algn="just"/>
          <a:r>
            <a:rPr lang="en-US" sz="1100">
              <a:effectLst/>
              <a:latin typeface="Times New Roman" panose="02020603050405020304" pitchFamily="18" charset="0"/>
              <a:ea typeface="+mn-ea"/>
              <a:cs typeface="Times New Roman" panose="02020603050405020304" pitchFamily="18" charset="0"/>
            </a:rPr>
            <a:t>“Crush the wererats and spread the word of Mayaheine!”</a:t>
          </a:r>
        </a:p>
        <a:p>
          <a:pPr algn="just"/>
          <a:endParaRPr lang="en-US" sz="1100">
            <a:effectLst/>
            <a:latin typeface="Times New Roman" panose="02020603050405020304" pitchFamily="18" charset="0"/>
            <a:ea typeface="+mn-ea"/>
            <a:cs typeface="Times New Roman" panose="02020603050405020304" pitchFamily="18" charset="0"/>
          </a:endParaRPr>
        </a:p>
        <a:p>
          <a:pPr algn="just"/>
          <a:r>
            <a:rPr lang="en-US" sz="1100">
              <a:effectLst/>
              <a:latin typeface="Times New Roman" panose="02020603050405020304" pitchFamily="18" charset="0"/>
              <a:ea typeface="+mn-ea"/>
              <a:cs typeface="Times New Roman" panose="02020603050405020304" pitchFamily="18" charset="0"/>
            </a:rPr>
            <a:t>A crusader serves a cause.  The cause might be noble or heinous, universal or personal.  She could belong to an organization that shares her cause, or she could act as her individual beliefs demand.  Either way, a crusader adventures to further her cause.  The normal motivations for adventuring—wealth, power, fame, personal betterment, excitement—hold scant appeal for a crusader; she is happiest when she is directly serving her cause.  She keeps her party adventuring, since whenever her fellow PCs don’t know what to do next, she is quick to suggest a course of action.</a:t>
          </a:r>
        </a:p>
        <a:p>
          <a:pPr algn="just"/>
          <a:endParaRPr lang="en-US" sz="1100">
            <a:effectLst/>
            <a:latin typeface="Times New Roman" panose="02020603050405020304" pitchFamily="18" charset="0"/>
            <a:ea typeface="+mn-ea"/>
            <a:cs typeface="Times New Roman" panose="02020603050405020304" pitchFamily="18" charset="0"/>
          </a:endParaRPr>
        </a:p>
        <a:p>
          <a:pPr algn="just"/>
          <a:r>
            <a:rPr lang="en-US" sz="1100" b="1">
              <a:effectLst/>
              <a:latin typeface="Times New Roman" panose="02020603050405020304" pitchFamily="18" charset="0"/>
              <a:ea typeface="+mn-ea"/>
              <a:cs typeface="Times New Roman" panose="02020603050405020304" pitchFamily="18" charset="0"/>
            </a:rPr>
            <a:t>Traits: </a:t>
          </a:r>
          <a:r>
            <a:rPr lang="en-US" sz="1100">
              <a:effectLst/>
              <a:latin typeface="Times New Roman" panose="02020603050405020304" pitchFamily="18" charset="0"/>
              <a:ea typeface="+mn-ea"/>
              <a:cs typeface="Times New Roman" panose="02020603050405020304" pitchFamily="18" charset="0"/>
            </a:rPr>
            <a:t>Bold, patriotic, religious.</a:t>
          </a:r>
          <a:endParaRPr lang="en-US" sz="1200">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5</xdr:col>
      <xdr:colOff>60960</xdr:colOff>
      <xdr:row>16</xdr:row>
      <xdr:rowOff>15240</xdr:rowOff>
    </xdr:from>
    <xdr:to>
      <xdr:col>6</xdr:col>
      <xdr:colOff>1232535</xdr:colOff>
      <xdr:row>17</xdr:row>
      <xdr:rowOff>257174</xdr:rowOff>
    </xdr:to>
    <xdr:sp macro="" textlink="">
      <xdr:nvSpPr>
        <xdr:cNvPr id="6" name="Text Box 60">
          <a:extLst>
            <a:ext uri="{FF2B5EF4-FFF2-40B4-BE49-F238E27FC236}">
              <a16:creationId xmlns:a16="http://schemas.microsoft.com/office/drawing/2014/main" id="{00000000-0008-0000-0000-000006000000}"/>
            </a:ext>
          </a:extLst>
        </xdr:cNvPr>
        <xdr:cNvSpPr txBox="1">
          <a:spLocks noChangeArrowheads="1"/>
        </xdr:cNvSpPr>
      </xdr:nvSpPr>
      <xdr:spPr bwMode="auto">
        <a:xfrm>
          <a:off x="4221480" y="3413760"/>
          <a:ext cx="2291715" cy="46291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1"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D6EACDA2-1BFE-4A42-BB36-7ACE1896AAAB}"/>
            </a:ext>
          </a:extLst>
        </xdr:cNvPr>
        <xdr:cNvSpPr>
          <a:spLocks noChangeArrowheads="1"/>
        </xdr:cNvSpPr>
      </xdr:nvSpPr>
      <xdr:spPr bwMode="auto">
        <a:xfrm>
          <a:off x="4671060" y="0"/>
          <a:ext cx="183642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C4356AEA-E66E-435D-B340-B13D8167085E}"/>
            </a:ext>
          </a:extLst>
        </xdr:cNvPr>
        <xdr:cNvSpPr>
          <a:spLocks noChangeArrowheads="1"/>
        </xdr:cNvSpPr>
      </xdr:nvSpPr>
      <xdr:spPr bwMode="auto">
        <a:xfrm>
          <a:off x="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7620</xdr:colOff>
      <xdr:row>11</xdr:row>
      <xdr:rowOff>15240</xdr:rowOff>
    </xdr:from>
    <xdr:to>
      <xdr:col>3</xdr:col>
      <xdr:colOff>129540</xdr:colOff>
      <xdr:row>16</xdr:row>
      <xdr:rowOff>7620</xdr:rowOff>
    </xdr:to>
    <xdr:sp macro="" textlink="">
      <xdr:nvSpPr>
        <xdr:cNvPr id="3" name="Right Brace 2">
          <a:extLst>
            <a:ext uri="{FF2B5EF4-FFF2-40B4-BE49-F238E27FC236}">
              <a16:creationId xmlns:a16="http://schemas.microsoft.com/office/drawing/2014/main" id="{48F8F3A8-379A-4D35-92A2-B9A76E39AC82}"/>
            </a:ext>
          </a:extLst>
        </xdr:cNvPr>
        <xdr:cNvSpPr/>
      </xdr:nvSpPr>
      <xdr:spPr bwMode="auto">
        <a:xfrm>
          <a:off x="5992108" y="2843933"/>
          <a:ext cx="121920" cy="1271053"/>
        </a:xfrm>
        <a:prstGeom prst="rightBrace">
          <a:avLst>
            <a:gd name="adj1" fmla="val 48333"/>
            <a:gd name="adj2" fmla="val 7105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1</xdr:col>
      <xdr:colOff>68580</xdr:colOff>
      <xdr:row>1</xdr:row>
      <xdr:rowOff>123825</xdr:rowOff>
    </xdr:from>
    <xdr:to>
      <xdr:col>2</xdr:col>
      <xdr:colOff>55245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rakaragm@aol.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6"/>
  <sheetViews>
    <sheetView showGridLines="0" tabSelected="1" zoomScaleNormal="100" workbookViewId="0"/>
  </sheetViews>
  <sheetFormatPr defaultColWidth="13" defaultRowHeight="15.6" x14ac:dyDescent="0.3"/>
  <cols>
    <col min="1" max="1" width="14.8984375" style="55" customWidth="1"/>
    <col min="2" max="2" width="10" style="56" customWidth="1"/>
    <col min="3" max="3" width="5.09765625" style="56" customWidth="1"/>
    <col min="4" max="4" width="13.69921875" style="55" bestFit="1" customWidth="1"/>
    <col min="5" max="5" width="10.8984375" style="56" bestFit="1" customWidth="1"/>
    <col min="6" max="6" width="14.69921875" style="55" customWidth="1"/>
    <col min="7" max="7" width="17.09765625" style="56" customWidth="1"/>
    <col min="8" max="16384" width="13" style="15"/>
  </cols>
  <sheetData>
    <row r="1" spans="1:7" ht="29.4" thickTop="1" thickBot="1" x14ac:dyDescent="0.35">
      <c r="A1" s="9" t="s">
        <v>171</v>
      </c>
      <c r="B1" s="10"/>
      <c r="C1" s="11"/>
      <c r="D1" s="12"/>
      <c r="E1" s="13"/>
      <c r="F1" s="12"/>
      <c r="G1" s="14" t="s">
        <v>172</v>
      </c>
    </row>
    <row r="2" spans="1:7" ht="17.399999999999999" thickTop="1" x14ac:dyDescent="0.3">
      <c r="A2" s="16" t="s">
        <v>134</v>
      </c>
      <c r="B2" s="17" t="s">
        <v>111</v>
      </c>
      <c r="C2" s="17"/>
      <c r="D2" s="18" t="s">
        <v>143</v>
      </c>
      <c r="E2" s="19">
        <v>24</v>
      </c>
      <c r="F2" s="20"/>
      <c r="G2" s="21"/>
    </row>
    <row r="3" spans="1:7" ht="16.8" x14ac:dyDescent="0.3">
      <c r="A3" s="16" t="s">
        <v>135</v>
      </c>
      <c r="B3" s="17" t="s">
        <v>166</v>
      </c>
      <c r="C3" s="17"/>
      <c r="D3" s="18" t="s">
        <v>0</v>
      </c>
      <c r="E3" s="19">
        <v>4</v>
      </c>
      <c r="F3" s="18"/>
      <c r="G3" s="21"/>
    </row>
    <row r="4" spans="1:7" ht="16.8" x14ac:dyDescent="0.3">
      <c r="A4" s="16" t="s">
        <v>135</v>
      </c>
      <c r="B4" s="17" t="s">
        <v>216</v>
      </c>
      <c r="C4" s="17"/>
      <c r="D4" s="18" t="s">
        <v>0</v>
      </c>
      <c r="E4" s="19">
        <v>2</v>
      </c>
      <c r="F4" s="18"/>
      <c r="G4" s="21"/>
    </row>
    <row r="5" spans="1:7" ht="16.8" x14ac:dyDescent="0.3">
      <c r="A5" s="16" t="s">
        <v>135</v>
      </c>
      <c r="B5" s="17" t="s">
        <v>287</v>
      </c>
      <c r="C5" s="17"/>
      <c r="D5" s="18" t="s">
        <v>0</v>
      </c>
      <c r="E5" s="19">
        <v>2</v>
      </c>
      <c r="F5" s="18"/>
      <c r="G5" s="21"/>
    </row>
    <row r="6" spans="1:7" ht="16.8" x14ac:dyDescent="0.3">
      <c r="A6" s="16" t="s">
        <v>135</v>
      </c>
      <c r="B6" s="17" t="s">
        <v>390</v>
      </c>
      <c r="C6" s="17"/>
      <c r="D6" s="18" t="s">
        <v>0</v>
      </c>
      <c r="E6" s="19">
        <v>3</v>
      </c>
      <c r="F6" s="18"/>
      <c r="G6" s="21"/>
    </row>
    <row r="7" spans="1:7" ht="16.8" x14ac:dyDescent="0.3">
      <c r="A7" s="16" t="s">
        <v>152</v>
      </c>
      <c r="B7" s="17" t="s">
        <v>184</v>
      </c>
      <c r="C7" s="17"/>
      <c r="D7" s="18" t="s">
        <v>136</v>
      </c>
      <c r="E7" s="19" t="s">
        <v>167</v>
      </c>
      <c r="F7" s="18"/>
      <c r="G7" s="21"/>
    </row>
    <row r="8" spans="1:7" ht="16.8" x14ac:dyDescent="0.3">
      <c r="A8" s="16" t="s">
        <v>153</v>
      </c>
      <c r="B8" s="17" t="s">
        <v>417</v>
      </c>
      <c r="C8" s="17"/>
      <c r="D8" s="18" t="s">
        <v>157</v>
      </c>
      <c r="E8" s="19" t="s">
        <v>168</v>
      </c>
      <c r="F8" s="18"/>
      <c r="G8" s="21"/>
    </row>
    <row r="9" spans="1:7" ht="17.399999999999999" thickBot="1" x14ac:dyDescent="0.35">
      <c r="A9" s="16" t="s">
        <v>154</v>
      </c>
      <c r="B9" s="17" t="s">
        <v>170</v>
      </c>
      <c r="C9" s="17"/>
      <c r="D9" s="18" t="s">
        <v>158</v>
      </c>
      <c r="E9" s="19" t="s">
        <v>169</v>
      </c>
      <c r="F9" s="18"/>
      <c r="G9" s="21"/>
    </row>
    <row r="10" spans="1:7" ht="17.399999999999999" thickTop="1" x14ac:dyDescent="0.3">
      <c r="A10" s="22" t="s">
        <v>155</v>
      </c>
      <c r="B10" s="564">
        <f>3+E4+1+2</f>
        <v>8</v>
      </c>
      <c r="C10" s="565"/>
      <c r="D10" s="23" t="s">
        <v>79</v>
      </c>
      <c r="E10" s="24" t="s">
        <v>110</v>
      </c>
      <c r="F10" s="25"/>
      <c r="G10" s="21"/>
    </row>
    <row r="11" spans="1:7" ht="17.399999999999999" thickBot="1" x14ac:dyDescent="0.35">
      <c r="A11" s="133" t="s">
        <v>156</v>
      </c>
      <c r="B11" s="134">
        <f>C13+2</f>
        <v>4</v>
      </c>
      <c r="C11" s="135"/>
      <c r="D11" s="306" t="s">
        <v>220</v>
      </c>
      <c r="E11" s="307">
        <v>47880</v>
      </c>
      <c r="F11" s="25"/>
      <c r="G11" s="21"/>
    </row>
    <row r="12" spans="1:7" ht="17.399999999999999" thickTop="1" x14ac:dyDescent="0.3">
      <c r="A12" s="26" t="s">
        <v>151</v>
      </c>
      <c r="B12" s="566">
        <f>15</f>
        <v>15</v>
      </c>
      <c r="C12" s="27" t="str">
        <f t="shared" ref="C12:C17" si="0">IF(B12&gt;9.9,CONCATENATE("+",ROUNDDOWN((B12-10)/2,0)),ROUNDUP((B12-10)/2,0))</f>
        <v>+2</v>
      </c>
      <c r="D12" s="28" t="s">
        <v>159</v>
      </c>
      <c r="E12" s="112" t="s">
        <v>357</v>
      </c>
      <c r="F12" s="25"/>
      <c r="G12" s="21"/>
    </row>
    <row r="13" spans="1:7" ht="16.8" x14ac:dyDescent="0.3">
      <c r="A13" s="29" t="s">
        <v>150</v>
      </c>
      <c r="B13" s="558">
        <f>14</f>
        <v>14</v>
      </c>
      <c r="C13" s="30" t="str">
        <f t="shared" si="0"/>
        <v>+2</v>
      </c>
      <c r="D13" s="31" t="s">
        <v>160</v>
      </c>
      <c r="E13" s="32">
        <f>SUM(Martial!G3:G39)+SUM(Equipment!C3:C25)+5</f>
        <v>91</v>
      </c>
      <c r="F13" s="25"/>
      <c r="G13" s="21"/>
    </row>
    <row r="14" spans="1:7" ht="16.8" x14ac:dyDescent="0.3">
      <c r="A14" s="33" t="s">
        <v>146</v>
      </c>
      <c r="B14" s="34">
        <v>12</v>
      </c>
      <c r="C14" s="35" t="str">
        <f t="shared" si="0"/>
        <v>+1</v>
      </c>
      <c r="D14" s="31" t="s">
        <v>161</v>
      </c>
      <c r="E14" s="551">
        <f>ROUNDUP(((E3*8)*0.75)+((E4*10)*0.75)+((E5*6)*0.75)+((E6*8)*0.75)+(SUM(E3:E6)*C14),0)</f>
        <v>77</v>
      </c>
      <c r="F14" s="25"/>
      <c r="G14" s="21"/>
    </row>
    <row r="15" spans="1:7" ht="16.8" x14ac:dyDescent="0.3">
      <c r="A15" s="36" t="s">
        <v>148</v>
      </c>
      <c r="B15" s="34">
        <v>14</v>
      </c>
      <c r="C15" s="30" t="str">
        <f t="shared" si="0"/>
        <v>+2</v>
      </c>
      <c r="D15" s="37" t="s">
        <v>162</v>
      </c>
      <c r="E15" s="559">
        <f>10+C13+2</f>
        <v>14</v>
      </c>
      <c r="F15" s="16"/>
      <c r="G15" s="21"/>
    </row>
    <row r="16" spans="1:7" ht="16.8" x14ac:dyDescent="0.3">
      <c r="A16" s="38" t="s">
        <v>149</v>
      </c>
      <c r="B16" s="34">
        <v>8</v>
      </c>
      <c r="C16" s="30">
        <f t="shared" si="0"/>
        <v>-1</v>
      </c>
      <c r="D16" s="37" t="s">
        <v>163</v>
      </c>
      <c r="E16" s="560">
        <f>E17-C13</f>
        <v>22</v>
      </c>
      <c r="F16" s="25"/>
      <c r="G16" s="21"/>
    </row>
    <row r="17" spans="1:7" ht="17.399999999999999" thickBot="1" x14ac:dyDescent="0.35">
      <c r="A17" s="39" t="s">
        <v>147</v>
      </c>
      <c r="B17" s="553">
        <f>14</f>
        <v>14</v>
      </c>
      <c r="C17" s="40" t="str">
        <f t="shared" si="0"/>
        <v>+2</v>
      </c>
      <c r="D17" s="41" t="s">
        <v>183</v>
      </c>
      <c r="E17" s="561">
        <f>E15+SUM(Martial!B30:B35)</f>
        <v>24</v>
      </c>
      <c r="F17" s="25"/>
      <c r="G17" s="21"/>
    </row>
    <row r="18" spans="1:7" ht="24" thickTop="1" thickBot="1" x14ac:dyDescent="0.35">
      <c r="A18" s="42" t="s">
        <v>18</v>
      </c>
      <c r="B18" s="43"/>
      <c r="C18" s="43"/>
      <c r="D18" s="44"/>
      <c r="E18" s="44"/>
      <c r="F18" s="44"/>
      <c r="G18" s="45"/>
    </row>
    <row r="19" spans="1:7" s="3" customFormat="1" ht="17.399999999999999" thickTop="1" x14ac:dyDescent="0.3">
      <c r="A19" s="46"/>
      <c r="B19" s="47"/>
      <c r="C19" s="47"/>
      <c r="D19" s="47"/>
      <c r="E19" s="47"/>
      <c r="F19" s="47"/>
      <c r="G19" s="48"/>
    </row>
    <row r="20" spans="1:7" s="3" customFormat="1" ht="16.8" x14ac:dyDescent="0.3">
      <c r="A20" s="49"/>
      <c r="B20" s="50"/>
      <c r="C20" s="50"/>
      <c r="D20" s="50"/>
      <c r="E20" s="50"/>
      <c r="F20" s="50"/>
      <c r="G20" s="51"/>
    </row>
    <row r="21" spans="1:7" s="3" customFormat="1" ht="16.8" x14ac:dyDescent="0.3">
      <c r="A21" s="49"/>
      <c r="B21" s="50"/>
      <c r="C21" s="50"/>
      <c r="D21" s="50"/>
      <c r="E21" s="50"/>
      <c r="F21" s="50"/>
      <c r="G21" s="51"/>
    </row>
    <row r="22" spans="1:7" s="3" customFormat="1" ht="16.8" x14ac:dyDescent="0.3">
      <c r="A22" s="49"/>
      <c r="B22" s="50"/>
      <c r="C22" s="50"/>
      <c r="D22" s="50"/>
      <c r="E22" s="50"/>
      <c r="F22" s="50"/>
      <c r="G22" s="51"/>
    </row>
    <row r="23" spans="1:7" s="3" customFormat="1" ht="16.8" x14ac:dyDescent="0.3">
      <c r="A23" s="49"/>
      <c r="B23" s="50"/>
      <c r="C23" s="50"/>
      <c r="D23" s="50"/>
      <c r="E23" s="50"/>
      <c r="F23" s="50"/>
      <c r="G23" s="51"/>
    </row>
    <row r="24" spans="1:7" s="3" customFormat="1" ht="16.8" x14ac:dyDescent="0.3">
      <c r="A24" s="49"/>
      <c r="B24" s="50"/>
      <c r="C24" s="50"/>
      <c r="D24" s="50"/>
      <c r="E24" s="50"/>
      <c r="F24" s="50"/>
      <c r="G24" s="51"/>
    </row>
    <row r="25" spans="1:7" s="3" customFormat="1" ht="16.8" x14ac:dyDescent="0.3">
      <c r="A25" s="49"/>
      <c r="B25" s="50"/>
      <c r="C25" s="50"/>
      <c r="D25" s="50"/>
      <c r="E25" s="50"/>
      <c r="F25" s="50"/>
      <c r="G25" s="51"/>
    </row>
    <row r="26" spans="1:7" s="3" customFormat="1" ht="16.8" x14ac:dyDescent="0.3">
      <c r="A26" s="49"/>
      <c r="B26" s="50"/>
      <c r="C26" s="50"/>
      <c r="D26" s="50"/>
      <c r="E26" s="50"/>
      <c r="F26" s="50"/>
      <c r="G26" s="51"/>
    </row>
    <row r="27" spans="1:7" s="3" customFormat="1" ht="16.8" x14ac:dyDescent="0.3">
      <c r="A27" s="49"/>
      <c r="B27" s="50"/>
      <c r="C27" s="50"/>
      <c r="D27" s="50"/>
      <c r="E27" s="50"/>
      <c r="F27" s="50"/>
      <c r="G27" s="51"/>
    </row>
    <row r="28" spans="1:7" s="3" customFormat="1" ht="16.8" x14ac:dyDescent="0.3">
      <c r="A28" s="49"/>
      <c r="B28" s="50"/>
      <c r="C28" s="50"/>
      <c r="D28" s="50"/>
      <c r="E28" s="50"/>
      <c r="F28" s="50"/>
      <c r="G28" s="51"/>
    </row>
    <row r="29" spans="1:7" s="3" customFormat="1" ht="16.8" x14ac:dyDescent="0.3">
      <c r="A29" s="49"/>
      <c r="B29" s="50"/>
      <c r="C29" s="50"/>
      <c r="D29" s="50"/>
      <c r="E29" s="50"/>
      <c r="F29" s="50"/>
      <c r="G29" s="51"/>
    </row>
    <row r="30" spans="1:7" s="3" customFormat="1" ht="16.8" x14ac:dyDescent="0.3">
      <c r="A30" s="49"/>
      <c r="B30" s="50"/>
      <c r="C30" s="50"/>
      <c r="D30" s="50"/>
      <c r="E30" s="50"/>
      <c r="F30" s="50"/>
      <c r="G30" s="51"/>
    </row>
    <row r="31" spans="1:7" s="3" customFormat="1" ht="16.8" x14ac:dyDescent="0.3">
      <c r="A31" s="49"/>
      <c r="B31" s="50"/>
      <c r="C31" s="50"/>
      <c r="D31" s="50"/>
      <c r="E31" s="50"/>
      <c r="F31" s="50"/>
      <c r="G31" s="51"/>
    </row>
    <row r="32" spans="1:7" s="3" customFormat="1" ht="16.8" x14ac:dyDescent="0.3">
      <c r="A32" s="49"/>
      <c r="B32" s="50"/>
      <c r="C32" s="50"/>
      <c r="D32" s="50"/>
      <c r="E32" s="50"/>
      <c r="F32" s="50"/>
      <c r="G32" s="51"/>
    </row>
    <row r="33" spans="1:7" s="3" customFormat="1" ht="16.8" x14ac:dyDescent="0.3">
      <c r="A33" s="49"/>
      <c r="B33" s="50"/>
      <c r="C33" s="50"/>
      <c r="D33" s="50"/>
      <c r="E33" s="50"/>
      <c r="F33" s="50"/>
      <c r="G33" s="51"/>
    </row>
    <row r="34" spans="1:7" s="3" customFormat="1" ht="16.8" x14ac:dyDescent="0.3">
      <c r="A34" s="49"/>
      <c r="B34" s="50"/>
      <c r="C34" s="50"/>
      <c r="D34" s="50"/>
      <c r="E34" s="50"/>
      <c r="F34" s="50"/>
      <c r="G34" s="51"/>
    </row>
    <row r="35" spans="1:7" s="3" customFormat="1" ht="16.8" x14ac:dyDescent="0.3">
      <c r="A35" s="49"/>
      <c r="B35" s="50"/>
      <c r="C35" s="50"/>
      <c r="D35" s="50"/>
      <c r="E35" s="50"/>
      <c r="F35" s="50"/>
      <c r="G35" s="51"/>
    </row>
    <row r="36" spans="1:7" s="3" customFormat="1" ht="16.8" x14ac:dyDescent="0.3">
      <c r="A36" s="49"/>
      <c r="B36" s="50"/>
      <c r="C36" s="50"/>
      <c r="D36" s="50"/>
      <c r="E36" s="50"/>
      <c r="F36" s="50"/>
      <c r="G36" s="51"/>
    </row>
    <row r="37" spans="1:7" s="3" customFormat="1" ht="16.8" x14ac:dyDescent="0.3">
      <c r="A37" s="49"/>
      <c r="B37" s="50"/>
      <c r="C37" s="50"/>
      <c r="D37" s="50"/>
      <c r="E37" s="50"/>
      <c r="F37" s="50"/>
      <c r="G37" s="51"/>
    </row>
    <row r="38" spans="1:7" s="3" customFormat="1" ht="16.8" x14ac:dyDescent="0.3">
      <c r="A38" s="49"/>
      <c r="B38" s="50"/>
      <c r="C38" s="50"/>
      <c r="D38" s="50"/>
      <c r="E38" s="50"/>
      <c r="F38" s="50"/>
      <c r="G38" s="51"/>
    </row>
    <row r="39" spans="1:7" s="3" customFormat="1" ht="16.8" x14ac:dyDescent="0.3">
      <c r="A39" s="49"/>
      <c r="B39" s="50"/>
      <c r="C39" s="50"/>
      <c r="D39" s="50"/>
      <c r="E39" s="50"/>
      <c r="F39" s="50"/>
      <c r="G39" s="51"/>
    </row>
    <row r="40" spans="1:7" s="3" customFormat="1" ht="16.8" x14ac:dyDescent="0.3">
      <c r="A40" s="49"/>
      <c r="B40" s="50"/>
      <c r="C40" s="50"/>
      <c r="D40" s="50"/>
      <c r="E40" s="50"/>
      <c r="F40" s="50"/>
      <c r="G40" s="51"/>
    </row>
    <row r="41" spans="1:7" s="3" customFormat="1" ht="16.8" x14ac:dyDescent="0.3">
      <c r="A41" s="49"/>
      <c r="B41" s="50"/>
      <c r="C41" s="50"/>
      <c r="D41" s="50"/>
      <c r="E41" s="50"/>
      <c r="F41" s="50"/>
      <c r="G41" s="51"/>
    </row>
    <row r="42" spans="1:7" s="3" customFormat="1" ht="16.8" x14ac:dyDescent="0.3">
      <c r="A42" s="49"/>
      <c r="B42" s="50"/>
      <c r="C42" s="50"/>
      <c r="D42" s="50"/>
      <c r="E42" s="50"/>
      <c r="F42" s="50"/>
      <c r="G42" s="51"/>
    </row>
    <row r="43" spans="1:7" s="3" customFormat="1" ht="16.8" x14ac:dyDescent="0.3">
      <c r="A43" s="49"/>
      <c r="B43" s="50"/>
      <c r="C43" s="50"/>
      <c r="D43" s="50"/>
      <c r="E43" s="50"/>
      <c r="F43" s="50"/>
      <c r="G43" s="51"/>
    </row>
    <row r="44" spans="1:7" s="3" customFormat="1" ht="16.8" x14ac:dyDescent="0.3">
      <c r="A44" s="49"/>
      <c r="B44" s="50"/>
      <c r="C44" s="50"/>
      <c r="D44" s="50"/>
      <c r="E44" s="50"/>
      <c r="F44" s="50"/>
      <c r="G44" s="51"/>
    </row>
    <row r="45" spans="1:7" s="3" customFormat="1" ht="16.8" x14ac:dyDescent="0.3">
      <c r="A45" s="49"/>
      <c r="B45" s="50"/>
      <c r="C45" s="50"/>
      <c r="D45" s="50"/>
      <c r="E45" s="50"/>
      <c r="F45" s="50"/>
      <c r="G45" s="51"/>
    </row>
    <row r="46" spans="1:7" s="3" customFormat="1" ht="16.8" x14ac:dyDescent="0.3">
      <c r="A46" s="49"/>
      <c r="B46" s="50"/>
      <c r="C46" s="50"/>
      <c r="D46" s="50"/>
      <c r="E46" s="50"/>
      <c r="F46" s="50"/>
      <c r="G46" s="51"/>
    </row>
    <row r="47" spans="1:7" s="3" customFormat="1" ht="16.8" x14ac:dyDescent="0.3">
      <c r="A47" s="49"/>
      <c r="B47" s="50"/>
      <c r="C47" s="50"/>
      <c r="D47" s="50"/>
      <c r="E47" s="50"/>
      <c r="F47" s="50"/>
      <c r="G47" s="51"/>
    </row>
    <row r="48" spans="1:7" s="3" customFormat="1" ht="16.8" x14ac:dyDescent="0.3">
      <c r="A48" s="49"/>
      <c r="B48" s="50"/>
      <c r="C48" s="50"/>
      <c r="D48" s="50"/>
      <c r="E48" s="50"/>
      <c r="F48" s="50"/>
      <c r="G48" s="51"/>
    </row>
    <row r="49" spans="1:7" s="3" customFormat="1" ht="16.8" x14ac:dyDescent="0.3">
      <c r="A49" s="49"/>
      <c r="B49" s="50"/>
      <c r="C49" s="50"/>
      <c r="D49" s="50"/>
      <c r="E49" s="50"/>
      <c r="F49" s="50"/>
      <c r="G49" s="51"/>
    </row>
    <row r="50" spans="1:7" s="3" customFormat="1" ht="16.8" x14ac:dyDescent="0.3">
      <c r="A50" s="49"/>
      <c r="B50" s="50"/>
      <c r="C50" s="50"/>
      <c r="D50" s="50"/>
      <c r="E50" s="50"/>
      <c r="F50" s="50"/>
      <c r="G50" s="51"/>
    </row>
    <row r="51" spans="1:7" s="3" customFormat="1" ht="16.8" x14ac:dyDescent="0.3">
      <c r="A51" s="49"/>
      <c r="B51" s="50"/>
      <c r="C51" s="50"/>
      <c r="D51" s="50"/>
      <c r="E51" s="50"/>
      <c r="F51" s="50"/>
      <c r="G51" s="51"/>
    </row>
    <row r="52" spans="1:7" s="3" customFormat="1" ht="16.8" x14ac:dyDescent="0.3">
      <c r="A52" s="49"/>
      <c r="B52" s="50"/>
      <c r="C52" s="50"/>
      <c r="D52" s="50"/>
      <c r="E52" s="50"/>
      <c r="F52" s="50"/>
      <c r="G52" s="51"/>
    </row>
    <row r="53" spans="1:7" s="3" customFormat="1" ht="16.8" x14ac:dyDescent="0.3">
      <c r="A53" s="49"/>
      <c r="B53" s="50"/>
      <c r="C53" s="50"/>
      <c r="D53" s="50"/>
      <c r="E53" s="50"/>
      <c r="F53" s="50"/>
      <c r="G53" s="51"/>
    </row>
    <row r="54" spans="1:7" s="3" customFormat="1" ht="16.8" x14ac:dyDescent="0.3">
      <c r="A54" s="49"/>
      <c r="B54" s="50"/>
      <c r="C54" s="50"/>
      <c r="D54" s="50"/>
      <c r="E54" s="50"/>
      <c r="F54" s="50"/>
      <c r="G54" s="51"/>
    </row>
    <row r="55" spans="1:7" s="3" customFormat="1" ht="16.8" x14ac:dyDescent="0.3">
      <c r="A55" s="49"/>
      <c r="B55" s="50"/>
      <c r="C55" s="50"/>
      <c r="D55" s="50"/>
      <c r="E55" s="50"/>
      <c r="F55" s="50"/>
      <c r="G55" s="51"/>
    </row>
    <row r="56" spans="1:7" s="3" customFormat="1" ht="16.8" x14ac:dyDescent="0.3">
      <c r="A56" s="49"/>
      <c r="B56" s="50"/>
      <c r="C56" s="50"/>
      <c r="D56" s="50"/>
      <c r="E56" s="50"/>
      <c r="F56" s="50"/>
      <c r="G56" s="51"/>
    </row>
    <row r="57" spans="1:7" s="3" customFormat="1" ht="16.8" x14ac:dyDescent="0.3">
      <c r="A57" s="49"/>
      <c r="B57" s="50"/>
      <c r="C57" s="50"/>
      <c r="D57" s="50"/>
      <c r="E57" s="50"/>
      <c r="F57" s="50"/>
      <c r="G57" s="51"/>
    </row>
    <row r="58" spans="1:7" s="3" customFormat="1" ht="16.8" x14ac:dyDescent="0.3">
      <c r="A58" s="49"/>
      <c r="B58" s="50"/>
      <c r="C58" s="50"/>
      <c r="D58" s="50"/>
      <c r="E58" s="50"/>
      <c r="F58" s="50"/>
      <c r="G58" s="51"/>
    </row>
    <row r="59" spans="1:7" s="3" customFormat="1" ht="16.8" x14ac:dyDescent="0.3">
      <c r="A59" s="49"/>
      <c r="B59" s="50"/>
      <c r="C59" s="50"/>
      <c r="D59" s="50"/>
      <c r="E59" s="50"/>
      <c r="F59" s="50"/>
      <c r="G59" s="51"/>
    </row>
    <row r="60" spans="1:7" s="3" customFormat="1" ht="16.8" x14ac:dyDescent="0.3">
      <c r="A60" s="49"/>
      <c r="B60" s="50"/>
      <c r="C60" s="50"/>
      <c r="D60" s="50"/>
      <c r="E60" s="50"/>
      <c r="F60" s="50"/>
      <c r="G60" s="51"/>
    </row>
    <row r="61" spans="1:7" s="3" customFormat="1" ht="16.8" x14ac:dyDescent="0.3">
      <c r="A61" s="49"/>
      <c r="B61" s="50"/>
      <c r="C61" s="50"/>
      <c r="D61" s="50"/>
      <c r="E61" s="50"/>
      <c r="F61" s="50"/>
      <c r="G61" s="51"/>
    </row>
    <row r="62" spans="1:7" s="3" customFormat="1" ht="16.8" x14ac:dyDescent="0.3">
      <c r="A62" s="49"/>
      <c r="B62" s="50"/>
      <c r="C62" s="50"/>
      <c r="D62" s="50"/>
      <c r="E62" s="50"/>
      <c r="F62" s="50"/>
      <c r="G62" s="51"/>
    </row>
    <row r="63" spans="1:7" s="3" customFormat="1" ht="16.8" x14ac:dyDescent="0.3">
      <c r="A63" s="49"/>
      <c r="B63" s="50"/>
      <c r="C63" s="50"/>
      <c r="D63" s="50"/>
      <c r="E63" s="50"/>
      <c r="F63" s="50"/>
      <c r="G63" s="51"/>
    </row>
    <row r="64" spans="1:7" s="3" customFormat="1" ht="16.8" x14ac:dyDescent="0.3">
      <c r="A64" s="49"/>
      <c r="B64" s="50"/>
      <c r="C64" s="50"/>
      <c r="D64" s="50"/>
      <c r="E64" s="50"/>
      <c r="F64" s="50"/>
      <c r="G64" s="51"/>
    </row>
    <row r="65" spans="1:7" ht="17.399999999999999" thickBot="1" x14ac:dyDescent="0.35">
      <c r="A65" s="52"/>
      <c r="B65" s="53"/>
      <c r="C65" s="53"/>
      <c r="D65" s="53"/>
      <c r="E65" s="53"/>
      <c r="F65" s="53"/>
      <c r="G65" s="54"/>
    </row>
    <row r="66" spans="1:7" ht="16.2" thickTop="1" x14ac:dyDescent="0.3"/>
  </sheetData>
  <phoneticPr fontId="0" type="noConversion"/>
  <conditionalFormatting sqref="E13">
    <cfRule type="cellIs" dxfId="3" priority="1" operator="greaterThan">
      <formula>133</formula>
    </cfRule>
    <cfRule type="cellIs" dxfId="2" priority="2" operator="between">
      <formula>66</formula>
      <formula>133</formula>
    </cfRule>
  </conditionalFormatting>
  <hyperlinks>
    <hyperlink ref="G1" r:id="rId1" xr:uid="{813BFDED-EA2A-4E2B-83B3-CD0CCEC6829D}"/>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0"/>
  <sheetViews>
    <sheetView showGridLines="0" workbookViewId="0">
      <pane ySplit="2" topLeftCell="A3" activePane="bottomLeft" state="frozen"/>
      <selection pane="bottomLeft" activeCell="A3" sqref="A3"/>
    </sheetView>
  </sheetViews>
  <sheetFormatPr defaultColWidth="13" defaultRowHeight="15.6" x14ac:dyDescent="0.3"/>
  <cols>
    <col min="1" max="1" width="31.296875" style="55" bestFit="1" customWidth="1"/>
    <col min="2" max="2" width="5.8984375" style="55" bestFit="1" customWidth="1"/>
    <col min="3" max="3" width="11.59765625" style="56" hidden="1" customWidth="1"/>
    <col min="4" max="4" width="5.796875" style="56" hidden="1" customWidth="1"/>
    <col min="5" max="5" width="9.19921875" style="56" bestFit="1" customWidth="1"/>
    <col min="6" max="6" width="7.5" style="56" customWidth="1"/>
    <col min="7" max="7" width="5.8984375" style="56" bestFit="1" customWidth="1"/>
    <col min="8" max="8" width="4.69921875" style="56" bestFit="1" customWidth="1"/>
    <col min="9" max="9" width="6.8984375" style="56" bestFit="1" customWidth="1"/>
    <col min="10" max="10" width="19.69921875" style="55" bestFit="1" customWidth="1"/>
    <col min="11" max="16384" width="13" style="15"/>
  </cols>
  <sheetData>
    <row r="1" spans="1:10" ht="23.4" thickBot="1" x14ac:dyDescent="0.35">
      <c r="A1" s="188" t="s">
        <v>7</v>
      </c>
      <c r="B1" s="57"/>
      <c r="C1" s="57"/>
      <c r="D1" s="57"/>
      <c r="E1" s="57"/>
      <c r="F1" s="57"/>
      <c r="G1" s="57"/>
      <c r="H1" s="57"/>
      <c r="I1" s="57"/>
      <c r="J1" s="57"/>
    </row>
    <row r="2" spans="1:10" s="3" customFormat="1" ht="34.200000000000003" thickBot="1" x14ac:dyDescent="0.35">
      <c r="A2" s="189" t="s">
        <v>109</v>
      </c>
      <c r="B2" s="190" t="s">
        <v>23</v>
      </c>
      <c r="C2" s="190" t="s">
        <v>25</v>
      </c>
      <c r="D2" s="190" t="s">
        <v>22</v>
      </c>
      <c r="E2" s="2" t="s">
        <v>50</v>
      </c>
      <c r="F2" s="2" t="s">
        <v>26</v>
      </c>
      <c r="G2" s="190" t="s">
        <v>52</v>
      </c>
      <c r="H2" s="191" t="s">
        <v>108</v>
      </c>
      <c r="I2" s="190" t="s">
        <v>77</v>
      </c>
      <c r="J2" s="192" t="s">
        <v>75</v>
      </c>
    </row>
    <row r="3" spans="1:10" s="3" customFormat="1" ht="16.8" x14ac:dyDescent="0.3">
      <c r="A3" s="193" t="s">
        <v>55</v>
      </c>
      <c r="B3" s="194">
        <f>4+3+0+1</f>
        <v>8</v>
      </c>
      <c r="C3" s="195" t="s">
        <v>146</v>
      </c>
      <c r="D3" s="196" t="str">
        <f>VLOOKUP(C3,'Personal File'!$A$12:$C$17,3,FALSE)</f>
        <v>+1</v>
      </c>
      <c r="E3" s="197" t="str">
        <f t="shared" ref="E3:E47" si="0">CONCATENATE(LEFT(C3,3)," (",D3,")")</f>
        <v>Con (+1)</v>
      </c>
      <c r="F3" s="380">
        <v>1</v>
      </c>
      <c r="G3" s="198">
        <f t="shared" ref="G3:G47" si="1">B3+D3+F3</f>
        <v>10</v>
      </c>
      <c r="H3" s="199">
        <f t="shared" ref="H3:H5" ca="1" si="2">RANDBETWEEN(1,20)</f>
        <v>7</v>
      </c>
      <c r="I3" s="198">
        <f ca="1">SUM(G3:H3)</f>
        <v>17</v>
      </c>
      <c r="J3" s="200"/>
    </row>
    <row r="4" spans="1:10" s="3" customFormat="1" ht="16.8" x14ac:dyDescent="0.3">
      <c r="A4" s="201" t="s">
        <v>56</v>
      </c>
      <c r="B4" s="194">
        <f>4+0+0+1</f>
        <v>5</v>
      </c>
      <c r="C4" s="202" t="s">
        <v>150</v>
      </c>
      <c r="D4" s="196" t="str">
        <f>VLOOKUP(C4,'Personal File'!$A$12:$C$17,3,FALSE)</f>
        <v>+2</v>
      </c>
      <c r="E4" s="203" t="str">
        <f t="shared" si="0"/>
        <v>Dex (+2)</v>
      </c>
      <c r="F4" s="380">
        <v>1</v>
      </c>
      <c r="G4" s="198">
        <f t="shared" si="1"/>
        <v>8</v>
      </c>
      <c r="H4" s="199">
        <f t="shared" ca="1" si="2"/>
        <v>20</v>
      </c>
      <c r="I4" s="198">
        <f ca="1">SUM(G4:H4)</f>
        <v>28</v>
      </c>
      <c r="J4" s="200" t="s">
        <v>355</v>
      </c>
    </row>
    <row r="5" spans="1:10" s="3" customFormat="1" ht="16.8" x14ac:dyDescent="0.3">
      <c r="A5" s="204" t="s">
        <v>57</v>
      </c>
      <c r="B5" s="205">
        <f>4+0+3+3</f>
        <v>10</v>
      </c>
      <c r="C5" s="206" t="s">
        <v>149</v>
      </c>
      <c r="D5" s="206">
        <f>VLOOKUP(C5,'Personal File'!$A$12:$C$17,3,FALSE)</f>
        <v>-1</v>
      </c>
      <c r="E5" s="207" t="str">
        <f t="shared" si="0"/>
        <v>Wis (-1)</v>
      </c>
      <c r="F5" s="381">
        <f>3+1+'Personal File'!$C$17</f>
        <v>6</v>
      </c>
      <c r="G5" s="208">
        <f t="shared" si="1"/>
        <v>15</v>
      </c>
      <c r="H5" s="209">
        <f t="shared" ca="1" si="2"/>
        <v>16</v>
      </c>
      <c r="I5" s="208">
        <f ca="1">SUM(G5:H5)</f>
        <v>31</v>
      </c>
      <c r="J5" s="210" t="s">
        <v>217</v>
      </c>
    </row>
    <row r="6" spans="1:10" s="58" customFormat="1" ht="16.8" x14ac:dyDescent="0.3">
      <c r="A6" s="211" t="s">
        <v>27</v>
      </c>
      <c r="B6" s="196">
        <v>0</v>
      </c>
      <c r="C6" s="212" t="s">
        <v>148</v>
      </c>
      <c r="D6" s="213" t="str">
        <f>VLOOKUP(C6,'Personal File'!$A$12:$C$17,3,FALSE)</f>
        <v>+2</v>
      </c>
      <c r="E6" s="214" t="str">
        <f t="shared" si="0"/>
        <v>Int (+2)</v>
      </c>
      <c r="F6" s="215" t="s">
        <v>51</v>
      </c>
      <c r="G6" s="216">
        <f t="shared" si="1"/>
        <v>2</v>
      </c>
      <c r="H6" s="199">
        <f ca="1">RANDBETWEEN(1,20)</f>
        <v>12</v>
      </c>
      <c r="I6" s="216">
        <f t="shared" ref="I6:I47" ca="1" si="3">SUM(G6:H6)</f>
        <v>14</v>
      </c>
      <c r="J6" s="200"/>
    </row>
    <row r="7" spans="1:10" s="59" customFormat="1" ht="16.8" x14ac:dyDescent="0.3">
      <c r="A7" s="333" t="s">
        <v>28</v>
      </c>
      <c r="B7" s="221">
        <v>3</v>
      </c>
      <c r="C7" s="334" t="s">
        <v>150</v>
      </c>
      <c r="D7" s="335" t="str">
        <f>VLOOKUP(C7,'Personal File'!$A$12:$C$17,3,FALSE)</f>
        <v>+2</v>
      </c>
      <c r="E7" s="336" t="str">
        <f t="shared" si="0"/>
        <v>Dex (+2)</v>
      </c>
      <c r="F7" s="383">
        <f>SUM(Martial!$D$30:$D$35)+2</f>
        <v>0</v>
      </c>
      <c r="G7" s="225">
        <f t="shared" si="1"/>
        <v>5</v>
      </c>
      <c r="H7" s="199">
        <f t="shared" ref="H7:H47" ca="1" si="4">RANDBETWEEN(1,20)</f>
        <v>6</v>
      </c>
      <c r="I7" s="225">
        <f t="shared" ca="1" si="3"/>
        <v>11</v>
      </c>
      <c r="J7" s="226"/>
    </row>
    <row r="8" spans="1:10" s="60" customFormat="1" ht="16.8" x14ac:dyDescent="0.3">
      <c r="A8" s="220" t="s">
        <v>29</v>
      </c>
      <c r="B8" s="221">
        <v>5</v>
      </c>
      <c r="C8" s="222" t="s">
        <v>147</v>
      </c>
      <c r="D8" s="223" t="str">
        <f>VLOOKUP(C8,'Personal File'!$A$12:$C$17,3,FALSE)</f>
        <v>+2</v>
      </c>
      <c r="E8" s="224" t="str">
        <f t="shared" si="0"/>
        <v>Cha (+2)</v>
      </c>
      <c r="F8" s="236" t="s">
        <v>51</v>
      </c>
      <c r="G8" s="225">
        <f t="shared" si="1"/>
        <v>7</v>
      </c>
      <c r="H8" s="199">
        <f t="shared" ca="1" si="4"/>
        <v>15</v>
      </c>
      <c r="I8" s="225">
        <f t="shared" ca="1" si="3"/>
        <v>22</v>
      </c>
      <c r="J8" s="226"/>
    </row>
    <row r="9" spans="1:10" s="61" customFormat="1" ht="16.8" x14ac:dyDescent="0.3">
      <c r="A9" s="227" t="s">
        <v>30</v>
      </c>
      <c r="B9" s="196">
        <v>0</v>
      </c>
      <c r="C9" s="228" t="s">
        <v>151</v>
      </c>
      <c r="D9" s="229" t="str">
        <f>VLOOKUP(C9,'Personal File'!$A$12:$C$17,3,FALSE)</f>
        <v>+2</v>
      </c>
      <c r="E9" s="230" t="str">
        <f t="shared" si="0"/>
        <v>Str (+2)</v>
      </c>
      <c r="F9" s="215">
        <f>SUM(Martial!$D$30:$D$35)+2</f>
        <v>0</v>
      </c>
      <c r="G9" s="216">
        <f t="shared" si="1"/>
        <v>2</v>
      </c>
      <c r="H9" s="199">
        <f t="shared" ca="1" si="4"/>
        <v>16</v>
      </c>
      <c r="I9" s="216">
        <f t="shared" ca="1" si="3"/>
        <v>18</v>
      </c>
      <c r="J9" s="200" t="s">
        <v>270</v>
      </c>
    </row>
    <row r="10" spans="1:10" s="61" customFormat="1" ht="16.8" x14ac:dyDescent="0.3">
      <c r="A10" s="231" t="s">
        <v>8</v>
      </c>
      <c r="B10" s="232">
        <v>5</v>
      </c>
      <c r="C10" s="233" t="s">
        <v>146</v>
      </c>
      <c r="D10" s="234" t="str">
        <f>VLOOKUP(C10,'Personal File'!$A$12:$C$17,3,FALSE)</f>
        <v>+1</v>
      </c>
      <c r="E10" s="235" t="str">
        <f t="shared" si="0"/>
        <v>Con (+1)</v>
      </c>
      <c r="F10" s="236" t="s">
        <v>51</v>
      </c>
      <c r="G10" s="236">
        <f t="shared" si="1"/>
        <v>6</v>
      </c>
      <c r="H10" s="199">
        <f t="shared" ca="1" si="4"/>
        <v>16</v>
      </c>
      <c r="I10" s="236">
        <f t="shared" ca="1" si="3"/>
        <v>22</v>
      </c>
      <c r="J10" s="237"/>
    </row>
    <row r="11" spans="1:10" s="58" customFormat="1" ht="16.8" x14ac:dyDescent="0.3">
      <c r="A11" s="270" t="s">
        <v>164</v>
      </c>
      <c r="B11" s="221">
        <v>3</v>
      </c>
      <c r="C11" s="271" t="s">
        <v>148</v>
      </c>
      <c r="D11" s="272" t="str">
        <f>VLOOKUP(C11,'Personal File'!$A$12:$C$17,3,FALSE)</f>
        <v>+2</v>
      </c>
      <c r="E11" s="273" t="str">
        <f t="shared" si="0"/>
        <v>Int (+2)</v>
      </c>
      <c r="F11" s="225" t="s">
        <v>218</v>
      </c>
      <c r="G11" s="225">
        <f t="shared" si="1"/>
        <v>7</v>
      </c>
      <c r="H11" s="199">
        <f t="shared" ca="1" si="4"/>
        <v>11</v>
      </c>
      <c r="I11" s="225">
        <f t="shared" ca="1" si="3"/>
        <v>18</v>
      </c>
      <c r="J11" s="226"/>
    </row>
    <row r="12" spans="1:10" s="62" customFormat="1" ht="16.8" x14ac:dyDescent="0.3">
      <c r="A12" s="238" t="s">
        <v>31</v>
      </c>
      <c r="B12" s="239">
        <v>0</v>
      </c>
      <c r="C12" s="240" t="s">
        <v>148</v>
      </c>
      <c r="D12" s="241" t="str">
        <f>VLOOKUP(C12,'Personal File'!$A$12:$C$17,3,FALSE)</f>
        <v>+2</v>
      </c>
      <c r="E12" s="242" t="str">
        <f t="shared" si="0"/>
        <v>Int (+2)</v>
      </c>
      <c r="F12" s="243" t="s">
        <v>51</v>
      </c>
      <c r="G12" s="243">
        <f t="shared" si="1"/>
        <v>2</v>
      </c>
      <c r="H12" s="199">
        <f t="shared" ca="1" si="4"/>
        <v>12</v>
      </c>
      <c r="I12" s="243">
        <f t="shared" ref="I12" ca="1" si="5">SUM(G12:H12)</f>
        <v>14</v>
      </c>
      <c r="J12" s="244"/>
    </row>
    <row r="13" spans="1:10" s="59" customFormat="1" ht="16.8" x14ac:dyDescent="0.3">
      <c r="A13" s="220" t="s">
        <v>32</v>
      </c>
      <c r="B13" s="221">
        <v>9</v>
      </c>
      <c r="C13" s="222" t="s">
        <v>147</v>
      </c>
      <c r="D13" s="223" t="str">
        <f>VLOOKUP(C13,'Personal File'!$A$12:$C$17,3,FALSE)</f>
        <v>+2</v>
      </c>
      <c r="E13" s="224" t="str">
        <f t="shared" si="0"/>
        <v>Cha (+2)</v>
      </c>
      <c r="F13" s="383">
        <f>2+2</f>
        <v>4</v>
      </c>
      <c r="G13" s="225">
        <f t="shared" si="1"/>
        <v>15</v>
      </c>
      <c r="H13" s="199">
        <f t="shared" ca="1" si="4"/>
        <v>9</v>
      </c>
      <c r="I13" s="225">
        <f t="shared" ca="1" si="3"/>
        <v>24</v>
      </c>
      <c r="J13" s="226"/>
    </row>
    <row r="14" spans="1:10" s="59" customFormat="1" ht="16.8" x14ac:dyDescent="0.3">
      <c r="A14" s="238" t="s">
        <v>33</v>
      </c>
      <c r="B14" s="239">
        <v>0</v>
      </c>
      <c r="C14" s="240" t="s">
        <v>148</v>
      </c>
      <c r="D14" s="241" t="str">
        <f>VLOOKUP(C14,'Personal File'!$A$12:$C$17,3,FALSE)</f>
        <v>+2</v>
      </c>
      <c r="E14" s="242" t="str">
        <f t="shared" si="0"/>
        <v>Int (+2)</v>
      </c>
      <c r="F14" s="243" t="s">
        <v>51</v>
      </c>
      <c r="G14" s="243">
        <f t="shared" si="1"/>
        <v>2</v>
      </c>
      <c r="H14" s="199">
        <f t="shared" ca="1" si="4"/>
        <v>2</v>
      </c>
      <c r="I14" s="243">
        <f t="shared" ref="I14" ca="1" si="6">SUM(G14:H14)</f>
        <v>4</v>
      </c>
      <c r="J14" s="244"/>
    </row>
    <row r="15" spans="1:10" s="59" customFormat="1" ht="16.8" x14ac:dyDescent="0.3">
      <c r="A15" s="245" t="s">
        <v>34</v>
      </c>
      <c r="B15" s="196">
        <v>0</v>
      </c>
      <c r="C15" s="246" t="s">
        <v>147</v>
      </c>
      <c r="D15" s="247" t="str">
        <f>VLOOKUP(C15,'Personal File'!$A$12:$C$17,3,FALSE)</f>
        <v>+2</v>
      </c>
      <c r="E15" s="248" t="str">
        <f t="shared" si="0"/>
        <v>Cha (+2)</v>
      </c>
      <c r="F15" s="216" t="s">
        <v>51</v>
      </c>
      <c r="G15" s="216">
        <f t="shared" si="1"/>
        <v>2</v>
      </c>
      <c r="H15" s="199">
        <f t="shared" ca="1" si="4"/>
        <v>11</v>
      </c>
      <c r="I15" s="216">
        <f t="shared" ca="1" si="3"/>
        <v>13</v>
      </c>
      <c r="J15" s="200" t="s">
        <v>300</v>
      </c>
    </row>
    <row r="16" spans="1:10" s="59" customFormat="1" ht="16.8" x14ac:dyDescent="0.3">
      <c r="A16" s="201" t="s">
        <v>35</v>
      </c>
      <c r="B16" s="196">
        <v>0</v>
      </c>
      <c r="C16" s="217" t="s">
        <v>150</v>
      </c>
      <c r="D16" s="218" t="str">
        <f>VLOOKUP(C16,'Personal File'!$A$12:$C$17,3,FALSE)</f>
        <v>+2</v>
      </c>
      <c r="E16" s="219" t="str">
        <f t="shared" si="0"/>
        <v>Dex (+2)</v>
      </c>
      <c r="F16" s="215">
        <f>SUM(Martial!$D$30:$D$35)</f>
        <v>-2</v>
      </c>
      <c r="G16" s="216">
        <f t="shared" si="1"/>
        <v>0</v>
      </c>
      <c r="H16" s="199">
        <f t="shared" ca="1" si="4"/>
        <v>2</v>
      </c>
      <c r="I16" s="216">
        <f t="shared" ca="1" si="3"/>
        <v>2</v>
      </c>
      <c r="J16" s="200"/>
    </row>
    <row r="17" spans="1:10" s="59" customFormat="1" ht="16.8" x14ac:dyDescent="0.3">
      <c r="A17" s="249" t="s">
        <v>36</v>
      </c>
      <c r="B17" s="250">
        <v>0</v>
      </c>
      <c r="C17" s="251" t="s">
        <v>148</v>
      </c>
      <c r="D17" s="252" t="str">
        <f>VLOOKUP(C17,'Personal File'!$A$12:$C$17,3,FALSE)</f>
        <v>+2</v>
      </c>
      <c r="E17" s="253" t="str">
        <f t="shared" si="0"/>
        <v>Int (+2)</v>
      </c>
      <c r="F17" s="254" t="s">
        <v>51</v>
      </c>
      <c r="G17" s="254">
        <f t="shared" si="1"/>
        <v>2</v>
      </c>
      <c r="H17" s="199">
        <f t="shared" ca="1" si="4"/>
        <v>13</v>
      </c>
      <c r="I17" s="254">
        <f t="shared" ca="1" si="3"/>
        <v>15</v>
      </c>
      <c r="J17" s="255"/>
    </row>
    <row r="18" spans="1:10" s="59" customFormat="1" ht="16.8" x14ac:dyDescent="0.3">
      <c r="A18" s="245" t="s">
        <v>37</v>
      </c>
      <c r="B18" s="196">
        <v>0</v>
      </c>
      <c r="C18" s="246" t="s">
        <v>147</v>
      </c>
      <c r="D18" s="247" t="str">
        <f>VLOOKUP(C18,'Personal File'!$A$12:$C$17,3,FALSE)</f>
        <v>+2</v>
      </c>
      <c r="E18" s="248" t="str">
        <f t="shared" si="0"/>
        <v>Cha (+2)</v>
      </c>
      <c r="F18" s="216" t="s">
        <v>51</v>
      </c>
      <c r="G18" s="216">
        <f t="shared" si="1"/>
        <v>2</v>
      </c>
      <c r="H18" s="199">
        <f t="shared" ca="1" si="4"/>
        <v>2</v>
      </c>
      <c r="I18" s="216">
        <f t="shared" ca="1" si="3"/>
        <v>4</v>
      </c>
      <c r="J18" s="200"/>
    </row>
    <row r="19" spans="1:10" s="59" customFormat="1" ht="16.8" x14ac:dyDescent="0.3">
      <c r="A19" s="220" t="s">
        <v>10</v>
      </c>
      <c r="B19" s="221">
        <v>1</v>
      </c>
      <c r="C19" s="222" t="s">
        <v>147</v>
      </c>
      <c r="D19" s="223" t="str">
        <f>VLOOKUP(C19,'Personal File'!$A$12:$C$17,3,FALSE)</f>
        <v>+2</v>
      </c>
      <c r="E19" s="224" t="str">
        <f t="shared" si="0"/>
        <v>Cha (+2)</v>
      </c>
      <c r="F19" s="225" t="s">
        <v>51</v>
      </c>
      <c r="G19" s="225">
        <f t="shared" si="1"/>
        <v>3</v>
      </c>
      <c r="H19" s="199">
        <f t="shared" ca="1" si="4"/>
        <v>16</v>
      </c>
      <c r="I19" s="225">
        <f t="shared" ca="1" si="3"/>
        <v>19</v>
      </c>
      <c r="J19" s="226"/>
    </row>
    <row r="20" spans="1:10" s="59" customFormat="1" ht="16.8" x14ac:dyDescent="0.3">
      <c r="A20" s="274" t="s">
        <v>38</v>
      </c>
      <c r="B20" s="221">
        <v>4</v>
      </c>
      <c r="C20" s="267" t="s">
        <v>149</v>
      </c>
      <c r="D20" s="268">
        <f>VLOOKUP(C20,'Personal File'!$A$12:$C$17,3,FALSE)</f>
        <v>-1</v>
      </c>
      <c r="E20" s="269" t="str">
        <f t="shared" si="0"/>
        <v>Wis (-1)</v>
      </c>
      <c r="F20" s="225" t="s">
        <v>218</v>
      </c>
      <c r="G20" s="225">
        <f t="shared" si="1"/>
        <v>5</v>
      </c>
      <c r="H20" s="199">
        <f t="shared" ca="1" si="4"/>
        <v>12</v>
      </c>
      <c r="I20" s="225">
        <f t="shared" ca="1" si="3"/>
        <v>17</v>
      </c>
      <c r="J20" s="226"/>
    </row>
    <row r="21" spans="1:10" s="59" customFormat="1" ht="16.8" x14ac:dyDescent="0.3">
      <c r="A21" s="201" t="s">
        <v>39</v>
      </c>
      <c r="B21" s="196">
        <v>0</v>
      </c>
      <c r="C21" s="217" t="s">
        <v>150</v>
      </c>
      <c r="D21" s="218" t="str">
        <f>VLOOKUP(C21,'Personal File'!$A$12:$C$17,3,FALSE)</f>
        <v>+2</v>
      </c>
      <c r="E21" s="219" t="str">
        <f t="shared" si="0"/>
        <v>Dex (+2)</v>
      </c>
      <c r="F21" s="216">
        <f>SUM(Martial!$D$30:$D$35)</f>
        <v>-2</v>
      </c>
      <c r="G21" s="216">
        <f t="shared" si="1"/>
        <v>0</v>
      </c>
      <c r="H21" s="199">
        <f t="shared" ca="1" si="4"/>
        <v>13</v>
      </c>
      <c r="I21" s="216">
        <f t="shared" ca="1" si="3"/>
        <v>13</v>
      </c>
      <c r="J21" s="200"/>
    </row>
    <row r="22" spans="1:10" s="59" customFormat="1" ht="16.8" x14ac:dyDescent="0.3">
      <c r="A22" s="220" t="s">
        <v>40</v>
      </c>
      <c r="B22" s="221">
        <v>5</v>
      </c>
      <c r="C22" s="222" t="s">
        <v>147</v>
      </c>
      <c r="D22" s="223" t="str">
        <f>VLOOKUP(C22,'Personal File'!$A$12:$C$17,3,FALSE)</f>
        <v>+2</v>
      </c>
      <c r="E22" s="224" t="str">
        <f t="shared" si="0"/>
        <v>Cha (+2)</v>
      </c>
      <c r="F22" s="225" t="s">
        <v>218</v>
      </c>
      <c r="G22" s="225">
        <f t="shared" si="1"/>
        <v>9</v>
      </c>
      <c r="H22" s="199">
        <f t="shared" ca="1" si="4"/>
        <v>15</v>
      </c>
      <c r="I22" s="225">
        <f t="shared" ca="1" si="3"/>
        <v>24</v>
      </c>
      <c r="J22" s="226"/>
    </row>
    <row r="23" spans="1:10" s="59" customFormat="1" ht="16.8" x14ac:dyDescent="0.3">
      <c r="A23" s="314" t="s">
        <v>41</v>
      </c>
      <c r="B23" s="221">
        <v>5</v>
      </c>
      <c r="C23" s="315" t="s">
        <v>151</v>
      </c>
      <c r="D23" s="316" t="str">
        <f>VLOOKUP(C23,'Personal File'!$A$12:$C$17,3,FALSE)</f>
        <v>+2</v>
      </c>
      <c r="E23" s="317" t="str">
        <f t="shared" si="0"/>
        <v>Str (+2)</v>
      </c>
      <c r="F23" s="383">
        <f>SUM(Martial!$D$30:$D$35)+2</f>
        <v>0</v>
      </c>
      <c r="G23" s="225">
        <f t="shared" si="1"/>
        <v>7</v>
      </c>
      <c r="H23" s="199">
        <f t="shared" ca="1" si="4"/>
        <v>9</v>
      </c>
      <c r="I23" s="225">
        <f t="shared" ca="1" si="3"/>
        <v>16</v>
      </c>
      <c r="J23" s="226" t="s">
        <v>270</v>
      </c>
    </row>
    <row r="24" spans="1:10" s="59" customFormat="1" ht="16.8" x14ac:dyDescent="0.3">
      <c r="A24" s="256" t="s">
        <v>117</v>
      </c>
      <c r="B24" s="232">
        <v>1</v>
      </c>
      <c r="C24" s="257" t="s">
        <v>148</v>
      </c>
      <c r="D24" s="258" t="str">
        <f>VLOOKUP(C24,'Personal File'!$A$12:$C$17,3,FALSE)</f>
        <v>+2</v>
      </c>
      <c r="E24" s="259" t="str">
        <f t="shared" si="0"/>
        <v>Int (+2)</v>
      </c>
      <c r="F24" s="225" t="s">
        <v>51</v>
      </c>
      <c r="G24" s="236">
        <f t="shared" si="1"/>
        <v>3</v>
      </c>
      <c r="H24" s="199">
        <f t="shared" ca="1" si="4"/>
        <v>19</v>
      </c>
      <c r="I24" s="236">
        <f t="shared" ca="1" si="3"/>
        <v>22</v>
      </c>
      <c r="J24" s="237"/>
    </row>
    <row r="25" spans="1:10" s="59" customFormat="1" ht="16.8" x14ac:dyDescent="0.3">
      <c r="A25" s="256" t="s">
        <v>411</v>
      </c>
      <c r="B25" s="232">
        <v>1</v>
      </c>
      <c r="C25" s="257" t="s">
        <v>148</v>
      </c>
      <c r="D25" s="258" t="str">
        <f>VLOOKUP(C25,'Personal File'!$A$12:$C$17,3,FALSE)</f>
        <v>+2</v>
      </c>
      <c r="E25" s="259" t="str">
        <f t="shared" ref="E25" si="7">CONCATENATE(LEFT(C25,3)," (",D25,")")</f>
        <v>Int (+2)</v>
      </c>
      <c r="F25" s="225" t="s">
        <v>51</v>
      </c>
      <c r="G25" s="236">
        <f t="shared" ref="G25" si="8">B25+D25+F25</f>
        <v>3</v>
      </c>
      <c r="H25" s="199">
        <f t="shared" ca="1" si="4"/>
        <v>5</v>
      </c>
      <c r="I25" s="236">
        <f t="shared" ref="I25" ca="1" si="9">SUM(G25:H25)</f>
        <v>8</v>
      </c>
      <c r="J25" s="237"/>
    </row>
    <row r="26" spans="1:10" s="59" customFormat="1" ht="16.8" x14ac:dyDescent="0.3">
      <c r="A26" s="256" t="s">
        <v>272</v>
      </c>
      <c r="B26" s="232">
        <v>1</v>
      </c>
      <c r="C26" s="257" t="s">
        <v>148</v>
      </c>
      <c r="D26" s="258" t="str">
        <f>VLOOKUP(C26,'Personal File'!$A$12:$C$17,3,FALSE)</f>
        <v>+2</v>
      </c>
      <c r="E26" s="259" t="str">
        <f t="shared" ref="E26" si="10">CONCATENATE(LEFT(C26,3)," (",D26,")")</f>
        <v>Int (+2)</v>
      </c>
      <c r="F26" s="225" t="s">
        <v>51</v>
      </c>
      <c r="G26" s="236">
        <f t="shared" ref="G26" si="11">B26+D26+F26</f>
        <v>3</v>
      </c>
      <c r="H26" s="199">
        <f t="shared" ca="1" si="4"/>
        <v>13</v>
      </c>
      <c r="I26" s="236">
        <f t="shared" ref="I26" ca="1" si="12">SUM(G26:H26)</f>
        <v>16</v>
      </c>
      <c r="J26" s="237"/>
    </row>
    <row r="27" spans="1:10" s="59" customFormat="1" ht="16.8" x14ac:dyDescent="0.3">
      <c r="A27" s="256" t="s">
        <v>395</v>
      </c>
      <c r="B27" s="232">
        <v>1</v>
      </c>
      <c r="C27" s="257" t="s">
        <v>148</v>
      </c>
      <c r="D27" s="258" t="str">
        <f>VLOOKUP(C27,'Personal File'!$A$12:$C$17,3,FALSE)</f>
        <v>+2</v>
      </c>
      <c r="E27" s="259" t="str">
        <f t="shared" ref="E27:E29" si="13">CONCATENATE(LEFT(C27,3)," (",D27,")")</f>
        <v>Int (+2)</v>
      </c>
      <c r="F27" s="225" t="s">
        <v>51</v>
      </c>
      <c r="G27" s="236">
        <f t="shared" ref="G27:G29" si="14">B27+D27+F27</f>
        <v>3</v>
      </c>
      <c r="H27" s="199">
        <f t="shared" ca="1" si="4"/>
        <v>11</v>
      </c>
      <c r="I27" s="236">
        <f t="shared" ref="I27:I29" ca="1" si="15">SUM(G27:H27)</f>
        <v>14</v>
      </c>
      <c r="J27" s="237"/>
    </row>
    <row r="28" spans="1:10" s="59" customFormat="1" ht="16.8" x14ac:dyDescent="0.3">
      <c r="A28" s="256" t="s">
        <v>396</v>
      </c>
      <c r="B28" s="232">
        <v>1</v>
      </c>
      <c r="C28" s="257" t="s">
        <v>148</v>
      </c>
      <c r="D28" s="258" t="str">
        <f>VLOOKUP(C28,'Personal File'!$A$12:$C$17,3,FALSE)</f>
        <v>+2</v>
      </c>
      <c r="E28" s="259" t="str">
        <f t="shared" si="13"/>
        <v>Int (+2)</v>
      </c>
      <c r="F28" s="225" t="s">
        <v>51</v>
      </c>
      <c r="G28" s="236">
        <f t="shared" si="14"/>
        <v>3</v>
      </c>
      <c r="H28" s="199">
        <f t="shared" ca="1" si="4"/>
        <v>10</v>
      </c>
      <c r="I28" s="236">
        <f t="shared" ca="1" si="15"/>
        <v>13</v>
      </c>
      <c r="J28" s="237"/>
    </row>
    <row r="29" spans="1:10" s="59" customFormat="1" ht="16.8" x14ac:dyDescent="0.3">
      <c r="A29" s="256" t="s">
        <v>412</v>
      </c>
      <c r="B29" s="232">
        <v>5</v>
      </c>
      <c r="C29" s="257" t="s">
        <v>148</v>
      </c>
      <c r="D29" s="258" t="str">
        <f>VLOOKUP(C29,'Personal File'!$A$12:$C$17,3,FALSE)</f>
        <v>+2</v>
      </c>
      <c r="E29" s="259" t="str">
        <f t="shared" si="13"/>
        <v>Int (+2)</v>
      </c>
      <c r="F29" s="225" t="s">
        <v>51</v>
      </c>
      <c r="G29" s="236">
        <f t="shared" si="14"/>
        <v>7</v>
      </c>
      <c r="H29" s="199">
        <f t="shared" ca="1" si="4"/>
        <v>18</v>
      </c>
      <c r="I29" s="236">
        <f t="shared" ca="1" si="15"/>
        <v>25</v>
      </c>
      <c r="J29" s="237"/>
    </row>
    <row r="30" spans="1:10" s="59" customFormat="1" ht="16.8" x14ac:dyDescent="0.3">
      <c r="A30" s="256" t="s">
        <v>115</v>
      </c>
      <c r="B30" s="232">
        <v>1</v>
      </c>
      <c r="C30" s="257" t="s">
        <v>148</v>
      </c>
      <c r="D30" s="258" t="str">
        <f>VLOOKUP(C30,'Personal File'!$A$12:$C$17,3,FALSE)</f>
        <v>+2</v>
      </c>
      <c r="E30" s="259" t="str">
        <f t="shared" si="0"/>
        <v>Int (+2)</v>
      </c>
      <c r="F30" s="225" t="s">
        <v>51</v>
      </c>
      <c r="G30" s="236">
        <f t="shared" ref="G30" si="16">B30+D30+F30</f>
        <v>3</v>
      </c>
      <c r="H30" s="199">
        <f t="shared" ca="1" si="4"/>
        <v>20</v>
      </c>
      <c r="I30" s="236">
        <f t="shared" ref="I30" ca="1" si="17">SUM(G30:H30)</f>
        <v>23</v>
      </c>
      <c r="J30" s="237"/>
    </row>
    <row r="31" spans="1:10" s="59" customFormat="1" ht="16.8" x14ac:dyDescent="0.3">
      <c r="A31" s="274" t="s">
        <v>42</v>
      </c>
      <c r="B31" s="221">
        <v>1</v>
      </c>
      <c r="C31" s="267" t="s">
        <v>149</v>
      </c>
      <c r="D31" s="268">
        <f>VLOOKUP(C31,'Personal File'!$A$12:$C$17,3,FALSE)</f>
        <v>-1</v>
      </c>
      <c r="E31" s="269" t="str">
        <f t="shared" si="0"/>
        <v>Wis (-1)</v>
      </c>
      <c r="F31" s="225" t="s">
        <v>51</v>
      </c>
      <c r="G31" s="225">
        <f t="shared" si="1"/>
        <v>0</v>
      </c>
      <c r="H31" s="199">
        <f t="shared" ca="1" si="4"/>
        <v>20</v>
      </c>
      <c r="I31" s="225">
        <f t="shared" ca="1" si="3"/>
        <v>20</v>
      </c>
      <c r="J31" s="226"/>
    </row>
    <row r="32" spans="1:10" s="59" customFormat="1" ht="16.8" x14ac:dyDescent="0.3">
      <c r="A32" s="201" t="s">
        <v>11</v>
      </c>
      <c r="B32" s="196">
        <v>0</v>
      </c>
      <c r="C32" s="217" t="s">
        <v>150</v>
      </c>
      <c r="D32" s="218" t="str">
        <f>VLOOKUP(C32,'Personal File'!$A$12:$C$17,3,FALSE)</f>
        <v>+2</v>
      </c>
      <c r="E32" s="219" t="str">
        <f t="shared" si="0"/>
        <v>Dex (+2)</v>
      </c>
      <c r="F32" s="216">
        <f>SUM(Martial!$D$30:$D$35)</f>
        <v>-2</v>
      </c>
      <c r="G32" s="216">
        <f t="shared" si="1"/>
        <v>0</v>
      </c>
      <c r="H32" s="199">
        <f t="shared" ca="1" si="4"/>
        <v>17</v>
      </c>
      <c r="I32" s="216">
        <f t="shared" ca="1" si="3"/>
        <v>17</v>
      </c>
      <c r="J32" s="200"/>
    </row>
    <row r="33" spans="1:10" s="59" customFormat="1" ht="16.8" x14ac:dyDescent="0.3">
      <c r="A33" s="263" t="s">
        <v>43</v>
      </c>
      <c r="B33" s="239">
        <v>0</v>
      </c>
      <c r="C33" s="264" t="s">
        <v>150</v>
      </c>
      <c r="D33" s="265" t="str">
        <f>VLOOKUP(C33,'Personal File'!$A$12:$C$17,3,FALSE)</f>
        <v>+2</v>
      </c>
      <c r="E33" s="266" t="str">
        <f t="shared" si="0"/>
        <v>Dex (+2)</v>
      </c>
      <c r="F33" s="243" t="s">
        <v>51</v>
      </c>
      <c r="G33" s="243">
        <f t="shared" si="1"/>
        <v>2</v>
      </c>
      <c r="H33" s="199">
        <f t="shared" ca="1" si="4"/>
        <v>20</v>
      </c>
      <c r="I33" s="243">
        <f t="shared" ca="1" si="3"/>
        <v>22</v>
      </c>
      <c r="J33" s="244"/>
    </row>
    <row r="34" spans="1:10" ht="16.8" x14ac:dyDescent="0.3">
      <c r="A34" s="245" t="s">
        <v>116</v>
      </c>
      <c r="B34" s="196">
        <v>0</v>
      </c>
      <c r="C34" s="246" t="s">
        <v>147</v>
      </c>
      <c r="D34" s="247" t="str">
        <f>VLOOKUP(C34,'Personal File'!$A$12:$C$17,3,FALSE)</f>
        <v>+2</v>
      </c>
      <c r="E34" s="248" t="str">
        <f t="shared" si="0"/>
        <v>Cha (+2)</v>
      </c>
      <c r="F34" s="216" t="s">
        <v>51</v>
      </c>
      <c r="G34" s="216">
        <f t="shared" si="1"/>
        <v>2</v>
      </c>
      <c r="H34" s="199">
        <f t="shared" ca="1" si="4"/>
        <v>2</v>
      </c>
      <c r="I34" s="216">
        <f t="shared" ca="1" si="3"/>
        <v>4</v>
      </c>
      <c r="J34" s="200"/>
    </row>
    <row r="35" spans="1:10" ht="16.8" x14ac:dyDescent="0.3">
      <c r="A35" s="245" t="s">
        <v>181</v>
      </c>
      <c r="B35" s="196">
        <v>0</v>
      </c>
      <c r="C35" s="260" t="s">
        <v>149</v>
      </c>
      <c r="D35" s="261">
        <f>VLOOKUP(C35,'Personal File'!$A$12:$C$17,3,FALSE)</f>
        <v>-1</v>
      </c>
      <c r="E35" s="262" t="str">
        <f t="shared" si="0"/>
        <v>Wis (-1)</v>
      </c>
      <c r="F35" s="216" t="s">
        <v>51</v>
      </c>
      <c r="G35" s="216">
        <f t="shared" si="1"/>
        <v>-1</v>
      </c>
      <c r="H35" s="199">
        <f t="shared" ca="1" si="4"/>
        <v>12</v>
      </c>
      <c r="I35" s="216">
        <f t="shared" ref="I35" ca="1" si="18">SUM(G35:H35)</f>
        <v>11</v>
      </c>
      <c r="J35" s="200"/>
    </row>
    <row r="36" spans="1:10" ht="16.8" x14ac:dyDescent="0.3">
      <c r="A36" s="201" t="s">
        <v>12</v>
      </c>
      <c r="B36" s="196">
        <v>0</v>
      </c>
      <c r="C36" s="217" t="s">
        <v>150</v>
      </c>
      <c r="D36" s="218" t="str">
        <f>VLOOKUP(C36,'Personal File'!$A$12:$C$17,3,FALSE)</f>
        <v>+2</v>
      </c>
      <c r="E36" s="219" t="str">
        <f t="shared" si="0"/>
        <v>Dex (+2)</v>
      </c>
      <c r="F36" s="216" t="s">
        <v>51</v>
      </c>
      <c r="G36" s="216">
        <f t="shared" si="1"/>
        <v>2</v>
      </c>
      <c r="H36" s="199">
        <f t="shared" ca="1" si="4"/>
        <v>13</v>
      </c>
      <c r="I36" s="216">
        <f t="shared" ca="1" si="3"/>
        <v>15</v>
      </c>
      <c r="J36" s="200"/>
    </row>
    <row r="37" spans="1:10" ht="16.8" x14ac:dyDescent="0.3">
      <c r="A37" s="211" t="s">
        <v>13</v>
      </c>
      <c r="B37" s="196">
        <v>0</v>
      </c>
      <c r="C37" s="212" t="s">
        <v>148</v>
      </c>
      <c r="D37" s="213" t="str">
        <f>VLOOKUP(C37,'Personal File'!$A$12:$C$17,3,FALSE)</f>
        <v>+2</v>
      </c>
      <c r="E37" s="214" t="str">
        <f t="shared" si="0"/>
        <v>Int (+2)</v>
      </c>
      <c r="F37" s="216" t="s">
        <v>51</v>
      </c>
      <c r="G37" s="216">
        <f t="shared" si="1"/>
        <v>2</v>
      </c>
      <c r="H37" s="199">
        <f t="shared" ca="1" si="4"/>
        <v>16</v>
      </c>
      <c r="I37" s="216">
        <f t="shared" ca="1" si="3"/>
        <v>18</v>
      </c>
      <c r="J37" s="200"/>
    </row>
    <row r="38" spans="1:10" ht="16.8" x14ac:dyDescent="0.3">
      <c r="A38" s="274" t="s">
        <v>44</v>
      </c>
      <c r="B38" s="221">
        <v>9</v>
      </c>
      <c r="C38" s="267" t="s">
        <v>149</v>
      </c>
      <c r="D38" s="268">
        <f>VLOOKUP(C38,'Personal File'!$A$12:$C$17,3,FALSE)</f>
        <v>-1</v>
      </c>
      <c r="E38" s="269" t="str">
        <f t="shared" si="0"/>
        <v>Wis (-1)</v>
      </c>
      <c r="F38" s="225" t="s">
        <v>51</v>
      </c>
      <c r="G38" s="225">
        <f t="shared" si="1"/>
        <v>8</v>
      </c>
      <c r="H38" s="199">
        <f t="shared" ca="1" si="4"/>
        <v>19</v>
      </c>
      <c r="I38" s="225">
        <f t="shared" ca="1" si="3"/>
        <v>27</v>
      </c>
      <c r="J38" s="226"/>
    </row>
    <row r="39" spans="1:10" ht="16.8" x14ac:dyDescent="0.3">
      <c r="A39" s="263" t="s">
        <v>82</v>
      </c>
      <c r="B39" s="239">
        <v>0</v>
      </c>
      <c r="C39" s="264" t="s">
        <v>150</v>
      </c>
      <c r="D39" s="265" t="str">
        <f>VLOOKUP(C39,'Personal File'!$A$12:$C$17,3,FALSE)</f>
        <v>+2</v>
      </c>
      <c r="E39" s="266" t="str">
        <f t="shared" si="0"/>
        <v>Dex (+2)</v>
      </c>
      <c r="F39" s="243">
        <f>SUM(Martial!$D$30:$D$35)</f>
        <v>-2</v>
      </c>
      <c r="G39" s="243">
        <f t="shared" si="1"/>
        <v>0</v>
      </c>
      <c r="H39" s="199">
        <f t="shared" ca="1" si="4"/>
        <v>19</v>
      </c>
      <c r="I39" s="243">
        <f t="shared" ref="I39:I40" ca="1" si="19">SUM(G39:H39)</f>
        <v>19</v>
      </c>
      <c r="J39" s="244"/>
    </row>
    <row r="40" spans="1:10" ht="16.8" x14ac:dyDescent="0.3">
      <c r="A40" s="270" t="s">
        <v>239</v>
      </c>
      <c r="B40" s="221">
        <v>1</v>
      </c>
      <c r="C40" s="271" t="s">
        <v>148</v>
      </c>
      <c r="D40" s="272" t="str">
        <f>VLOOKUP(C40,'Personal File'!$A$12:$C$17,3,FALSE)</f>
        <v>+2</v>
      </c>
      <c r="E40" s="273" t="str">
        <f t="shared" si="0"/>
        <v>Int (+2)</v>
      </c>
      <c r="F40" s="225" t="s">
        <v>51</v>
      </c>
      <c r="G40" s="337">
        <f t="shared" si="1"/>
        <v>3</v>
      </c>
      <c r="H40" s="199">
        <f t="shared" ca="1" si="4"/>
        <v>20</v>
      </c>
      <c r="I40" s="337">
        <f t="shared" ca="1" si="19"/>
        <v>23</v>
      </c>
      <c r="J40" s="226" t="s">
        <v>226</v>
      </c>
    </row>
    <row r="41" spans="1:10" ht="16.8" x14ac:dyDescent="0.3">
      <c r="A41" s="270" t="s">
        <v>45</v>
      </c>
      <c r="B41" s="221">
        <v>1</v>
      </c>
      <c r="C41" s="271" t="s">
        <v>148</v>
      </c>
      <c r="D41" s="272" t="str">
        <f>VLOOKUP(C41,'Personal File'!$A$12:$C$17,3,FALSE)</f>
        <v>+2</v>
      </c>
      <c r="E41" s="273" t="str">
        <f t="shared" si="0"/>
        <v>Int (+2)</v>
      </c>
      <c r="F41" s="225" t="s">
        <v>51</v>
      </c>
      <c r="G41" s="225">
        <f t="shared" si="1"/>
        <v>3</v>
      </c>
      <c r="H41" s="199">
        <f t="shared" ca="1" si="4"/>
        <v>15</v>
      </c>
      <c r="I41" s="225">
        <f t="shared" ca="1" si="3"/>
        <v>18</v>
      </c>
      <c r="J41" s="226"/>
    </row>
    <row r="42" spans="1:10" ht="16.8" x14ac:dyDescent="0.3">
      <c r="A42" s="274" t="s">
        <v>46</v>
      </c>
      <c r="B42" s="221">
        <v>1</v>
      </c>
      <c r="C42" s="267" t="s">
        <v>149</v>
      </c>
      <c r="D42" s="268">
        <f>VLOOKUP(C42,'Personal File'!$A$12:$C$17,3,FALSE)</f>
        <v>-1</v>
      </c>
      <c r="E42" s="269" t="str">
        <f t="shared" si="0"/>
        <v>Wis (-1)</v>
      </c>
      <c r="F42" s="225" t="s">
        <v>218</v>
      </c>
      <c r="G42" s="225">
        <f t="shared" si="1"/>
        <v>2</v>
      </c>
      <c r="H42" s="199">
        <f t="shared" ca="1" si="4"/>
        <v>18</v>
      </c>
      <c r="I42" s="225">
        <f t="shared" ca="1" si="3"/>
        <v>20</v>
      </c>
      <c r="J42" s="226"/>
    </row>
    <row r="43" spans="1:10" ht="16.8" x14ac:dyDescent="0.3">
      <c r="A43" s="274" t="s">
        <v>83</v>
      </c>
      <c r="B43" s="221">
        <v>1</v>
      </c>
      <c r="C43" s="267" t="s">
        <v>149</v>
      </c>
      <c r="D43" s="268">
        <f>VLOOKUP(C43,'Personal File'!$A$12:$C$17,3,FALSE)</f>
        <v>-1</v>
      </c>
      <c r="E43" s="269" t="str">
        <f t="shared" si="0"/>
        <v>Wis (-1)</v>
      </c>
      <c r="F43" s="225" t="s">
        <v>51</v>
      </c>
      <c r="G43" s="225">
        <f t="shared" si="1"/>
        <v>0</v>
      </c>
      <c r="H43" s="199">
        <f t="shared" ca="1" si="4"/>
        <v>10</v>
      </c>
      <c r="I43" s="225">
        <f t="shared" ca="1" si="3"/>
        <v>10</v>
      </c>
      <c r="J43" s="226" t="s">
        <v>394</v>
      </c>
    </row>
    <row r="44" spans="1:10" ht="16.8" x14ac:dyDescent="0.3">
      <c r="A44" s="227" t="s">
        <v>14</v>
      </c>
      <c r="B44" s="196">
        <v>0</v>
      </c>
      <c r="C44" s="228" t="s">
        <v>151</v>
      </c>
      <c r="D44" s="229" t="str">
        <f>VLOOKUP(C44,'Personal File'!$A$12:$C$17,3,FALSE)</f>
        <v>+2</v>
      </c>
      <c r="E44" s="230" t="str">
        <f t="shared" si="0"/>
        <v>Str (+2)</v>
      </c>
      <c r="F44" s="215">
        <v>8</v>
      </c>
      <c r="G44" s="216">
        <f t="shared" si="1"/>
        <v>10</v>
      </c>
      <c r="H44" s="199">
        <f t="shared" ca="1" si="4"/>
        <v>14</v>
      </c>
      <c r="I44" s="216">
        <f t="shared" ca="1" si="3"/>
        <v>24</v>
      </c>
      <c r="J44" s="200" t="s">
        <v>399</v>
      </c>
    </row>
    <row r="45" spans="1:10" ht="16.8" x14ac:dyDescent="0.3">
      <c r="A45" s="333" t="s">
        <v>47</v>
      </c>
      <c r="B45" s="221">
        <v>10</v>
      </c>
      <c r="C45" s="334" t="s">
        <v>150</v>
      </c>
      <c r="D45" s="335" t="str">
        <f>VLOOKUP(C45,'Personal File'!$A$12:$C$17,3,FALSE)</f>
        <v>+2</v>
      </c>
      <c r="E45" s="336" t="str">
        <f t="shared" si="0"/>
        <v>Dex (+2)</v>
      </c>
      <c r="F45" s="339">
        <f>SUM(Martial!$D$30:$D$35)+2</f>
        <v>0</v>
      </c>
      <c r="G45" s="337">
        <f t="shared" si="1"/>
        <v>12</v>
      </c>
      <c r="H45" s="199">
        <f t="shared" ca="1" si="4"/>
        <v>12</v>
      </c>
      <c r="I45" s="337">
        <f t="shared" ref="I45:I46" ca="1" si="20">SUM(G45:H45)</f>
        <v>24</v>
      </c>
      <c r="J45" s="226"/>
    </row>
    <row r="46" spans="1:10" ht="16.8" x14ac:dyDescent="0.3">
      <c r="A46" s="480" t="s">
        <v>48</v>
      </c>
      <c r="B46" s="481">
        <v>2</v>
      </c>
      <c r="C46" s="482" t="s">
        <v>147</v>
      </c>
      <c r="D46" s="483" t="str">
        <f>VLOOKUP(C46,'Personal File'!$A$12:$C$17,3,FALSE)</f>
        <v>+2</v>
      </c>
      <c r="E46" s="484" t="str">
        <f t="shared" si="0"/>
        <v>Cha (+2)</v>
      </c>
      <c r="F46" s="337" t="s">
        <v>51</v>
      </c>
      <c r="G46" s="337">
        <f t="shared" si="1"/>
        <v>4</v>
      </c>
      <c r="H46" s="199">
        <f t="shared" ca="1" si="4"/>
        <v>13</v>
      </c>
      <c r="I46" s="337">
        <f t="shared" ca="1" si="20"/>
        <v>17</v>
      </c>
      <c r="J46" s="485"/>
    </row>
    <row r="47" spans="1:10" ht="17.399999999999999" thickBot="1" x14ac:dyDescent="0.35">
      <c r="A47" s="275" t="s">
        <v>49</v>
      </c>
      <c r="B47" s="276">
        <v>0</v>
      </c>
      <c r="C47" s="277" t="s">
        <v>150</v>
      </c>
      <c r="D47" s="278" t="str">
        <f>VLOOKUP(C47,'Personal File'!$A$12:$C$17,3,FALSE)</f>
        <v>+2</v>
      </c>
      <c r="E47" s="279" t="str">
        <f t="shared" si="0"/>
        <v>Dex (+2)</v>
      </c>
      <c r="F47" s="280" t="s">
        <v>51</v>
      </c>
      <c r="G47" s="280">
        <f t="shared" si="1"/>
        <v>2</v>
      </c>
      <c r="H47" s="281">
        <f t="shared" ca="1" si="4"/>
        <v>19</v>
      </c>
      <c r="I47" s="280">
        <f t="shared" ca="1" si="3"/>
        <v>21</v>
      </c>
      <c r="J47" s="282"/>
    </row>
    <row r="48" spans="1:10" ht="16.2" thickTop="1" x14ac:dyDescent="0.3">
      <c r="B48" s="183">
        <f>SUM(B6:B47,B40)</f>
        <v>78</v>
      </c>
      <c r="E48" s="183">
        <f>SUM(E49:E60)</f>
        <v>80</v>
      </c>
      <c r="F48" s="283" t="s">
        <v>52</v>
      </c>
    </row>
    <row r="49" spans="1:6" x14ac:dyDescent="0.3">
      <c r="A49" s="55" t="s">
        <v>344</v>
      </c>
      <c r="B49" s="183">
        <v>2</v>
      </c>
      <c r="E49" s="181">
        <f>4*(2+'Personal File'!$C$15)</f>
        <v>16</v>
      </c>
      <c r="F49" s="182" t="s">
        <v>173</v>
      </c>
    </row>
    <row r="50" spans="1:6" x14ac:dyDescent="0.3">
      <c r="B50" s="183"/>
      <c r="E50" s="181">
        <f>2+'Personal File'!$C$15</f>
        <v>4</v>
      </c>
      <c r="F50" s="182" t="s">
        <v>236</v>
      </c>
    </row>
    <row r="51" spans="1:6" x14ac:dyDescent="0.3">
      <c r="B51" s="183"/>
      <c r="E51" s="181">
        <f>2+'Personal File'!$C$15</f>
        <v>4</v>
      </c>
      <c r="F51" s="182" t="s">
        <v>238</v>
      </c>
    </row>
    <row r="52" spans="1:6" x14ac:dyDescent="0.3">
      <c r="B52" s="183"/>
      <c r="E52" s="181">
        <f>2+'Personal File'!$C$15</f>
        <v>4</v>
      </c>
      <c r="F52" s="182" t="s">
        <v>262</v>
      </c>
    </row>
    <row r="53" spans="1:6" x14ac:dyDescent="0.3">
      <c r="B53" s="183"/>
      <c r="E53" s="181">
        <f>4+'Personal File'!$C$15</f>
        <v>6</v>
      </c>
      <c r="F53" s="182" t="s">
        <v>271</v>
      </c>
    </row>
    <row r="54" spans="1:6" x14ac:dyDescent="0.3">
      <c r="B54" s="183"/>
      <c r="E54" s="181">
        <f>2+'Personal File'!$C$15</f>
        <v>4</v>
      </c>
      <c r="F54" s="182" t="s">
        <v>288</v>
      </c>
    </row>
    <row r="55" spans="1:6" x14ac:dyDescent="0.3">
      <c r="B55" s="183"/>
      <c r="E55" s="181">
        <f>2+'Personal File'!$C$15</f>
        <v>4</v>
      </c>
      <c r="F55" s="182" t="s">
        <v>339</v>
      </c>
    </row>
    <row r="56" spans="1:6" x14ac:dyDescent="0.3">
      <c r="B56" s="183"/>
      <c r="E56" s="181">
        <f>4+'Personal File'!$C$15</f>
        <v>6</v>
      </c>
      <c r="F56" s="182" t="s">
        <v>358</v>
      </c>
    </row>
    <row r="57" spans="1:6" x14ac:dyDescent="0.3">
      <c r="B57" s="183"/>
      <c r="E57" s="181">
        <f>4+'Personal File'!$C$15</f>
        <v>6</v>
      </c>
      <c r="F57" s="182" t="s">
        <v>397</v>
      </c>
    </row>
    <row r="58" spans="1:6" x14ac:dyDescent="0.3">
      <c r="B58" s="183"/>
      <c r="E58" s="181">
        <f>4+'Personal File'!$C$15</f>
        <v>6</v>
      </c>
      <c r="F58" s="182" t="s">
        <v>408</v>
      </c>
    </row>
    <row r="59" spans="1:6" x14ac:dyDescent="0.3">
      <c r="B59" s="183"/>
      <c r="E59" s="181">
        <f>4+'Personal File'!$C$15</f>
        <v>6</v>
      </c>
      <c r="F59" s="182" t="s">
        <v>409</v>
      </c>
    </row>
    <row r="60" spans="1:6" x14ac:dyDescent="0.3">
      <c r="E60" s="183">
        <f>3+SUM('Personal File'!$E$3:$E$6)</f>
        <v>14</v>
      </c>
      <c r="F60" s="182" t="s">
        <v>118</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0D187-CA07-4B6A-91B4-1EB326366EB3}">
  <dimension ref="A1:H26"/>
  <sheetViews>
    <sheetView showGridLines="0" workbookViewId="0"/>
  </sheetViews>
  <sheetFormatPr defaultColWidth="13" defaultRowHeight="15.6" x14ac:dyDescent="0.3"/>
  <cols>
    <col min="1" max="1" width="18.59765625" style="402" bestFit="1" customWidth="1"/>
    <col min="2" max="2" width="6.796875" style="402" bestFit="1" customWidth="1"/>
    <col min="3" max="3" width="5" style="403" bestFit="1" customWidth="1"/>
    <col min="4" max="4" width="12.69921875" style="403" bestFit="1" customWidth="1"/>
    <col min="5" max="5" width="8.09765625" style="403" bestFit="1" customWidth="1"/>
    <col min="6" max="6" width="8.3984375" style="403" bestFit="1" customWidth="1"/>
    <col min="7" max="7" width="9.296875" style="403" bestFit="1" customWidth="1"/>
    <col min="8" max="8" width="34.59765625" style="402" bestFit="1" customWidth="1"/>
    <col min="9" max="16384" width="13" style="396"/>
  </cols>
  <sheetData>
    <row r="1" spans="1:8" ht="23.4" thickBot="1" x14ac:dyDescent="0.45">
      <c r="A1" s="394" t="s">
        <v>289</v>
      </c>
      <c r="B1" s="395"/>
      <c r="C1" s="395"/>
      <c r="D1" s="395"/>
      <c r="E1" s="395"/>
      <c r="F1" s="395"/>
      <c r="G1" s="395"/>
      <c r="H1" s="395"/>
    </row>
    <row r="2" spans="1:8" s="3" customFormat="1" ht="17.399999999999999" thickBot="1" x14ac:dyDescent="0.35">
      <c r="A2" s="444" t="s">
        <v>69</v>
      </c>
      <c r="B2" s="445" t="s">
        <v>290</v>
      </c>
      <c r="C2" s="445" t="s">
        <v>291</v>
      </c>
      <c r="D2" s="445" t="s">
        <v>87</v>
      </c>
      <c r="E2" s="445" t="s">
        <v>88</v>
      </c>
      <c r="F2" s="445" t="s">
        <v>54</v>
      </c>
      <c r="G2" s="445" t="s">
        <v>17</v>
      </c>
      <c r="H2" s="446" t="s">
        <v>292</v>
      </c>
    </row>
    <row r="3" spans="1:8" s="397" customFormat="1" ht="16.8" x14ac:dyDescent="0.3">
      <c r="A3" s="390" t="s">
        <v>293</v>
      </c>
      <c r="B3" s="196" t="s">
        <v>294</v>
      </c>
      <c r="C3" s="391">
        <v>1</v>
      </c>
      <c r="D3" s="331" t="s">
        <v>342</v>
      </c>
      <c r="E3" s="331" t="s">
        <v>90</v>
      </c>
      <c r="F3" s="332" t="s">
        <v>295</v>
      </c>
      <c r="G3" s="332" t="s">
        <v>65</v>
      </c>
      <c r="H3" s="398" t="s">
        <v>296</v>
      </c>
    </row>
    <row r="4" spans="1:8" s="397" customFormat="1" ht="16.8" x14ac:dyDescent="0.3">
      <c r="A4" s="390" t="s">
        <v>341</v>
      </c>
      <c r="B4" s="196" t="s">
        <v>297</v>
      </c>
      <c r="C4" s="391">
        <v>2</v>
      </c>
      <c r="D4" s="331" t="s">
        <v>342</v>
      </c>
      <c r="E4" s="331" t="s">
        <v>90</v>
      </c>
      <c r="F4" s="332" t="s">
        <v>66</v>
      </c>
      <c r="G4" s="332" t="s">
        <v>298</v>
      </c>
      <c r="H4" s="398" t="s">
        <v>343</v>
      </c>
    </row>
    <row r="5" spans="1:8" s="397" customFormat="1" ht="16.8" x14ac:dyDescent="0.3">
      <c r="A5" s="390" t="s">
        <v>416</v>
      </c>
      <c r="B5" s="196" t="s">
        <v>297</v>
      </c>
      <c r="C5" s="391">
        <v>2</v>
      </c>
      <c r="D5" s="331" t="s">
        <v>342</v>
      </c>
      <c r="E5" s="331" t="s">
        <v>90</v>
      </c>
      <c r="F5" s="332" t="s">
        <v>66</v>
      </c>
      <c r="G5" s="332" t="s">
        <v>298</v>
      </c>
      <c r="H5" s="398" t="s">
        <v>418</v>
      </c>
    </row>
    <row r="6" spans="1:8" s="397" customFormat="1" ht="17.399999999999999" thickBot="1" x14ac:dyDescent="0.35">
      <c r="A6" s="392" t="s">
        <v>299</v>
      </c>
      <c r="B6" s="276" t="s">
        <v>297</v>
      </c>
      <c r="C6" s="393">
        <v>2</v>
      </c>
      <c r="D6" s="122" t="s">
        <v>342</v>
      </c>
      <c r="E6" s="122" t="s">
        <v>90</v>
      </c>
      <c r="F6" s="123" t="s">
        <v>66</v>
      </c>
      <c r="G6" s="123" t="s">
        <v>298</v>
      </c>
      <c r="H6" s="282" t="s">
        <v>313</v>
      </c>
    </row>
    <row r="7" spans="1:8" ht="17.399999999999999" thickTop="1" x14ac:dyDescent="0.3">
      <c r="A7" s="396"/>
      <c r="B7" s="399"/>
      <c r="C7" s="400"/>
      <c r="D7" s="400"/>
      <c r="E7" s="400"/>
      <c r="F7" s="400"/>
      <c r="G7" s="400"/>
      <c r="H7" s="401"/>
    </row>
    <row r="8" spans="1:8" x14ac:dyDescent="0.3">
      <c r="A8" s="396"/>
      <c r="B8" s="396"/>
      <c r="C8" s="396"/>
      <c r="D8" s="396"/>
      <c r="E8" s="396"/>
      <c r="F8" s="396"/>
      <c r="G8" s="396"/>
      <c r="H8" s="396"/>
    </row>
    <row r="9" spans="1:8" x14ac:dyDescent="0.3">
      <c r="A9" s="396"/>
      <c r="B9" s="396"/>
      <c r="C9" s="396"/>
      <c r="D9" s="396"/>
      <c r="E9" s="396"/>
      <c r="F9" s="396"/>
      <c r="G9" s="396"/>
      <c r="H9" s="396"/>
    </row>
    <row r="10" spans="1:8" x14ac:dyDescent="0.3">
      <c r="A10" s="396"/>
      <c r="B10" s="396"/>
      <c r="C10" s="396"/>
      <c r="D10" s="396"/>
      <c r="E10" s="396"/>
      <c r="F10" s="396"/>
      <c r="G10" s="396"/>
      <c r="H10" s="396"/>
    </row>
    <row r="11" spans="1:8" x14ac:dyDescent="0.3">
      <c r="A11" s="396"/>
      <c r="B11" s="396"/>
      <c r="C11" s="396"/>
      <c r="D11" s="396"/>
      <c r="E11" s="396"/>
      <c r="F11" s="396"/>
      <c r="G11" s="396"/>
      <c r="H11" s="396"/>
    </row>
    <row r="12" spans="1:8" x14ac:dyDescent="0.3">
      <c r="A12" s="396"/>
      <c r="B12" s="396"/>
      <c r="C12" s="396"/>
      <c r="D12" s="396"/>
      <c r="E12" s="396"/>
      <c r="F12" s="396"/>
      <c r="G12" s="396"/>
      <c r="H12" s="396"/>
    </row>
    <row r="13" spans="1:8" x14ac:dyDescent="0.3">
      <c r="A13" s="396"/>
      <c r="B13" s="396"/>
      <c r="C13" s="396"/>
      <c r="D13" s="396"/>
      <c r="E13" s="396"/>
      <c r="F13" s="396"/>
      <c r="G13" s="396"/>
      <c r="H13" s="396"/>
    </row>
    <row r="14" spans="1:8" x14ac:dyDescent="0.3">
      <c r="A14" s="396"/>
      <c r="B14" s="396"/>
      <c r="C14" s="396"/>
      <c r="D14" s="396"/>
      <c r="E14" s="396"/>
      <c r="F14" s="396"/>
      <c r="G14" s="396"/>
      <c r="H14" s="396"/>
    </row>
    <row r="15" spans="1:8" x14ac:dyDescent="0.3">
      <c r="A15" s="396"/>
      <c r="B15" s="396"/>
      <c r="C15" s="396"/>
      <c r="D15" s="396"/>
      <c r="E15" s="396"/>
      <c r="F15" s="396"/>
      <c r="G15" s="396"/>
      <c r="H15" s="396"/>
    </row>
    <row r="16" spans="1:8" x14ac:dyDescent="0.3">
      <c r="A16" s="396"/>
      <c r="B16" s="396"/>
      <c r="C16" s="396"/>
      <c r="D16" s="396"/>
      <c r="E16" s="396"/>
      <c r="F16" s="396"/>
      <c r="G16" s="396"/>
      <c r="H16" s="396"/>
    </row>
    <row r="17" spans="1:8" x14ac:dyDescent="0.3">
      <c r="A17" s="396"/>
      <c r="B17" s="396"/>
      <c r="C17" s="396"/>
      <c r="D17" s="396"/>
      <c r="E17" s="396"/>
      <c r="F17" s="396"/>
      <c r="G17" s="396"/>
      <c r="H17" s="396"/>
    </row>
    <row r="18" spans="1:8" x14ac:dyDescent="0.3">
      <c r="A18" s="396"/>
      <c r="B18" s="396"/>
      <c r="C18" s="396"/>
      <c r="D18" s="396"/>
      <c r="E18" s="396"/>
      <c r="F18" s="396"/>
      <c r="G18" s="396"/>
      <c r="H18" s="396"/>
    </row>
    <row r="19" spans="1:8" x14ac:dyDescent="0.3">
      <c r="A19" s="396"/>
      <c r="B19" s="396"/>
      <c r="C19" s="396"/>
      <c r="D19" s="396"/>
      <c r="E19" s="396"/>
      <c r="F19" s="396"/>
      <c r="G19" s="396"/>
      <c r="H19" s="396"/>
    </row>
    <row r="20" spans="1:8" x14ac:dyDescent="0.3">
      <c r="A20" s="396"/>
      <c r="B20" s="396"/>
      <c r="C20" s="396"/>
      <c r="D20" s="396"/>
      <c r="E20" s="396"/>
      <c r="F20" s="396"/>
      <c r="G20" s="396"/>
    </row>
    <row r="21" spans="1:8" x14ac:dyDescent="0.3">
      <c r="A21" s="396"/>
      <c r="B21" s="396"/>
      <c r="C21" s="396"/>
      <c r="D21" s="396"/>
      <c r="E21" s="396"/>
      <c r="F21" s="396"/>
      <c r="G21" s="396"/>
    </row>
    <row r="22" spans="1:8" x14ac:dyDescent="0.3">
      <c r="A22" s="396"/>
      <c r="B22" s="396"/>
      <c r="C22" s="396"/>
      <c r="D22" s="396"/>
      <c r="E22" s="396"/>
      <c r="F22" s="396"/>
      <c r="G22" s="396"/>
    </row>
    <row r="23" spans="1:8" x14ac:dyDescent="0.3">
      <c r="A23" s="396"/>
      <c r="B23" s="396"/>
      <c r="C23" s="396"/>
    </row>
    <row r="24" spans="1:8" x14ac:dyDescent="0.3">
      <c r="A24" s="396"/>
      <c r="B24" s="396"/>
      <c r="C24" s="396"/>
    </row>
    <row r="25" spans="1:8" x14ac:dyDescent="0.3">
      <c r="A25" s="396"/>
      <c r="B25" s="396"/>
      <c r="C25" s="396"/>
    </row>
    <row r="26" spans="1:8" x14ac:dyDescent="0.3">
      <c r="A26" s="396"/>
      <c r="B26" s="396"/>
      <c r="C26" s="396"/>
    </row>
  </sheetData>
  <printOptions gridLinesSet="0"/>
  <pageMargins left="0.62" right="0.33" top="0.5" bottom="0.63" header="0.5" footer="0.5"/>
  <pageSetup orientation="portrait" horizontalDpi="120" verticalDpi="144"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6"/>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19.09765625" style="55" bestFit="1" customWidth="1"/>
    <col min="2" max="2" width="6.19921875" style="55" bestFit="1" customWidth="1"/>
    <col min="3" max="3" width="13.59765625" style="56" bestFit="1" customWidth="1"/>
    <col min="4" max="4" width="12.69921875" style="56" bestFit="1" customWidth="1"/>
    <col min="5" max="5" width="8.09765625" style="56" bestFit="1" customWidth="1"/>
    <col min="6" max="6" width="12.59765625" style="56" bestFit="1" customWidth="1"/>
    <col min="7" max="7" width="9.796875" style="55" bestFit="1" customWidth="1"/>
    <col min="8" max="8" width="17.8984375" style="15" bestFit="1" customWidth="1"/>
    <col min="9" max="9" width="5.5" style="15" bestFit="1" customWidth="1"/>
    <col min="10" max="10" width="13" style="475"/>
    <col min="11" max="16384" width="13" style="15"/>
  </cols>
  <sheetData>
    <row r="1" spans="1:10" ht="23.4" thickBot="1" x14ac:dyDescent="0.35">
      <c r="A1" s="159" t="s">
        <v>165</v>
      </c>
      <c r="B1" s="57"/>
      <c r="C1" s="57"/>
      <c r="D1" s="57"/>
      <c r="E1" s="57"/>
      <c r="F1" s="57"/>
      <c r="G1" s="57"/>
      <c r="H1" s="57"/>
    </row>
    <row r="2" spans="1:10" s="3" customFormat="1" ht="16.8" x14ac:dyDescent="0.3">
      <c r="A2" s="160" t="s">
        <v>69</v>
      </c>
      <c r="B2" s="161" t="s">
        <v>0</v>
      </c>
      <c r="C2" s="162" t="s">
        <v>71</v>
      </c>
      <c r="D2" s="162" t="s">
        <v>87</v>
      </c>
      <c r="E2" s="162" t="s">
        <v>88</v>
      </c>
      <c r="F2" s="162" t="s">
        <v>54</v>
      </c>
      <c r="G2" s="162" t="s">
        <v>17</v>
      </c>
      <c r="H2" s="162" t="s">
        <v>139</v>
      </c>
      <c r="I2" s="163" t="s">
        <v>140</v>
      </c>
      <c r="J2" s="475"/>
    </row>
    <row r="3" spans="1:10" s="3" customFormat="1" ht="16.8" x14ac:dyDescent="0.3">
      <c r="A3" s="164" t="s">
        <v>222</v>
      </c>
      <c r="B3" s="63">
        <v>0</v>
      </c>
      <c r="C3" s="330" t="s">
        <v>223</v>
      </c>
      <c r="D3" s="331" t="s">
        <v>89</v>
      </c>
      <c r="E3" s="332" t="s">
        <v>90</v>
      </c>
      <c r="F3" s="332" t="s">
        <v>224</v>
      </c>
      <c r="G3" s="332" t="s">
        <v>67</v>
      </c>
      <c r="H3" s="332" t="s">
        <v>225</v>
      </c>
      <c r="I3" s="66">
        <v>9</v>
      </c>
      <c r="J3" s="475"/>
    </row>
    <row r="4" spans="1:10" s="3" customFormat="1" ht="16.8" x14ac:dyDescent="0.3">
      <c r="A4" s="164" t="s">
        <v>95</v>
      </c>
      <c r="B4" s="63">
        <v>0</v>
      </c>
      <c r="C4" s="6" t="s">
        <v>219</v>
      </c>
      <c r="D4" s="1" t="s">
        <v>89</v>
      </c>
      <c r="E4" s="137" t="s">
        <v>90</v>
      </c>
      <c r="F4" s="4" t="s">
        <v>61</v>
      </c>
      <c r="G4" s="4" t="s">
        <v>65</v>
      </c>
      <c r="H4" s="4" t="s">
        <v>138</v>
      </c>
      <c r="I4" s="66">
        <v>216</v>
      </c>
      <c r="J4" s="475"/>
    </row>
    <row r="5" spans="1:10" s="3" customFormat="1" ht="16.8" x14ac:dyDescent="0.3">
      <c r="A5" s="164" t="s">
        <v>96</v>
      </c>
      <c r="B5" s="63">
        <v>0</v>
      </c>
      <c r="C5" s="6" t="s">
        <v>80</v>
      </c>
      <c r="D5" s="1" t="s">
        <v>89</v>
      </c>
      <c r="E5" s="137" t="s">
        <v>90</v>
      </c>
      <c r="F5" s="4" t="s">
        <v>61</v>
      </c>
      <c r="G5" s="4" t="s">
        <v>62</v>
      </c>
      <c r="H5" s="4" t="s">
        <v>138</v>
      </c>
      <c r="I5" s="138">
        <v>238</v>
      </c>
      <c r="J5" s="475"/>
    </row>
    <row r="6" spans="1:10" s="3" customFormat="1" ht="16.8" x14ac:dyDescent="0.3">
      <c r="A6" s="164" t="s">
        <v>94</v>
      </c>
      <c r="B6" s="63">
        <v>0</v>
      </c>
      <c r="C6" s="6" t="s">
        <v>68</v>
      </c>
      <c r="D6" s="1" t="s">
        <v>113</v>
      </c>
      <c r="E6" s="137" t="s">
        <v>90</v>
      </c>
      <c r="F6" s="4" t="s">
        <v>61</v>
      </c>
      <c r="G6" s="4" t="s">
        <v>67</v>
      </c>
      <c r="H6" s="4" t="s">
        <v>138</v>
      </c>
      <c r="I6" s="66">
        <v>248</v>
      </c>
      <c r="J6" s="475"/>
    </row>
    <row r="7" spans="1:10" s="3" customFormat="1" ht="16.8" x14ac:dyDescent="0.3">
      <c r="A7" s="164" t="s">
        <v>251</v>
      </c>
      <c r="B7" s="63">
        <v>0</v>
      </c>
      <c r="C7" s="6" t="s">
        <v>223</v>
      </c>
      <c r="D7" s="1" t="s">
        <v>89</v>
      </c>
      <c r="E7" s="137" t="s">
        <v>90</v>
      </c>
      <c r="F7" s="4" t="s">
        <v>212</v>
      </c>
      <c r="G7" s="4" t="s">
        <v>65</v>
      </c>
      <c r="H7" s="4" t="s">
        <v>138</v>
      </c>
      <c r="I7" s="66">
        <v>253</v>
      </c>
      <c r="J7" s="475"/>
    </row>
    <row r="8" spans="1:10" s="3" customFormat="1" ht="16.8" x14ac:dyDescent="0.3">
      <c r="A8" s="165" t="s">
        <v>97</v>
      </c>
      <c r="B8" s="64">
        <v>0</v>
      </c>
      <c r="C8" s="65" t="s">
        <v>63</v>
      </c>
      <c r="D8" s="5" t="s">
        <v>93</v>
      </c>
      <c r="E8" s="139" t="s">
        <v>90</v>
      </c>
      <c r="F8" s="7" t="s">
        <v>66</v>
      </c>
      <c r="G8" s="7" t="s">
        <v>67</v>
      </c>
      <c r="H8" s="7" t="s">
        <v>138</v>
      </c>
      <c r="I8" s="67">
        <v>269</v>
      </c>
      <c r="J8" s="475"/>
    </row>
    <row r="9" spans="1:10" ht="16.8" x14ac:dyDescent="0.3">
      <c r="A9" s="164" t="s">
        <v>81</v>
      </c>
      <c r="B9" s="63">
        <v>1</v>
      </c>
      <c r="C9" s="6" t="s">
        <v>219</v>
      </c>
      <c r="D9" s="1" t="s">
        <v>89</v>
      </c>
      <c r="E9" s="137" t="s">
        <v>90</v>
      </c>
      <c r="F9" s="4" t="s">
        <v>61</v>
      </c>
      <c r="G9" s="4" t="s">
        <v>65</v>
      </c>
      <c r="H9" s="4" t="s">
        <v>138</v>
      </c>
      <c r="I9" s="66">
        <v>216</v>
      </c>
    </row>
    <row r="10" spans="1:10" ht="16.8" x14ac:dyDescent="0.3">
      <c r="A10" s="164" t="s">
        <v>112</v>
      </c>
      <c r="B10" s="63">
        <v>1</v>
      </c>
      <c r="C10" s="6" t="s">
        <v>68</v>
      </c>
      <c r="D10" s="1" t="s">
        <v>91</v>
      </c>
      <c r="E10" s="137" t="s">
        <v>90</v>
      </c>
      <c r="F10" s="4" t="s">
        <v>66</v>
      </c>
      <c r="G10" s="4" t="s">
        <v>62</v>
      </c>
      <c r="H10" s="4" t="s">
        <v>138</v>
      </c>
      <c r="I10" s="138">
        <v>224</v>
      </c>
    </row>
    <row r="11" spans="1:10" ht="16.8" x14ac:dyDescent="0.3">
      <c r="A11" s="164" t="s">
        <v>114</v>
      </c>
      <c r="B11" s="63">
        <v>1</v>
      </c>
      <c r="C11" s="6" t="s">
        <v>60</v>
      </c>
      <c r="D11" s="1" t="s">
        <v>92</v>
      </c>
      <c r="E11" s="137" t="s">
        <v>90</v>
      </c>
      <c r="F11" s="4" t="s">
        <v>61</v>
      </c>
      <c r="G11" s="4" t="s">
        <v>64</v>
      </c>
      <c r="H11" s="4" t="s">
        <v>138</v>
      </c>
      <c r="I11" s="138">
        <v>266</v>
      </c>
    </row>
    <row r="12" spans="1:10" ht="16.8" x14ac:dyDescent="0.3">
      <c r="A12" s="165" t="s">
        <v>249</v>
      </c>
      <c r="B12" s="64">
        <v>1</v>
      </c>
      <c r="C12" s="65" t="s">
        <v>60</v>
      </c>
      <c r="D12" s="5" t="s">
        <v>91</v>
      </c>
      <c r="E12" s="139" t="s">
        <v>90</v>
      </c>
      <c r="F12" s="7" t="s">
        <v>61</v>
      </c>
      <c r="G12" s="7" t="s">
        <v>65</v>
      </c>
      <c r="H12" s="7" t="s">
        <v>250</v>
      </c>
      <c r="I12" s="367">
        <v>177</v>
      </c>
    </row>
    <row r="13" spans="1:10" ht="16.8" x14ac:dyDescent="0.3">
      <c r="A13" s="164" t="s">
        <v>252</v>
      </c>
      <c r="B13" s="63">
        <v>2</v>
      </c>
      <c r="C13" s="6" t="s">
        <v>223</v>
      </c>
      <c r="D13" s="1" t="s">
        <v>92</v>
      </c>
      <c r="E13" s="137" t="s">
        <v>90</v>
      </c>
      <c r="F13" s="4" t="s">
        <v>61</v>
      </c>
      <c r="G13" s="4" t="s">
        <v>64</v>
      </c>
      <c r="H13" s="4" t="s">
        <v>138</v>
      </c>
      <c r="I13" s="138">
        <v>207</v>
      </c>
    </row>
    <row r="14" spans="1:10" ht="16.8" x14ac:dyDescent="0.3">
      <c r="A14" s="164" t="s">
        <v>253</v>
      </c>
      <c r="B14" s="63">
        <v>2</v>
      </c>
      <c r="C14" s="6" t="s">
        <v>219</v>
      </c>
      <c r="D14" s="1" t="s">
        <v>89</v>
      </c>
      <c r="E14" s="137" t="s">
        <v>90</v>
      </c>
      <c r="F14" s="4" t="s">
        <v>61</v>
      </c>
      <c r="G14" s="4" t="s">
        <v>65</v>
      </c>
      <c r="H14" s="4" t="s">
        <v>138</v>
      </c>
      <c r="I14" s="138">
        <v>272</v>
      </c>
    </row>
    <row r="15" spans="1:10" ht="17.399999999999999" thickBot="1" x14ac:dyDescent="0.35">
      <c r="A15" s="166" t="s">
        <v>254</v>
      </c>
      <c r="B15" s="120">
        <v>2</v>
      </c>
      <c r="C15" s="121" t="s">
        <v>255</v>
      </c>
      <c r="D15" s="122" t="s">
        <v>89</v>
      </c>
      <c r="E15" s="140" t="s">
        <v>90</v>
      </c>
      <c r="F15" s="123" t="s">
        <v>256</v>
      </c>
      <c r="G15" s="123" t="s">
        <v>64</v>
      </c>
      <c r="H15" s="123" t="s">
        <v>138</v>
      </c>
      <c r="I15" s="366">
        <v>279</v>
      </c>
    </row>
    <row r="16" spans="1:10" ht="16.2" thickTop="1" x14ac:dyDescent="0.3"/>
  </sheetData>
  <sortState xmlns:xlrd2="http://schemas.microsoft.com/office/spreadsheetml/2017/richdata2" ref="A3:I15">
    <sortCondition ref="B3:B15"/>
    <sortCondition ref="A3:A1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E13E-0035-4CBA-B140-5AFC44970967}">
  <dimension ref="A1:Q36"/>
  <sheetViews>
    <sheetView showGridLines="0" workbookViewId="0"/>
  </sheetViews>
  <sheetFormatPr defaultColWidth="13" defaultRowHeight="16.8" x14ac:dyDescent="0.3"/>
  <cols>
    <col min="1" max="1" width="17.5" style="50" bestFit="1" customWidth="1"/>
    <col min="2" max="2" width="3.59765625" style="50" bestFit="1" customWidth="1"/>
    <col min="3" max="4" width="4.19921875" style="50" customWidth="1"/>
    <col min="5" max="5" width="3.69921875" style="50" bestFit="1" customWidth="1"/>
    <col min="6" max="8" width="3.59765625" style="50" bestFit="1" customWidth="1"/>
    <col min="9" max="10" width="3.59765625" style="50" customWidth="1"/>
    <col min="11" max="11" width="3.59765625" style="50" bestFit="1" customWidth="1"/>
    <col min="12" max="12" width="2.09765625" style="50" customWidth="1"/>
    <col min="13" max="13" width="23.59765625" style="50" bestFit="1" customWidth="1"/>
    <col min="14" max="14" width="6.19921875" style="50" bestFit="1" customWidth="1"/>
    <col min="15" max="15" width="3.5" style="50" bestFit="1" customWidth="1"/>
    <col min="16" max="16" width="4.09765625" style="50" bestFit="1" customWidth="1"/>
    <col min="17" max="17" width="6.296875" style="50" bestFit="1" customWidth="1"/>
    <col min="18" max="16384" width="13" style="50"/>
  </cols>
  <sheetData>
    <row r="1" spans="1:17" ht="24" thickTop="1" thickBot="1" x14ac:dyDescent="0.35">
      <c r="A1" s="284" t="s">
        <v>307</v>
      </c>
      <c r="B1" s="284"/>
      <c r="C1" s="57"/>
      <c r="D1" s="57"/>
      <c r="E1" s="285"/>
      <c r="F1" s="57"/>
      <c r="G1" s="57"/>
      <c r="H1" s="57"/>
      <c r="I1" s="57"/>
      <c r="J1" s="57"/>
      <c r="K1" s="285"/>
      <c r="M1" s="404" t="str">
        <f>CONCATENATE("Fey Presence Spells (CL ",SUM('Personal File'!$E$3:$E$6),")")</f>
        <v>Fey Presence Spells (CL 11)</v>
      </c>
      <c r="N1" s="405"/>
      <c r="O1" s="405"/>
      <c r="P1" s="405"/>
      <c r="Q1" s="406"/>
    </row>
    <row r="2" spans="1:17" ht="17.399999999999999" thickTop="1" x14ac:dyDescent="0.3">
      <c r="A2" s="129"/>
      <c r="B2" s="68" t="s">
        <v>104</v>
      </c>
      <c r="C2" s="286"/>
      <c r="D2" s="286"/>
      <c r="E2" s="286"/>
      <c r="F2" s="286"/>
      <c r="G2" s="286"/>
      <c r="H2" s="286"/>
      <c r="I2" s="286"/>
      <c r="J2" s="286"/>
      <c r="K2" s="287"/>
      <c r="M2" s="407" t="s">
        <v>69</v>
      </c>
      <c r="N2" s="408" t="s">
        <v>0</v>
      </c>
      <c r="O2" s="409" t="s">
        <v>302</v>
      </c>
      <c r="P2" s="409" t="s">
        <v>179</v>
      </c>
      <c r="Q2" s="410" t="s">
        <v>180</v>
      </c>
    </row>
    <row r="3" spans="1:17" ht="17.399999999999999" thickBot="1" x14ac:dyDescent="0.35">
      <c r="A3" s="129"/>
      <c r="B3" s="288" t="s">
        <v>105</v>
      </c>
      <c r="C3" s="289" t="s">
        <v>98</v>
      </c>
      <c r="D3" s="289" t="s">
        <v>99</v>
      </c>
      <c r="E3" s="289" t="s">
        <v>100</v>
      </c>
      <c r="F3" s="289" t="s">
        <v>101</v>
      </c>
      <c r="G3" s="289" t="s">
        <v>102</v>
      </c>
      <c r="H3" s="289" t="s">
        <v>103</v>
      </c>
      <c r="I3" s="289" t="s">
        <v>106</v>
      </c>
      <c r="J3" s="289" t="s">
        <v>177</v>
      </c>
      <c r="K3" s="290" t="s">
        <v>178</v>
      </c>
      <c r="M3" s="411" t="s">
        <v>304</v>
      </c>
      <c r="N3" s="412">
        <v>4</v>
      </c>
      <c r="O3" s="413" t="s">
        <v>51</v>
      </c>
      <c r="P3" s="413">
        <f>10+N3+O3+'Personal File'!$C$17</f>
        <v>16</v>
      </c>
      <c r="Q3" s="414" t="s">
        <v>303</v>
      </c>
    </row>
    <row r="4" spans="1:17" ht="17.399999999999999" thickTop="1" x14ac:dyDescent="0.3">
      <c r="A4" s="291" t="s">
        <v>176</v>
      </c>
      <c r="B4" s="292">
        <v>6</v>
      </c>
      <c r="C4" s="293">
        <v>6</v>
      </c>
      <c r="D4" s="293">
        <v>3</v>
      </c>
      <c r="E4" s="300">
        <v>0</v>
      </c>
      <c r="F4" s="300">
        <v>0</v>
      </c>
      <c r="G4" s="300">
        <v>0</v>
      </c>
      <c r="H4" s="300">
        <v>0</v>
      </c>
      <c r="I4" s="300">
        <v>0</v>
      </c>
      <c r="J4" s="300">
        <v>0</v>
      </c>
      <c r="K4" s="301">
        <v>0</v>
      </c>
      <c r="M4" s="415" t="s">
        <v>305</v>
      </c>
      <c r="N4" s="416">
        <v>3</v>
      </c>
      <c r="O4" s="417" t="s">
        <v>51</v>
      </c>
      <c r="P4" s="417">
        <f>10+N4+O4+'Personal File'!$C$17</f>
        <v>15</v>
      </c>
      <c r="Q4" s="418" t="s">
        <v>303</v>
      </c>
    </row>
    <row r="5" spans="1:17" ht="17.399999999999999" thickBot="1" x14ac:dyDescent="0.35">
      <c r="A5" s="294" t="s">
        <v>175</v>
      </c>
      <c r="B5" s="295">
        <v>0</v>
      </c>
      <c r="C5" s="117">
        <v>1</v>
      </c>
      <c r="D5" s="117">
        <v>1</v>
      </c>
      <c r="E5" s="302">
        <v>0</v>
      </c>
      <c r="F5" s="302">
        <v>0</v>
      </c>
      <c r="G5" s="302">
        <v>0</v>
      </c>
      <c r="H5" s="302">
        <v>0</v>
      </c>
      <c r="I5" s="302">
        <v>0</v>
      </c>
      <c r="J5" s="302">
        <v>0</v>
      </c>
      <c r="K5" s="303">
        <v>0</v>
      </c>
      <c r="M5" s="419" t="s">
        <v>306</v>
      </c>
      <c r="N5" s="420">
        <v>1</v>
      </c>
      <c r="O5" s="421" t="s">
        <v>51</v>
      </c>
      <c r="P5" s="421">
        <f>10+N5+O5+'Personal File'!$C$17</f>
        <v>13</v>
      </c>
      <c r="Q5" s="422" t="s">
        <v>303</v>
      </c>
    </row>
    <row r="6" spans="1:17" ht="18" thickTop="1" thickBot="1" x14ac:dyDescent="0.35">
      <c r="A6" s="296" t="s">
        <v>325</v>
      </c>
      <c r="B6" s="297">
        <f t="shared" ref="B6:H6" si="0">SUM(B4:B5)</f>
        <v>6</v>
      </c>
      <c r="C6" s="298">
        <f t="shared" si="0"/>
        <v>7</v>
      </c>
      <c r="D6" s="298">
        <f t="shared" ref="D6" si="1">SUM(D4:D5)</f>
        <v>4</v>
      </c>
      <c r="E6" s="305">
        <f t="shared" si="0"/>
        <v>0</v>
      </c>
      <c r="F6" s="305">
        <f t="shared" si="0"/>
        <v>0</v>
      </c>
      <c r="G6" s="305">
        <f t="shared" si="0"/>
        <v>0</v>
      </c>
      <c r="H6" s="305">
        <f t="shared" si="0"/>
        <v>0</v>
      </c>
      <c r="I6" s="305">
        <f t="shared" ref="I6:J6" si="2">SUM(I4:I5)</f>
        <v>0</v>
      </c>
      <c r="J6" s="305">
        <f t="shared" si="2"/>
        <v>0</v>
      </c>
      <c r="K6" s="304">
        <f>SUM(K5:K5)</f>
        <v>0</v>
      </c>
    </row>
    <row r="7" spans="1:17" ht="22.2" thickTop="1" thickBot="1" x14ac:dyDescent="0.35">
      <c r="A7" s="308" t="s">
        <v>179</v>
      </c>
      <c r="B7" s="309">
        <f>10+LEFT(B3,1)+'Personal File'!$C$17</f>
        <v>12</v>
      </c>
      <c r="C7" s="309">
        <f>10+LEFT(C3,1)+'Personal File'!$C$17</f>
        <v>13</v>
      </c>
      <c r="D7" s="309">
        <f>10+LEFT(D3,1)+'Personal File'!$C$17</f>
        <v>14</v>
      </c>
      <c r="E7" s="311">
        <f>10+LEFT(E3,1)+'Personal File'!$C$17</f>
        <v>15</v>
      </c>
      <c r="F7" s="311">
        <f>10+LEFT(F3,1)+'Personal File'!$C$17</f>
        <v>16</v>
      </c>
      <c r="G7" s="311">
        <f>10+LEFT(G3,1)+'Personal File'!$C$17</f>
        <v>17</v>
      </c>
      <c r="H7" s="311">
        <f>10+LEFT(H3,1)+'Personal File'!$C$17</f>
        <v>18</v>
      </c>
      <c r="I7" s="311">
        <f>10+LEFT(I3,1)+'Personal File'!$C$17</f>
        <v>19</v>
      </c>
      <c r="J7" s="311">
        <f>10+LEFT(J3,1)+'Personal File'!$C$17</f>
        <v>20</v>
      </c>
      <c r="K7" s="312">
        <f>10+LEFT(K3,1)+'Personal File'!$C$17</f>
        <v>21</v>
      </c>
      <c r="M7" s="404" t="str">
        <f>CONCATENATE("Fey Legacy Spells (CL ",SUM('Personal File'!$E$3:$E$6),")")</f>
        <v>Fey Legacy Spells (CL 11)</v>
      </c>
      <c r="N7" s="405"/>
      <c r="O7" s="405"/>
      <c r="P7" s="405"/>
      <c r="Q7" s="406"/>
    </row>
    <row r="8" spans="1:17" ht="18" thickTop="1" thickBot="1" x14ac:dyDescent="0.35">
      <c r="A8" s="296" t="s">
        <v>180</v>
      </c>
      <c r="B8" s="297">
        <v>0</v>
      </c>
      <c r="C8" s="297">
        <v>0</v>
      </c>
      <c r="D8" s="297">
        <v>0</v>
      </c>
      <c r="E8" s="313" t="s">
        <v>126</v>
      </c>
      <c r="F8" s="313" t="s">
        <v>126</v>
      </c>
      <c r="G8" s="313" t="s">
        <v>126</v>
      </c>
      <c r="H8" s="313" t="s">
        <v>126</v>
      </c>
      <c r="I8" s="313" t="s">
        <v>126</v>
      </c>
      <c r="J8" s="313" t="s">
        <v>126</v>
      </c>
      <c r="K8" s="310" t="s">
        <v>126</v>
      </c>
      <c r="M8" s="407" t="s">
        <v>69</v>
      </c>
      <c r="N8" s="408" t="s">
        <v>0</v>
      </c>
      <c r="O8" s="409" t="s">
        <v>302</v>
      </c>
      <c r="P8" s="409" t="s">
        <v>179</v>
      </c>
      <c r="Q8" s="410" t="s">
        <v>180</v>
      </c>
    </row>
    <row r="9" spans="1:17" ht="17.399999999999999" thickTop="1" x14ac:dyDescent="0.3">
      <c r="M9" s="411" t="s">
        <v>391</v>
      </c>
      <c r="N9" s="412">
        <v>4</v>
      </c>
      <c r="O9" s="413" t="s">
        <v>51</v>
      </c>
      <c r="P9" s="413">
        <f>10+N9+O9+'Personal File'!$C$17</f>
        <v>16</v>
      </c>
      <c r="Q9" s="414" t="s">
        <v>303</v>
      </c>
    </row>
    <row r="10" spans="1:17" x14ac:dyDescent="0.3">
      <c r="A10" s="25"/>
      <c r="C10" s="18" t="s">
        <v>137</v>
      </c>
      <c r="D10" s="19">
        <f>'Personal File'!E3+2</f>
        <v>6</v>
      </c>
      <c r="M10" s="415" t="s">
        <v>392</v>
      </c>
      <c r="N10" s="416">
        <v>4</v>
      </c>
      <c r="O10" s="417" t="s">
        <v>51</v>
      </c>
      <c r="P10" s="417">
        <f>10+N10+O10+'Personal File'!$C$17</f>
        <v>16</v>
      </c>
      <c r="Q10" s="418" t="s">
        <v>303</v>
      </c>
    </row>
    <row r="11" spans="1:17" ht="17.399999999999999" thickBot="1" x14ac:dyDescent="0.35">
      <c r="C11" s="18" t="s">
        <v>410</v>
      </c>
      <c r="D11" s="19">
        <f>'Personal File'!E5+'Personal File'!E6-1</f>
        <v>4</v>
      </c>
      <c r="M11" s="419" t="s">
        <v>398</v>
      </c>
      <c r="N11" s="420">
        <v>5</v>
      </c>
      <c r="O11" s="421" t="s">
        <v>51</v>
      </c>
      <c r="P11" s="421">
        <f>10+N11+O11+'Personal File'!$C$17</f>
        <v>17</v>
      </c>
      <c r="Q11" s="422" t="s">
        <v>303</v>
      </c>
    </row>
    <row r="12" spans="1:17" ht="17.399999999999999" thickTop="1" x14ac:dyDescent="0.3">
      <c r="C12" s="18" t="s">
        <v>276</v>
      </c>
      <c r="D12" s="19">
        <f>ROUNDDOWN('Personal File'!E4+(0.5*('Personal File'!E3+'Personal File'!E5)),0)</f>
        <v>5</v>
      </c>
    </row>
    <row r="13" spans="1:17" x14ac:dyDescent="0.3">
      <c r="C13" s="18"/>
      <c r="D13" s="19"/>
    </row>
    <row r="14" spans="1:17" ht="23.4" thickBot="1" x14ac:dyDescent="0.35">
      <c r="A14" s="340" t="s">
        <v>274</v>
      </c>
      <c r="B14" s="341"/>
      <c r="C14" s="341"/>
      <c r="D14" s="341"/>
      <c r="E14" s="341"/>
      <c r="F14" s="341"/>
      <c r="G14" s="341"/>
      <c r="H14" s="341"/>
      <c r="I14" s="341"/>
      <c r="J14" s="341"/>
    </row>
    <row r="15" spans="1:17" ht="18" thickTop="1" thickBot="1" x14ac:dyDescent="0.35">
      <c r="A15" s="342" t="s">
        <v>265</v>
      </c>
      <c r="B15" s="343" t="s">
        <v>105</v>
      </c>
      <c r="C15" s="343" t="s">
        <v>98</v>
      </c>
      <c r="D15" s="344" t="s">
        <v>99</v>
      </c>
      <c r="E15" s="344" t="s">
        <v>100</v>
      </c>
      <c r="F15" s="344" t="s">
        <v>101</v>
      </c>
      <c r="G15" s="344" t="s">
        <v>102</v>
      </c>
      <c r="H15" s="344" t="s">
        <v>103</v>
      </c>
      <c r="I15" s="344" t="s">
        <v>106</v>
      </c>
      <c r="J15" s="344" t="s">
        <v>177</v>
      </c>
      <c r="K15" s="345" t="s">
        <v>178</v>
      </c>
    </row>
    <row r="16" spans="1:17" x14ac:dyDescent="0.3">
      <c r="A16" s="346">
        <v>1</v>
      </c>
      <c r="B16" s="360" t="s">
        <v>215</v>
      </c>
      <c r="C16" s="360">
        <v>3</v>
      </c>
      <c r="D16" s="347"/>
      <c r="E16" s="347"/>
      <c r="F16" s="347"/>
      <c r="G16" s="347"/>
      <c r="H16" s="347"/>
      <c r="I16" s="347"/>
      <c r="J16" s="347"/>
      <c r="K16" s="348"/>
    </row>
    <row r="17" spans="1:17" x14ac:dyDescent="0.3">
      <c r="A17" s="349">
        <v>2</v>
      </c>
      <c r="B17" s="350">
        <v>5</v>
      </c>
      <c r="C17" s="350">
        <v>3</v>
      </c>
      <c r="D17" s="351"/>
      <c r="E17" s="351"/>
      <c r="F17" s="351"/>
      <c r="G17" s="351"/>
      <c r="H17" s="351"/>
      <c r="I17" s="351"/>
      <c r="J17" s="351"/>
      <c r="K17" s="352"/>
    </row>
    <row r="18" spans="1:17" x14ac:dyDescent="0.3">
      <c r="A18" s="349">
        <v>3</v>
      </c>
      <c r="B18" s="350">
        <v>5</v>
      </c>
      <c r="C18" s="350">
        <v>4</v>
      </c>
      <c r="D18" s="351"/>
      <c r="E18" s="351"/>
      <c r="F18" s="351"/>
      <c r="G18" s="351"/>
      <c r="H18" s="351"/>
      <c r="I18" s="351"/>
      <c r="J18" s="351"/>
      <c r="K18" s="352"/>
    </row>
    <row r="19" spans="1:17" x14ac:dyDescent="0.3">
      <c r="A19" s="354">
        <v>4</v>
      </c>
      <c r="B19" s="355">
        <v>6</v>
      </c>
      <c r="C19" s="355">
        <v>4</v>
      </c>
      <c r="D19" s="355">
        <v>3</v>
      </c>
      <c r="E19" s="351"/>
      <c r="F19" s="351"/>
      <c r="G19" s="351"/>
      <c r="H19" s="351"/>
      <c r="I19" s="351"/>
      <c r="J19" s="351"/>
      <c r="K19" s="352"/>
    </row>
    <row r="20" spans="1:17" x14ac:dyDescent="0.3">
      <c r="A20" s="349">
        <v>5</v>
      </c>
      <c r="B20" s="350">
        <v>6</v>
      </c>
      <c r="C20" s="350">
        <v>5</v>
      </c>
      <c r="D20" s="353">
        <v>3</v>
      </c>
      <c r="E20" s="351"/>
      <c r="F20" s="351"/>
      <c r="G20" s="351"/>
      <c r="H20" s="351"/>
      <c r="I20" s="351"/>
      <c r="J20" s="351"/>
      <c r="K20" s="352"/>
    </row>
    <row r="21" spans="1:17" x14ac:dyDescent="0.3">
      <c r="A21" s="349">
        <v>6</v>
      </c>
      <c r="B21" s="350">
        <v>7</v>
      </c>
      <c r="C21" s="350">
        <v>5</v>
      </c>
      <c r="D21" s="353">
        <v>4</v>
      </c>
      <c r="E21" s="353">
        <v>3</v>
      </c>
      <c r="F21" s="351"/>
      <c r="G21" s="351"/>
      <c r="H21" s="351"/>
      <c r="I21" s="351"/>
      <c r="J21" s="351"/>
      <c r="K21" s="352"/>
    </row>
    <row r="22" spans="1:17" x14ac:dyDescent="0.3">
      <c r="A22" s="349">
        <v>7</v>
      </c>
      <c r="B22" s="350">
        <v>7</v>
      </c>
      <c r="C22" s="350">
        <v>6</v>
      </c>
      <c r="D22" s="353">
        <v>4</v>
      </c>
      <c r="E22" s="353">
        <v>3</v>
      </c>
      <c r="F22" s="351"/>
      <c r="G22" s="351"/>
      <c r="H22" s="351"/>
      <c r="I22" s="351"/>
      <c r="J22" s="351"/>
      <c r="K22" s="352"/>
    </row>
    <row r="23" spans="1:17" x14ac:dyDescent="0.3">
      <c r="A23" s="349">
        <v>8</v>
      </c>
      <c r="B23" s="350">
        <v>8</v>
      </c>
      <c r="C23" s="350">
        <v>6</v>
      </c>
      <c r="D23" s="353">
        <v>5</v>
      </c>
      <c r="E23" s="353">
        <v>4</v>
      </c>
      <c r="F23" s="353">
        <v>3</v>
      </c>
      <c r="G23" s="351"/>
      <c r="H23" s="351"/>
      <c r="I23" s="351"/>
      <c r="J23" s="351"/>
      <c r="K23" s="352"/>
    </row>
    <row r="24" spans="1:17" x14ac:dyDescent="0.3">
      <c r="A24" s="349">
        <v>9</v>
      </c>
      <c r="B24" s="350">
        <v>8</v>
      </c>
      <c r="C24" s="350">
        <v>6</v>
      </c>
      <c r="D24" s="353">
        <v>5</v>
      </c>
      <c r="E24" s="353">
        <v>4</v>
      </c>
      <c r="F24" s="353">
        <v>3</v>
      </c>
      <c r="G24" s="351"/>
      <c r="H24" s="351"/>
      <c r="I24" s="351"/>
      <c r="J24" s="351"/>
      <c r="K24" s="352"/>
    </row>
    <row r="25" spans="1:17" x14ac:dyDescent="0.3">
      <c r="A25" s="349">
        <v>10</v>
      </c>
      <c r="B25" s="350">
        <v>9</v>
      </c>
      <c r="C25" s="350">
        <v>6</v>
      </c>
      <c r="D25" s="353">
        <v>6</v>
      </c>
      <c r="E25" s="353">
        <v>5</v>
      </c>
      <c r="F25" s="353">
        <v>4</v>
      </c>
      <c r="G25" s="353">
        <v>3</v>
      </c>
      <c r="H25" s="351"/>
      <c r="I25" s="351"/>
      <c r="J25" s="351"/>
      <c r="K25" s="352"/>
      <c r="M25" s="299"/>
      <c r="N25" s="299"/>
      <c r="O25" s="299"/>
      <c r="P25" s="299"/>
      <c r="Q25" s="299"/>
    </row>
    <row r="26" spans="1:17" s="299" customFormat="1" x14ac:dyDescent="0.3">
      <c r="A26" s="349">
        <v>11</v>
      </c>
      <c r="B26" s="350">
        <v>9</v>
      </c>
      <c r="C26" s="350">
        <v>6</v>
      </c>
      <c r="D26" s="353">
        <v>6</v>
      </c>
      <c r="E26" s="353">
        <v>5</v>
      </c>
      <c r="F26" s="353">
        <v>4</v>
      </c>
      <c r="G26" s="353">
        <v>3</v>
      </c>
      <c r="H26" s="351"/>
      <c r="I26" s="351"/>
      <c r="J26" s="351"/>
      <c r="K26" s="352"/>
      <c r="L26" s="50"/>
      <c r="M26" s="50"/>
      <c r="N26" s="50"/>
      <c r="O26" s="50"/>
      <c r="P26" s="50"/>
      <c r="Q26" s="50"/>
    </row>
    <row r="27" spans="1:17" x14ac:dyDescent="0.3">
      <c r="A27" s="349">
        <v>12</v>
      </c>
      <c r="B27" s="350">
        <v>9</v>
      </c>
      <c r="C27" s="350">
        <v>6</v>
      </c>
      <c r="D27" s="353">
        <v>6</v>
      </c>
      <c r="E27" s="353">
        <v>6</v>
      </c>
      <c r="F27" s="353">
        <v>5</v>
      </c>
      <c r="G27" s="353">
        <v>4</v>
      </c>
      <c r="H27" s="353">
        <v>3</v>
      </c>
      <c r="I27" s="351"/>
      <c r="J27" s="351"/>
      <c r="K27" s="352"/>
      <c r="L27" s="299"/>
    </row>
    <row r="28" spans="1:17" x14ac:dyDescent="0.3">
      <c r="A28" s="349">
        <v>13</v>
      </c>
      <c r="B28" s="350">
        <v>9</v>
      </c>
      <c r="C28" s="350">
        <v>6</v>
      </c>
      <c r="D28" s="353">
        <v>6</v>
      </c>
      <c r="E28" s="353">
        <v>6</v>
      </c>
      <c r="F28" s="353">
        <v>5</v>
      </c>
      <c r="G28" s="353">
        <v>4</v>
      </c>
      <c r="H28" s="353">
        <v>3</v>
      </c>
      <c r="I28" s="351"/>
      <c r="J28" s="351"/>
      <c r="K28" s="352"/>
    </row>
    <row r="29" spans="1:17" x14ac:dyDescent="0.3">
      <c r="A29" s="349">
        <v>14</v>
      </c>
      <c r="B29" s="350">
        <v>9</v>
      </c>
      <c r="C29" s="350">
        <v>6</v>
      </c>
      <c r="D29" s="353">
        <v>6</v>
      </c>
      <c r="E29" s="353">
        <v>6</v>
      </c>
      <c r="F29" s="353">
        <v>6</v>
      </c>
      <c r="G29" s="353">
        <v>5</v>
      </c>
      <c r="H29" s="353">
        <v>4</v>
      </c>
      <c r="I29" s="353">
        <v>3</v>
      </c>
      <c r="J29" s="351"/>
      <c r="K29" s="352"/>
    </row>
    <row r="30" spans="1:17" x14ac:dyDescent="0.3">
      <c r="A30" s="349">
        <v>15</v>
      </c>
      <c r="B30" s="350">
        <v>9</v>
      </c>
      <c r="C30" s="350">
        <v>6</v>
      </c>
      <c r="D30" s="353">
        <v>6</v>
      </c>
      <c r="E30" s="353">
        <v>6</v>
      </c>
      <c r="F30" s="353">
        <v>6</v>
      </c>
      <c r="G30" s="353">
        <v>5</v>
      </c>
      <c r="H30" s="353">
        <v>4</v>
      </c>
      <c r="I30" s="353">
        <v>3</v>
      </c>
      <c r="J30" s="351"/>
      <c r="K30" s="352"/>
    </row>
    <row r="31" spans="1:17" x14ac:dyDescent="0.3">
      <c r="A31" s="349">
        <v>16</v>
      </c>
      <c r="B31" s="350">
        <v>9</v>
      </c>
      <c r="C31" s="350">
        <v>6</v>
      </c>
      <c r="D31" s="353">
        <v>6</v>
      </c>
      <c r="E31" s="353">
        <v>6</v>
      </c>
      <c r="F31" s="353">
        <v>6</v>
      </c>
      <c r="G31" s="353">
        <v>6</v>
      </c>
      <c r="H31" s="353">
        <v>5</v>
      </c>
      <c r="I31" s="353">
        <v>4</v>
      </c>
      <c r="J31" s="353">
        <v>3</v>
      </c>
      <c r="K31" s="352"/>
    </row>
    <row r="32" spans="1:17" x14ac:dyDescent="0.3">
      <c r="A32" s="349">
        <v>17</v>
      </c>
      <c r="B32" s="350">
        <v>9</v>
      </c>
      <c r="C32" s="350">
        <v>6</v>
      </c>
      <c r="D32" s="353">
        <v>6</v>
      </c>
      <c r="E32" s="353">
        <v>6</v>
      </c>
      <c r="F32" s="353">
        <v>6</v>
      </c>
      <c r="G32" s="353">
        <v>6</v>
      </c>
      <c r="H32" s="353">
        <v>5</v>
      </c>
      <c r="I32" s="353">
        <v>4</v>
      </c>
      <c r="J32" s="353">
        <v>3</v>
      </c>
      <c r="K32" s="352"/>
    </row>
    <row r="33" spans="1:11" x14ac:dyDescent="0.3">
      <c r="A33" s="361">
        <v>18</v>
      </c>
      <c r="B33" s="362">
        <v>9</v>
      </c>
      <c r="C33" s="362">
        <v>6</v>
      </c>
      <c r="D33" s="363">
        <v>6</v>
      </c>
      <c r="E33" s="363">
        <v>6</v>
      </c>
      <c r="F33" s="363">
        <v>6</v>
      </c>
      <c r="G33" s="363">
        <v>6</v>
      </c>
      <c r="H33" s="363">
        <v>6</v>
      </c>
      <c r="I33" s="363">
        <v>5</v>
      </c>
      <c r="J33" s="363">
        <v>4</v>
      </c>
      <c r="K33" s="364">
        <v>3</v>
      </c>
    </row>
    <row r="34" spans="1:11" x14ac:dyDescent="0.3">
      <c r="A34" s="361">
        <v>19</v>
      </c>
      <c r="B34" s="362">
        <v>9</v>
      </c>
      <c r="C34" s="362">
        <v>6</v>
      </c>
      <c r="D34" s="363">
        <v>6</v>
      </c>
      <c r="E34" s="363">
        <v>6</v>
      </c>
      <c r="F34" s="363">
        <v>6</v>
      </c>
      <c r="G34" s="363">
        <v>6</v>
      </c>
      <c r="H34" s="363">
        <v>6</v>
      </c>
      <c r="I34" s="363">
        <v>5</v>
      </c>
      <c r="J34" s="363">
        <v>4</v>
      </c>
      <c r="K34" s="364">
        <v>3</v>
      </c>
    </row>
    <row r="35" spans="1:11" ht="17.399999999999999" thickBot="1" x14ac:dyDescent="0.35">
      <c r="A35" s="356">
        <v>20</v>
      </c>
      <c r="B35" s="365" t="s">
        <v>243</v>
      </c>
      <c r="C35" s="357">
        <v>6</v>
      </c>
      <c r="D35" s="358">
        <v>6</v>
      </c>
      <c r="E35" s="358">
        <v>6</v>
      </c>
      <c r="F35" s="358">
        <v>6</v>
      </c>
      <c r="G35" s="358">
        <v>6</v>
      </c>
      <c r="H35" s="358">
        <v>6</v>
      </c>
      <c r="I35" s="358">
        <v>6</v>
      </c>
      <c r="J35" s="358">
        <v>5</v>
      </c>
      <c r="K35" s="359">
        <v>4</v>
      </c>
    </row>
    <row r="36" spans="1:11" ht="17.399999999999999" thickTop="1" x14ac:dyDescent="0.3"/>
  </sheetData>
  <conditionalFormatting sqref="Q3:Q5">
    <cfRule type="cellIs" dxfId="1" priority="2" operator="equal">
      <formula>"þ"</formula>
    </cfRule>
  </conditionalFormatting>
  <conditionalFormatting sqref="Q9:Q11">
    <cfRule type="cellIs" dxfId="0" priority="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showGridLines="0" zoomScaleNormal="100" workbookViewId="0"/>
  </sheetViews>
  <sheetFormatPr defaultColWidth="13" defaultRowHeight="16.8" x14ac:dyDescent="0.3"/>
  <cols>
    <col min="1" max="1" width="37.09765625" style="50" bestFit="1" customWidth="1"/>
    <col min="2" max="2" width="2" style="19" bestFit="1" customWidth="1"/>
    <col min="3" max="3" width="39.3984375" style="50" bestFit="1" customWidth="1"/>
    <col min="4" max="4" width="2.19921875" style="50" customWidth="1"/>
    <col min="5" max="5" width="26.09765625" style="50" bestFit="1" customWidth="1"/>
    <col min="6" max="16384" width="13" style="50"/>
  </cols>
  <sheetData>
    <row r="1" spans="1:5" ht="24" thickTop="1" thickBot="1" x14ac:dyDescent="0.35">
      <c r="A1" s="70" t="s">
        <v>107</v>
      </c>
      <c r="C1" s="386" t="s">
        <v>240</v>
      </c>
      <c r="E1" s="477" t="s">
        <v>340</v>
      </c>
    </row>
    <row r="2" spans="1:5" x14ac:dyDescent="0.3">
      <c r="A2" s="71" t="s">
        <v>174</v>
      </c>
      <c r="C2" s="387" t="s">
        <v>241</v>
      </c>
      <c r="E2" s="478" t="str">
        <f>CONCATENATE("Detect Magic @ will, CL ",'Personal File'!$E$5)</f>
        <v>Detect Magic @ will, CL 2</v>
      </c>
    </row>
    <row r="3" spans="1:5" ht="17.399999999999999" thickBot="1" x14ac:dyDescent="0.35">
      <c r="A3" s="180" t="s">
        <v>221</v>
      </c>
      <c r="C3" s="388"/>
      <c r="E3" s="479"/>
    </row>
    <row r="4" spans="1:5" ht="18" thickTop="1" thickBot="1" x14ac:dyDescent="0.35">
      <c r="A4" s="72" t="str">
        <f>CONCATENATE("1st:  Protection Devotion +",2+ROUNDDOWN(SUM('Personal File'!$E$3:$E$5)/4,0))</f>
        <v>1st:  Protection Devotion +4</v>
      </c>
    </row>
    <row r="5" spans="1:5" ht="24" thickTop="1" thickBot="1" x14ac:dyDescent="0.35">
      <c r="A5" s="389" t="s">
        <v>242</v>
      </c>
      <c r="C5" s="384" t="s">
        <v>273</v>
      </c>
      <c r="E5" s="486" t="s">
        <v>345</v>
      </c>
    </row>
    <row r="6" spans="1:5" ht="17.399999999999999" thickBot="1" x14ac:dyDescent="0.35">
      <c r="A6" s="389" t="s">
        <v>301</v>
      </c>
      <c r="C6" s="385" t="s">
        <v>315</v>
      </c>
      <c r="E6" s="487" t="s">
        <v>346</v>
      </c>
    </row>
    <row r="7" spans="1:5" ht="18" thickTop="1" thickBot="1" x14ac:dyDescent="0.35">
      <c r="A7" s="389" t="s">
        <v>389</v>
      </c>
      <c r="C7" s="435" t="s">
        <v>316</v>
      </c>
    </row>
    <row r="8" spans="1:5" ht="24" thickTop="1" thickBot="1" x14ac:dyDescent="0.35">
      <c r="A8" s="569" t="s">
        <v>415</v>
      </c>
      <c r="C8" s="494" t="s">
        <v>275</v>
      </c>
      <c r="D8" s="437"/>
      <c r="E8" s="486" t="s">
        <v>393</v>
      </c>
    </row>
    <row r="9" spans="1:5" ht="18" thickTop="1" thickBot="1" x14ac:dyDescent="0.35">
      <c r="A9" s="25"/>
      <c r="C9" s="494" t="s">
        <v>359</v>
      </c>
      <c r="E9" s="568" t="s">
        <v>413</v>
      </c>
    </row>
    <row r="10" spans="1:5" ht="24" thickTop="1" thickBot="1" x14ac:dyDescent="0.35">
      <c r="A10" s="157" t="s">
        <v>84</v>
      </c>
      <c r="C10" s="494" t="s">
        <v>356</v>
      </c>
      <c r="E10" s="570" t="s">
        <v>414</v>
      </c>
    </row>
    <row r="11" spans="1:5" ht="21" thickBot="1" x14ac:dyDescent="0.35">
      <c r="A11" s="73" t="s">
        <v>85</v>
      </c>
      <c r="C11" s="443" t="s">
        <v>322</v>
      </c>
      <c r="E11" s="487" t="s">
        <v>394</v>
      </c>
    </row>
    <row r="12" spans="1:5" ht="18" thickTop="1" thickBot="1" x14ac:dyDescent="0.35">
      <c r="A12" s="8" t="s">
        <v>384</v>
      </c>
      <c r="B12" s="441">
        <v>1</v>
      </c>
      <c r="C12" s="442" t="s">
        <v>317</v>
      </c>
      <c r="D12" s="437">
        <f t="shared" ref="D12:D16" ca="1" si="0">RAND()</f>
        <v>0.30195989808942669</v>
      </c>
    </row>
    <row r="13" spans="1:5" ht="24" thickTop="1" thickBot="1" x14ac:dyDescent="0.35">
      <c r="A13" s="74" t="s">
        <v>237</v>
      </c>
      <c r="B13" s="441">
        <v>2</v>
      </c>
      <c r="C13" s="442" t="s">
        <v>318</v>
      </c>
      <c r="D13" s="437">
        <f t="shared" ca="1" si="0"/>
        <v>0.88033377278619018</v>
      </c>
      <c r="E13" s="438" t="s">
        <v>277</v>
      </c>
    </row>
    <row r="14" spans="1:5" ht="18" thickTop="1" thickBot="1" x14ac:dyDescent="0.35">
      <c r="A14" s="25"/>
      <c r="B14" s="441">
        <v>3</v>
      </c>
      <c r="C14" s="442" t="s">
        <v>319</v>
      </c>
      <c r="D14" s="437">
        <f t="shared" ca="1" si="0"/>
        <v>0.17359224092686498</v>
      </c>
      <c r="E14" s="439" t="str">
        <f ca="1">VLOOKUP(MATCH(LARGE($D$12:$D$16,1),$D$12:$D$16,0),$B$12:$C$16,2,FALSE)</f>
        <v>Shield Block</v>
      </c>
    </row>
    <row r="15" spans="1:5" ht="24" thickTop="1" thickBot="1" x14ac:dyDescent="0.35">
      <c r="A15" s="158" t="s">
        <v>70</v>
      </c>
      <c r="B15" s="441">
        <v>4</v>
      </c>
      <c r="C15" s="442" t="s">
        <v>320</v>
      </c>
      <c r="D15" s="437">
        <f t="shared" ca="1" si="0"/>
        <v>0.69387605960157206</v>
      </c>
      <c r="E15" s="439" t="str">
        <f ca="1">VLOOKUP(MATCH(LARGE($D$12:$D$16,2),$D$12:$D$16,0),$B$12:$C$16,2,FALSE)</f>
        <v>Crusader’s Strike</v>
      </c>
    </row>
    <row r="16" spans="1:5" ht="17.399999999999999" thickBot="1" x14ac:dyDescent="0.35">
      <c r="A16" s="75" t="s">
        <v>405</v>
      </c>
      <c r="B16" s="441">
        <v>5</v>
      </c>
      <c r="C16" s="495" t="s">
        <v>321</v>
      </c>
      <c r="D16" s="437">
        <f t="shared" ca="1" si="0"/>
        <v>0.17980153552978528</v>
      </c>
      <c r="E16" s="439" t="str">
        <f ca="1">VLOOKUP(MATCH(LARGE($D$12:$D$16,3),$D$12:$D$16,0),$B$12:$C$16,2,FALSE)</f>
        <v>Foehammer</v>
      </c>
    </row>
    <row r="17" spans="1:5" ht="17.399999999999999" thickTop="1" x14ac:dyDescent="0.3">
      <c r="C17" s="19"/>
      <c r="E17" s="439" t="str">
        <f ca="1">VLOOKUP(MATCH(LARGE($D$12:$D$16,4),$D$12:$D$16,0),$B$12:$C$16,2,FALSE)</f>
        <v>Battle Leader’s Charge</v>
      </c>
    </row>
    <row r="18" spans="1:5" ht="17.399999999999999" thickBot="1" x14ac:dyDescent="0.35">
      <c r="E18" s="440" t="str">
        <f ca="1">VLOOKUP(MATCH(LARGE($D$12:$D$16,5),$D$12:$D$16,0),$B$12:$C$16,2,FALSE)</f>
        <v>Stone Vise</v>
      </c>
    </row>
    <row r="19" spans="1:5" ht="17.399999999999999" thickTop="1" x14ac:dyDescent="0.3"/>
    <row r="24" spans="1:5" x14ac:dyDescent="0.3">
      <c r="D24" s="299"/>
    </row>
    <row r="25" spans="1:5" s="299" customFormat="1" x14ac:dyDescent="0.3">
      <c r="A25" s="50"/>
      <c r="B25" s="436"/>
      <c r="C25" s="50"/>
      <c r="D25" s="50"/>
      <c r="E25" s="50"/>
    </row>
    <row r="27" spans="1:5" x14ac:dyDescent="0.3">
      <c r="E27" s="299"/>
    </row>
    <row r="28" spans="1:5" x14ac:dyDescent="0.3">
      <c r="A28" s="299"/>
    </row>
    <row r="29" spans="1:5" x14ac:dyDescent="0.3">
      <c r="C29" s="299"/>
    </row>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2"/>
  <sheetViews>
    <sheetView showGridLines="0" workbookViewId="0"/>
  </sheetViews>
  <sheetFormatPr defaultColWidth="13" defaultRowHeight="15.6" x14ac:dyDescent="0.3"/>
  <cols>
    <col min="1" max="1" width="31.59765625" style="77" bestFit="1" customWidth="1"/>
    <col min="2" max="2" width="9.296875" style="77" bestFit="1" customWidth="1"/>
    <col min="3" max="3" width="4.296875" style="77" bestFit="1" customWidth="1"/>
    <col min="4" max="4" width="6.5" style="77" bestFit="1" customWidth="1"/>
    <col min="5" max="5" width="8.09765625" style="77" bestFit="1" customWidth="1"/>
    <col min="6" max="6" width="9.8984375" style="77" bestFit="1" customWidth="1"/>
    <col min="7" max="7" width="4.3984375" style="77" bestFit="1" customWidth="1"/>
    <col min="8" max="8" width="4.69921875" style="77" bestFit="1" customWidth="1"/>
    <col min="9" max="9" width="5.69921875" style="77" bestFit="1" customWidth="1"/>
    <col min="10" max="10" width="6.296875" style="77" bestFit="1" customWidth="1"/>
    <col min="11" max="11" width="15.296875" style="77" bestFit="1" customWidth="1"/>
    <col min="12" max="12" width="1.3984375" style="15" customWidth="1"/>
    <col min="13" max="13" width="5.796875" style="15" bestFit="1" customWidth="1"/>
    <col min="14" max="16384" width="13" style="15"/>
  </cols>
  <sheetData>
    <row r="1" spans="1:13" ht="23.4" thickBot="1" x14ac:dyDescent="0.35">
      <c r="A1" s="69" t="s">
        <v>15</v>
      </c>
      <c r="B1" s="69"/>
      <c r="C1" s="69"/>
      <c r="D1" s="69"/>
      <c r="E1" s="69"/>
      <c r="F1" s="69"/>
      <c r="G1" s="69"/>
      <c r="H1" s="69"/>
      <c r="I1" s="69"/>
      <c r="J1" s="69"/>
      <c r="K1" s="69"/>
    </row>
    <row r="2" spans="1:13" ht="16.8" thickTop="1" thickBot="1" x14ac:dyDescent="0.35">
      <c r="A2" s="98" t="s">
        <v>1</v>
      </c>
      <c r="B2" s="99" t="s">
        <v>2</v>
      </c>
      <c r="C2" s="99" t="s">
        <v>19</v>
      </c>
      <c r="D2" s="99" t="s">
        <v>20</v>
      </c>
      <c r="E2" s="100" t="s">
        <v>53</v>
      </c>
      <c r="F2" s="99" t="s">
        <v>16</v>
      </c>
      <c r="G2" s="99" t="s">
        <v>21</v>
      </c>
      <c r="H2" s="101" t="s">
        <v>86</v>
      </c>
      <c r="I2" s="102" t="s">
        <v>108</v>
      </c>
      <c r="J2" s="101" t="s">
        <v>77</v>
      </c>
      <c r="K2" s="103" t="s">
        <v>75</v>
      </c>
      <c r="M2" s="547" t="s">
        <v>121</v>
      </c>
    </row>
    <row r="3" spans="1:13" x14ac:dyDescent="0.3">
      <c r="A3" s="318" t="s">
        <v>308</v>
      </c>
      <c r="B3" s="319" t="s">
        <v>326</v>
      </c>
      <c r="C3" s="319" t="str">
        <f>'Personal File'!$C$12</f>
        <v>+2</v>
      </c>
      <c r="D3" s="319">
        <f>1+1</f>
        <v>2</v>
      </c>
      <c r="E3" s="320" t="s">
        <v>125</v>
      </c>
      <c r="F3" s="319" t="s">
        <v>182</v>
      </c>
      <c r="G3" s="321">
        <v>6</v>
      </c>
      <c r="H3" s="319" t="str">
        <f>CONCATENATE("+",'Personal File'!$B$10+'Personal File'!$C$12+D3)</f>
        <v>+12</v>
      </c>
      <c r="I3" s="537">
        <f ca="1">RANDBETWEEN(1,20)</f>
        <v>15</v>
      </c>
      <c r="J3" s="322">
        <f ca="1">I3+H3</f>
        <v>27</v>
      </c>
      <c r="K3" s="323"/>
      <c r="M3" s="546">
        <v>2335</v>
      </c>
    </row>
    <row r="4" spans="1:13" x14ac:dyDescent="0.3">
      <c r="A4" s="318" t="s">
        <v>367</v>
      </c>
      <c r="B4" s="319" t="s">
        <v>326</v>
      </c>
      <c r="C4" s="319" t="str">
        <f>'Personal File'!$C$12</f>
        <v>+2</v>
      </c>
      <c r="D4" s="319">
        <f>1+1</f>
        <v>2</v>
      </c>
      <c r="E4" s="320" t="s">
        <v>125</v>
      </c>
      <c r="F4" s="319" t="s">
        <v>182</v>
      </c>
      <c r="G4" s="321" t="s">
        <v>126</v>
      </c>
      <c r="H4" s="319" t="str">
        <f>CONCATENATE("+",H3-5)</f>
        <v>+7</v>
      </c>
      <c r="I4" s="537">
        <f ca="1">RANDBETWEEN(1,20)</f>
        <v>19</v>
      </c>
      <c r="J4" s="322">
        <f ca="1">I4+H4</f>
        <v>26</v>
      </c>
      <c r="K4" s="323"/>
      <c r="M4" s="496" t="s">
        <v>126</v>
      </c>
    </row>
    <row r="5" spans="1:13" x14ac:dyDescent="0.3">
      <c r="A5" s="516" t="s">
        <v>377</v>
      </c>
      <c r="B5" s="517" t="s">
        <v>257</v>
      </c>
      <c r="C5" s="518" t="s">
        <v>375</v>
      </c>
      <c r="D5" s="518" t="s">
        <v>376</v>
      </c>
      <c r="E5" s="535" t="s">
        <v>126</v>
      </c>
      <c r="F5" s="535" t="s">
        <v>126</v>
      </c>
      <c r="G5" s="535" t="s">
        <v>126</v>
      </c>
      <c r="H5" s="535" t="s">
        <v>126</v>
      </c>
      <c r="I5" s="544" t="s">
        <v>126</v>
      </c>
      <c r="J5" s="535" t="s">
        <v>126</v>
      </c>
      <c r="K5" s="545"/>
      <c r="L5" s="536"/>
      <c r="M5" s="503">
        <v>1000</v>
      </c>
    </row>
    <row r="6" spans="1:13" x14ac:dyDescent="0.3">
      <c r="A6" s="318" t="s">
        <v>378</v>
      </c>
      <c r="B6" s="319" t="s">
        <v>380</v>
      </c>
      <c r="C6" s="319" t="str">
        <f>'Personal File'!$C$12</f>
        <v>+2</v>
      </c>
      <c r="D6" s="319">
        <f>1</f>
        <v>1</v>
      </c>
      <c r="E6" s="320" t="s">
        <v>127</v>
      </c>
      <c r="F6" s="319" t="s">
        <v>132</v>
      </c>
      <c r="G6" s="321">
        <v>5</v>
      </c>
      <c r="H6" s="319" t="str">
        <f>CONCATENATE("+",'Personal File'!$B$10+'Personal File'!$C$12+D6)</f>
        <v>+11</v>
      </c>
      <c r="I6" s="537">
        <f ca="1">RANDBETWEEN(1,20)</f>
        <v>9</v>
      </c>
      <c r="J6" s="322">
        <f ca="1">I6+H6</f>
        <v>20</v>
      </c>
      <c r="K6" s="323"/>
      <c r="M6" s="546">
        <v>398</v>
      </c>
    </row>
    <row r="7" spans="1:13" x14ac:dyDescent="0.3">
      <c r="A7" s="318" t="s">
        <v>374</v>
      </c>
      <c r="B7" s="319" t="s">
        <v>380</v>
      </c>
      <c r="C7" s="319" t="str">
        <f>'Personal File'!$C$12</f>
        <v>+2</v>
      </c>
      <c r="D7" s="319">
        <f>1</f>
        <v>1</v>
      </c>
      <c r="E7" s="320" t="s">
        <v>127</v>
      </c>
      <c r="F7" s="319" t="s">
        <v>132</v>
      </c>
      <c r="G7" s="321" t="s">
        <v>126</v>
      </c>
      <c r="H7" s="319" t="str">
        <f>CONCATENATE("+",H6-5)</f>
        <v>+6</v>
      </c>
      <c r="I7" s="537">
        <f ca="1">RANDBETWEEN(1,20)</f>
        <v>2</v>
      </c>
      <c r="J7" s="322">
        <f ca="1">I7+H7</f>
        <v>8</v>
      </c>
      <c r="K7" s="323"/>
      <c r="M7" s="496" t="s">
        <v>126</v>
      </c>
    </row>
    <row r="8" spans="1:13" x14ac:dyDescent="0.3">
      <c r="A8" s="497" t="s">
        <v>372</v>
      </c>
      <c r="B8" s="499" t="s">
        <v>257</v>
      </c>
      <c r="C8" s="499" t="s">
        <v>126</v>
      </c>
      <c r="D8" s="499" t="s">
        <v>126</v>
      </c>
      <c r="E8" s="498" t="s">
        <v>126</v>
      </c>
      <c r="F8" s="499" t="s">
        <v>126</v>
      </c>
      <c r="G8" s="500">
        <v>0</v>
      </c>
      <c r="H8" s="499" t="s">
        <v>126</v>
      </c>
      <c r="I8" s="538" t="s">
        <v>126</v>
      </c>
      <c r="J8" s="501" t="s">
        <v>126</v>
      </c>
      <c r="K8" s="502" t="s">
        <v>379</v>
      </c>
      <c r="L8" s="129"/>
      <c r="M8" s="503">
        <v>1000</v>
      </c>
    </row>
    <row r="9" spans="1:13" x14ac:dyDescent="0.3">
      <c r="A9" s="318" t="s">
        <v>185</v>
      </c>
      <c r="B9" s="319" t="s">
        <v>213</v>
      </c>
      <c r="C9" s="319" t="str">
        <f>'Personal File'!$C$12</f>
        <v>+2</v>
      </c>
      <c r="D9" s="319">
        <v>0</v>
      </c>
      <c r="E9" s="320" t="s">
        <v>125</v>
      </c>
      <c r="F9" s="319" t="s">
        <v>333</v>
      </c>
      <c r="G9" s="321">
        <v>1</v>
      </c>
      <c r="H9" s="319" t="str">
        <f>CONCATENATE("+",'Personal File'!$B$10+'Personal File'!$C$12+D9)</f>
        <v>+10</v>
      </c>
      <c r="I9" s="537">
        <f t="shared" ref="I9:I17" ca="1" si="0">RANDBETWEEN(1,20)</f>
        <v>2</v>
      </c>
      <c r="J9" s="322">
        <f t="shared" ref="J9:J17" ca="1" si="1">I9+H9</f>
        <v>12</v>
      </c>
      <c r="K9" s="323"/>
      <c r="M9" s="496">
        <v>2</v>
      </c>
    </row>
    <row r="10" spans="1:13" x14ac:dyDescent="0.3">
      <c r="A10" s="497" t="s">
        <v>366</v>
      </c>
      <c r="B10" s="499" t="s">
        <v>213</v>
      </c>
      <c r="C10" s="499" t="str">
        <f>'Personal File'!$C$12</f>
        <v>+2</v>
      </c>
      <c r="D10" s="499">
        <v>0</v>
      </c>
      <c r="E10" s="498" t="s">
        <v>125</v>
      </c>
      <c r="F10" s="499" t="s">
        <v>333</v>
      </c>
      <c r="G10" s="500" t="s">
        <v>126</v>
      </c>
      <c r="H10" s="499" t="str">
        <f>CONCATENATE("+",H9-5)</f>
        <v>+5</v>
      </c>
      <c r="I10" s="538">
        <f t="shared" ca="1" si="0"/>
        <v>16</v>
      </c>
      <c r="J10" s="501">
        <f t="shared" ca="1" si="1"/>
        <v>21</v>
      </c>
      <c r="K10" s="502"/>
      <c r="M10" s="503" t="s">
        <v>126</v>
      </c>
    </row>
    <row r="11" spans="1:13" x14ac:dyDescent="0.3">
      <c r="A11" s="318" t="s">
        <v>323</v>
      </c>
      <c r="B11" s="319" t="s">
        <v>213</v>
      </c>
      <c r="C11" s="319" t="str">
        <f>'Personal File'!$C$12</f>
        <v>+2</v>
      </c>
      <c r="D11" s="319">
        <v>0</v>
      </c>
      <c r="E11" s="320" t="s">
        <v>127</v>
      </c>
      <c r="F11" s="319" t="s">
        <v>214</v>
      </c>
      <c r="G11" s="321">
        <v>1</v>
      </c>
      <c r="H11" s="319" t="str">
        <f>CONCATENATE("+",'Personal File'!$B$10+'Personal File'!$C$12+D11)</f>
        <v>+10</v>
      </c>
      <c r="I11" s="537">
        <f t="shared" ca="1" si="0"/>
        <v>16</v>
      </c>
      <c r="J11" s="322">
        <f t="shared" ca="1" si="1"/>
        <v>26</v>
      </c>
      <c r="K11" s="323" t="s">
        <v>186</v>
      </c>
      <c r="M11" s="496">
        <v>10</v>
      </c>
    </row>
    <row r="12" spans="1:13" x14ac:dyDescent="0.3">
      <c r="A12" s="497" t="s">
        <v>365</v>
      </c>
      <c r="B12" s="499" t="s">
        <v>213</v>
      </c>
      <c r="C12" s="499" t="str">
        <f>'Personal File'!$C$12</f>
        <v>+2</v>
      </c>
      <c r="D12" s="499">
        <v>0</v>
      </c>
      <c r="E12" s="498" t="s">
        <v>127</v>
      </c>
      <c r="F12" s="499" t="s">
        <v>214</v>
      </c>
      <c r="G12" s="500" t="s">
        <v>126</v>
      </c>
      <c r="H12" s="499" t="str">
        <f>CONCATENATE("+",H11-5)</f>
        <v>+5</v>
      </c>
      <c r="I12" s="538">
        <f t="shared" ca="1" si="0"/>
        <v>10</v>
      </c>
      <c r="J12" s="501">
        <f t="shared" ca="1" si="1"/>
        <v>15</v>
      </c>
      <c r="K12" s="502"/>
      <c r="M12" s="503" t="s">
        <v>126</v>
      </c>
    </row>
    <row r="13" spans="1:13" x14ac:dyDescent="0.3">
      <c r="A13" s="318" t="s">
        <v>324</v>
      </c>
      <c r="B13" s="319" t="s">
        <v>381</v>
      </c>
      <c r="C13" s="319">
        <f>('Personal File'!$C$12/2)</f>
        <v>1</v>
      </c>
      <c r="D13" s="319">
        <v>0</v>
      </c>
      <c r="E13" s="320" t="s">
        <v>127</v>
      </c>
      <c r="F13" s="319" t="s">
        <v>214</v>
      </c>
      <c r="G13" s="321">
        <v>1</v>
      </c>
      <c r="H13" s="319" t="str">
        <f>CONCATENATE("+",'Personal File'!$B$10+'Personal File'!$C$12+D13)</f>
        <v>+10</v>
      </c>
      <c r="I13" s="537">
        <f t="shared" ca="1" si="0"/>
        <v>19</v>
      </c>
      <c r="J13" s="322">
        <f t="shared" ca="1" si="1"/>
        <v>29</v>
      </c>
      <c r="K13" s="323" t="s">
        <v>187</v>
      </c>
      <c r="M13" s="496">
        <v>25</v>
      </c>
    </row>
    <row r="14" spans="1:13" x14ac:dyDescent="0.3">
      <c r="A14" s="497" t="s">
        <v>365</v>
      </c>
      <c r="B14" s="499" t="s">
        <v>381</v>
      </c>
      <c r="C14" s="499">
        <f>('Personal File'!$C$12/2)</f>
        <v>1</v>
      </c>
      <c r="D14" s="499">
        <v>0</v>
      </c>
      <c r="E14" s="498" t="s">
        <v>127</v>
      </c>
      <c r="F14" s="499" t="s">
        <v>214</v>
      </c>
      <c r="G14" s="500" t="s">
        <v>126</v>
      </c>
      <c r="H14" s="499" t="str">
        <f>CONCATENATE("+",H13-5)</f>
        <v>+5</v>
      </c>
      <c r="I14" s="538">
        <f t="shared" ca="1" si="0"/>
        <v>3</v>
      </c>
      <c r="J14" s="501">
        <f t="shared" ca="1" si="1"/>
        <v>8</v>
      </c>
      <c r="K14" s="502"/>
      <c r="M14" s="503" t="s">
        <v>126</v>
      </c>
    </row>
    <row r="15" spans="1:13" x14ac:dyDescent="0.3">
      <c r="A15" s="504" t="s">
        <v>130</v>
      </c>
      <c r="B15" s="319" t="s">
        <v>131</v>
      </c>
      <c r="C15" s="505" t="str">
        <f>'Personal File'!$C$12</f>
        <v>+2</v>
      </c>
      <c r="D15" s="505">
        <v>0</v>
      </c>
      <c r="E15" s="506" t="s">
        <v>127</v>
      </c>
      <c r="F15" s="377" t="s">
        <v>132</v>
      </c>
      <c r="G15" s="472">
        <v>0</v>
      </c>
      <c r="H15" s="472" t="str">
        <f>CONCATENATE("+",'Personal File'!$B$10+'Personal File'!$C$12+D15)</f>
        <v>+10</v>
      </c>
      <c r="I15" s="537">
        <f t="shared" ca="1" si="0"/>
        <v>19</v>
      </c>
      <c r="J15" s="507">
        <f t="shared" ca="1" si="1"/>
        <v>29</v>
      </c>
      <c r="K15" s="323"/>
      <c r="M15" s="508" t="s">
        <v>126</v>
      </c>
    </row>
    <row r="16" spans="1:13" x14ac:dyDescent="0.3">
      <c r="A16" s="516" t="s">
        <v>364</v>
      </c>
      <c r="B16" s="517" t="s">
        <v>131</v>
      </c>
      <c r="C16" s="518" t="str">
        <f>'Personal File'!$C$12</f>
        <v>+2</v>
      </c>
      <c r="D16" s="518">
        <v>0</v>
      </c>
      <c r="E16" s="519" t="s">
        <v>127</v>
      </c>
      <c r="F16" s="520" t="s">
        <v>132</v>
      </c>
      <c r="G16" s="521">
        <v>0</v>
      </c>
      <c r="H16" s="521" t="str">
        <f>CONCATENATE("+",H15-5)</f>
        <v>+5</v>
      </c>
      <c r="I16" s="539">
        <f t="shared" ca="1" si="0"/>
        <v>7</v>
      </c>
      <c r="J16" s="522">
        <f t="shared" ca="1" si="1"/>
        <v>12</v>
      </c>
      <c r="K16" s="523"/>
      <c r="M16" s="524" t="s">
        <v>126</v>
      </c>
    </row>
    <row r="17" spans="1:13" ht="16.2" thickBot="1" x14ac:dyDescent="0.35">
      <c r="A17" s="509" t="s">
        <v>347</v>
      </c>
      <c r="B17" s="510" t="s">
        <v>126</v>
      </c>
      <c r="C17" s="510" t="s">
        <v>126</v>
      </c>
      <c r="D17" s="510">
        <v>0</v>
      </c>
      <c r="E17" s="511" t="s">
        <v>126</v>
      </c>
      <c r="F17" s="510" t="s">
        <v>126</v>
      </c>
      <c r="G17" s="512" t="s">
        <v>126</v>
      </c>
      <c r="H17" s="510" t="str">
        <f>CONCATENATE("+",'Personal File'!$B$10+'Personal File'!$C$13+D17)</f>
        <v>+10</v>
      </c>
      <c r="I17" s="540">
        <f t="shared" ca="1" si="0"/>
        <v>14</v>
      </c>
      <c r="J17" s="513">
        <f t="shared" ca="1" si="1"/>
        <v>24</v>
      </c>
      <c r="K17" s="514"/>
      <c r="M17" s="515" t="s">
        <v>126</v>
      </c>
    </row>
    <row r="18" spans="1:13" ht="6" customHeight="1" thickTop="1" thickBot="1" x14ac:dyDescent="0.35"/>
    <row r="19" spans="1:13" ht="16.8" thickTop="1" thickBot="1" x14ac:dyDescent="0.35">
      <c r="A19" s="98" t="s">
        <v>4</v>
      </c>
      <c r="B19" s="99" t="s">
        <v>5</v>
      </c>
      <c r="C19" s="99" t="s">
        <v>19</v>
      </c>
      <c r="D19" s="99" t="s">
        <v>20</v>
      </c>
      <c r="E19" s="100" t="s">
        <v>53</v>
      </c>
      <c r="F19" s="99" t="s">
        <v>6</v>
      </c>
      <c r="G19" s="99" t="s">
        <v>21</v>
      </c>
      <c r="H19" s="101" t="s">
        <v>86</v>
      </c>
      <c r="I19" s="541" t="s">
        <v>108</v>
      </c>
      <c r="J19" s="101" t="s">
        <v>77</v>
      </c>
      <c r="K19" s="103" t="s">
        <v>75</v>
      </c>
      <c r="L19" s="129"/>
      <c r="M19" s="115" t="s">
        <v>121</v>
      </c>
    </row>
    <row r="20" spans="1:13" x14ac:dyDescent="0.3">
      <c r="A20" s="141" t="s">
        <v>141</v>
      </c>
      <c r="B20" s="142" t="s">
        <v>126</v>
      </c>
      <c r="C20" s="142" t="s">
        <v>126</v>
      </c>
      <c r="D20" s="142">
        <v>0</v>
      </c>
      <c r="E20" s="143" t="s">
        <v>126</v>
      </c>
      <c r="F20" s="142" t="s">
        <v>126</v>
      </c>
      <c r="G20" s="142" t="s">
        <v>126</v>
      </c>
      <c r="H20" s="142" t="str">
        <f>CONCATENATE("+",Spellcasting!$D$10+D20)</f>
        <v>+6</v>
      </c>
      <c r="I20" s="542">
        <f t="shared" ref="I20:I27" ca="1" si="2">RANDBETWEEN(1,20)</f>
        <v>9</v>
      </c>
      <c r="J20" s="146">
        <f t="shared" ref="J20:J27" ca="1" si="3">I20+H20</f>
        <v>15</v>
      </c>
      <c r="K20" s="144"/>
      <c r="L20" s="129"/>
      <c r="M20" s="145" t="s">
        <v>126</v>
      </c>
    </row>
    <row r="21" spans="1:13" x14ac:dyDescent="0.3">
      <c r="A21" s="554" t="s">
        <v>387</v>
      </c>
      <c r="B21" s="555" t="s">
        <v>126</v>
      </c>
      <c r="C21" s="555" t="s">
        <v>126</v>
      </c>
      <c r="D21" s="555">
        <v>0</v>
      </c>
      <c r="E21" s="556" t="s">
        <v>126</v>
      </c>
      <c r="F21" s="555" t="s">
        <v>126</v>
      </c>
      <c r="G21" s="555" t="s">
        <v>126</v>
      </c>
      <c r="H21" s="555" t="str">
        <f>CONCATENATE("+",Spellcasting!D10+D21)</f>
        <v>+6</v>
      </c>
      <c r="I21" s="542">
        <f t="shared" ca="1" si="2"/>
        <v>19</v>
      </c>
      <c r="J21" s="146">
        <f t="shared" ca="1" si="3"/>
        <v>25</v>
      </c>
      <c r="K21" s="557"/>
      <c r="L21" s="129"/>
      <c r="M21" s="145"/>
    </row>
    <row r="22" spans="1:13" x14ac:dyDescent="0.3">
      <c r="A22" s="147" t="s">
        <v>244</v>
      </c>
      <c r="B22" s="117" t="s">
        <v>122</v>
      </c>
      <c r="C22" s="148" t="s">
        <v>51</v>
      </c>
      <c r="D22" s="148" t="s">
        <v>245</v>
      </c>
      <c r="E22" s="117" t="s">
        <v>125</v>
      </c>
      <c r="F22" s="148" t="s">
        <v>133</v>
      </c>
      <c r="G22" s="118">
        <v>4</v>
      </c>
      <c r="H22" s="118" t="str">
        <f>CONCATENATE("+",'Personal File'!$B$10+'Personal File'!$C$13+D22)</f>
        <v>+11</v>
      </c>
      <c r="I22" s="542">
        <f t="shared" ca="1" si="2"/>
        <v>20</v>
      </c>
      <c r="J22" s="119">
        <f t="shared" ca="1" si="3"/>
        <v>31</v>
      </c>
      <c r="K22" s="149"/>
      <c r="L22" s="129"/>
      <c r="M22" s="130">
        <v>335</v>
      </c>
    </row>
    <row r="23" spans="1:13" x14ac:dyDescent="0.3">
      <c r="A23" s="147" t="s">
        <v>189</v>
      </c>
      <c r="B23" s="525" t="s">
        <v>257</v>
      </c>
      <c r="C23" s="148" t="s">
        <v>51</v>
      </c>
      <c r="D23" s="148" t="s">
        <v>51</v>
      </c>
      <c r="E23" s="117">
        <v>20</v>
      </c>
      <c r="F23" s="148" t="s">
        <v>212</v>
      </c>
      <c r="G23" s="118" t="s">
        <v>354</v>
      </c>
      <c r="H23" s="118" t="str">
        <f>CONCATENATE("+",'Personal File'!$B$10+'Personal File'!$C$13+D23)</f>
        <v>+10</v>
      </c>
      <c r="I23" s="542">
        <f t="shared" ca="1" si="2"/>
        <v>11</v>
      </c>
      <c r="J23" s="119">
        <f t="shared" ca="1" si="3"/>
        <v>21</v>
      </c>
      <c r="K23" s="149">
        <v>1</v>
      </c>
      <c r="L23" s="129"/>
      <c r="M23" s="130">
        <f>10*K23</f>
        <v>10</v>
      </c>
    </row>
    <row r="24" spans="1:13" x14ac:dyDescent="0.3">
      <c r="A24" s="147" t="s">
        <v>190</v>
      </c>
      <c r="B24" s="368" t="s">
        <v>257</v>
      </c>
      <c r="C24" s="148" t="s">
        <v>51</v>
      </c>
      <c r="D24" s="148" t="s">
        <v>51</v>
      </c>
      <c r="E24" s="117">
        <v>20</v>
      </c>
      <c r="F24" s="148" t="s">
        <v>212</v>
      </c>
      <c r="G24" s="118">
        <f>K24</f>
        <v>1</v>
      </c>
      <c r="H24" s="118" t="str">
        <f>CONCATENATE("+",'Personal File'!$B$10+'Personal File'!$C$13+D24)</f>
        <v>+10</v>
      </c>
      <c r="I24" s="542">
        <f t="shared" ca="1" si="2"/>
        <v>17</v>
      </c>
      <c r="J24" s="119">
        <f t="shared" ca="1" si="3"/>
        <v>27</v>
      </c>
      <c r="K24" s="149">
        <v>1</v>
      </c>
      <c r="L24" s="129"/>
      <c r="M24" s="130">
        <f>10*K24</f>
        <v>10</v>
      </c>
    </row>
    <row r="25" spans="1:13" x14ac:dyDescent="0.3">
      <c r="A25" s="567" t="s">
        <v>406</v>
      </c>
      <c r="B25" s="427" t="s">
        <v>407</v>
      </c>
      <c r="C25" s="148" t="s">
        <v>51</v>
      </c>
      <c r="D25" s="148" t="s">
        <v>51</v>
      </c>
      <c r="E25" s="427">
        <v>20</v>
      </c>
      <c r="F25" s="148" t="s">
        <v>212</v>
      </c>
      <c r="G25" s="531" t="s">
        <v>126</v>
      </c>
      <c r="H25" s="118" t="str">
        <f>CONCATENATE("+",'Personal File'!$B$10+'Personal File'!$C$13+D25-5)</f>
        <v>+5</v>
      </c>
      <c r="I25" s="542">
        <f t="shared" ca="1" si="2"/>
        <v>5</v>
      </c>
      <c r="J25" s="119">
        <f t="shared" ref="J25" ca="1" si="4">I25+H25</f>
        <v>10</v>
      </c>
      <c r="K25" s="149"/>
      <c r="L25" s="129"/>
      <c r="M25" s="131"/>
    </row>
    <row r="26" spans="1:13" x14ac:dyDescent="0.3">
      <c r="A26" s="429" t="s">
        <v>293</v>
      </c>
      <c r="B26" s="526" t="s">
        <v>257</v>
      </c>
      <c r="C26" s="430" t="s">
        <v>51</v>
      </c>
      <c r="D26" s="430" t="s">
        <v>51</v>
      </c>
      <c r="E26" s="431" t="s">
        <v>127</v>
      </c>
      <c r="F26" s="430" t="s">
        <v>314</v>
      </c>
      <c r="G26" s="432" t="s">
        <v>126</v>
      </c>
      <c r="H26" s="432" t="str">
        <f>CONCATENATE("+",'Personal File'!$B$10+'Personal File'!$C$13+D26)</f>
        <v>+10</v>
      </c>
      <c r="I26" s="542">
        <f t="shared" ca="1" si="2"/>
        <v>16</v>
      </c>
      <c r="J26" s="433">
        <f t="shared" ca="1" si="3"/>
        <v>26</v>
      </c>
      <c r="K26" s="434"/>
      <c r="L26" s="129"/>
      <c r="M26" s="428" t="s">
        <v>126</v>
      </c>
    </row>
    <row r="27" spans="1:13" ht="16.2" thickBot="1" x14ac:dyDescent="0.35">
      <c r="A27" s="324" t="s">
        <v>142</v>
      </c>
      <c r="B27" s="150" t="s">
        <v>126</v>
      </c>
      <c r="C27" s="150" t="s">
        <v>126</v>
      </c>
      <c r="D27" s="150">
        <v>0</v>
      </c>
      <c r="E27" s="151" t="s">
        <v>126</v>
      </c>
      <c r="F27" s="150" t="s">
        <v>126</v>
      </c>
      <c r="G27" s="150" t="s">
        <v>126</v>
      </c>
      <c r="H27" s="150" t="str">
        <f>CONCATENATE("+",'Personal File'!$B$10+'Personal File'!$C$13+D27)</f>
        <v>+10</v>
      </c>
      <c r="I27" s="543">
        <f t="shared" ca="1" si="2"/>
        <v>17</v>
      </c>
      <c r="J27" s="152">
        <f t="shared" ca="1" si="3"/>
        <v>27</v>
      </c>
      <c r="K27" s="325"/>
      <c r="L27" s="129"/>
      <c r="M27" s="326" t="s">
        <v>126</v>
      </c>
    </row>
    <row r="28" spans="1:13" ht="6" customHeight="1" thickTop="1" thickBot="1" x14ac:dyDescent="0.35">
      <c r="D28" s="104"/>
      <c r="E28" s="104"/>
      <c r="G28" s="97"/>
      <c r="H28" s="97"/>
      <c r="I28" s="97"/>
      <c r="J28" s="97"/>
      <c r="L28" s="129"/>
    </row>
    <row r="29" spans="1:13" ht="16.8" thickTop="1" thickBot="1" x14ac:dyDescent="0.35">
      <c r="A29" s="98" t="s">
        <v>58</v>
      </c>
      <c r="B29" s="99" t="s">
        <v>9</v>
      </c>
      <c r="C29" s="99" t="s">
        <v>24</v>
      </c>
      <c r="D29" s="99" t="s">
        <v>77</v>
      </c>
      <c r="E29" s="99" t="s">
        <v>78</v>
      </c>
      <c r="F29" s="99" t="s">
        <v>79</v>
      </c>
      <c r="G29" s="99" t="s">
        <v>21</v>
      </c>
      <c r="H29" s="105" t="s">
        <v>75</v>
      </c>
      <c r="I29" s="106"/>
      <c r="J29" s="106"/>
      <c r="K29" s="107"/>
      <c r="L29" s="129"/>
      <c r="M29" s="115" t="s">
        <v>121</v>
      </c>
    </row>
    <row r="30" spans="1:13" x14ac:dyDescent="0.3">
      <c r="A30" s="82" t="s">
        <v>400</v>
      </c>
      <c r="B30" s="447">
        <v>6</v>
      </c>
      <c r="C30" s="448">
        <v>5</v>
      </c>
      <c r="D30" s="447">
        <v>-1</v>
      </c>
      <c r="E30" s="530">
        <v>0.25</v>
      </c>
      <c r="F30" s="448" t="s">
        <v>110</v>
      </c>
      <c r="G30" s="449">
        <v>15</v>
      </c>
      <c r="H30" s="450"/>
      <c r="I30" s="451"/>
      <c r="J30" s="451"/>
      <c r="K30" s="452"/>
      <c r="L30" s="129"/>
      <c r="M30" s="130">
        <v>6700</v>
      </c>
    </row>
    <row r="31" spans="1:13" x14ac:dyDescent="0.3">
      <c r="A31" s="318" t="s">
        <v>370</v>
      </c>
      <c r="B31" s="319" t="s">
        <v>310</v>
      </c>
      <c r="C31" s="471" t="s">
        <v>126</v>
      </c>
      <c r="D31" s="319" t="s">
        <v>126</v>
      </c>
      <c r="E31" s="476" t="s">
        <v>126</v>
      </c>
      <c r="F31" s="563" t="s">
        <v>404</v>
      </c>
      <c r="G31" s="472">
        <v>0</v>
      </c>
      <c r="H31" s="562" t="s">
        <v>403</v>
      </c>
      <c r="I31" s="473"/>
      <c r="J31" s="473"/>
      <c r="K31" s="474"/>
      <c r="L31" s="129"/>
      <c r="M31" s="131">
        <v>1000</v>
      </c>
    </row>
    <row r="32" spans="1:13" x14ac:dyDescent="0.3">
      <c r="A32" s="83" t="s">
        <v>338</v>
      </c>
      <c r="B32" s="453">
        <v>1</v>
      </c>
      <c r="C32" s="453" t="s">
        <v>126</v>
      </c>
      <c r="D32" s="117">
        <v>-1</v>
      </c>
      <c r="E32" s="476">
        <v>0.05</v>
      </c>
      <c r="F32" s="117" t="s">
        <v>126</v>
      </c>
      <c r="G32" s="118">
        <v>0.5</v>
      </c>
      <c r="H32" s="454"/>
      <c r="I32" s="455"/>
      <c r="J32" s="455"/>
      <c r="K32" s="173"/>
      <c r="L32" s="129"/>
      <c r="M32" s="130">
        <v>2300</v>
      </c>
    </row>
    <row r="33" spans="1:13" x14ac:dyDescent="0.3">
      <c r="A33" s="83" t="s">
        <v>402</v>
      </c>
      <c r="B33" s="453">
        <f>2+1</f>
        <v>3</v>
      </c>
      <c r="C33" s="453" t="s">
        <v>126</v>
      </c>
      <c r="D33" s="117">
        <v>0</v>
      </c>
      <c r="E33" s="476">
        <v>0.05</v>
      </c>
      <c r="F33" s="117" t="s">
        <v>126</v>
      </c>
      <c r="G33" s="118">
        <v>5</v>
      </c>
      <c r="H33" s="454"/>
      <c r="I33" s="455"/>
      <c r="J33" s="455"/>
      <c r="K33" s="173"/>
      <c r="L33" s="129"/>
      <c r="M33" s="130">
        <v>4165</v>
      </c>
    </row>
    <row r="34" spans="1:13" x14ac:dyDescent="0.3">
      <c r="A34" s="528" t="s">
        <v>386</v>
      </c>
      <c r="B34" s="552" t="s">
        <v>388</v>
      </c>
      <c r="C34" s="529" t="s">
        <v>126</v>
      </c>
      <c r="D34" s="427" t="s">
        <v>126</v>
      </c>
      <c r="E34" s="530" t="s">
        <v>126</v>
      </c>
      <c r="F34" s="427" t="s">
        <v>126</v>
      </c>
      <c r="G34" s="531">
        <v>0</v>
      </c>
      <c r="H34" s="532"/>
      <c r="I34" s="533"/>
      <c r="J34" s="533"/>
      <c r="K34" s="155"/>
      <c r="L34" s="129"/>
      <c r="M34" s="131">
        <v>8000</v>
      </c>
    </row>
    <row r="35" spans="1:13" ht="16.2" thickBot="1" x14ac:dyDescent="0.35">
      <c r="A35" s="87" t="s">
        <v>369</v>
      </c>
      <c r="B35" s="113" t="s">
        <v>310</v>
      </c>
      <c r="C35" s="153" t="s">
        <v>126</v>
      </c>
      <c r="D35" s="113" t="s">
        <v>126</v>
      </c>
      <c r="E35" s="154" t="s">
        <v>126</v>
      </c>
      <c r="F35" s="153" t="s">
        <v>126</v>
      </c>
      <c r="G35" s="114">
        <v>0</v>
      </c>
      <c r="H35" s="527" t="s">
        <v>371</v>
      </c>
      <c r="I35" s="108"/>
      <c r="J35" s="108"/>
      <c r="K35" s="156"/>
      <c r="M35" s="132">
        <v>2500</v>
      </c>
    </row>
    <row r="36" spans="1:13" ht="6.75" customHeight="1" thickTop="1" thickBot="1" x14ac:dyDescent="0.35"/>
    <row r="37" spans="1:13" ht="16.8" thickTop="1" thickBot="1" x14ac:dyDescent="0.35">
      <c r="D37" s="109" t="s">
        <v>59</v>
      </c>
      <c r="E37" s="110"/>
      <c r="F37" s="105" t="s">
        <v>3</v>
      </c>
      <c r="G37" s="99" t="s">
        <v>21</v>
      </c>
      <c r="H37" s="101" t="s">
        <v>86</v>
      </c>
      <c r="I37" s="105" t="s">
        <v>75</v>
      </c>
      <c r="J37" s="106"/>
      <c r="K37" s="107"/>
      <c r="M37" s="115" t="s">
        <v>121</v>
      </c>
    </row>
    <row r="38" spans="1:13" x14ac:dyDescent="0.3">
      <c r="D38" s="464" t="s">
        <v>119</v>
      </c>
      <c r="E38" s="465"/>
      <c r="F38" s="466">
        <v>10</v>
      </c>
      <c r="G38" s="447">
        <f>F38/10</f>
        <v>1</v>
      </c>
      <c r="H38" s="447" t="s">
        <v>120</v>
      </c>
      <c r="I38" s="467"/>
      <c r="J38" s="468"/>
      <c r="K38" s="469"/>
      <c r="M38" s="470">
        <f>F38/10</f>
        <v>1</v>
      </c>
    </row>
    <row r="39" spans="1:13" ht="16.2" thickBot="1" x14ac:dyDescent="0.35">
      <c r="D39" s="456"/>
      <c r="E39" s="457"/>
      <c r="F39" s="458"/>
      <c r="G39" s="459"/>
      <c r="H39" s="460"/>
      <c r="I39" s="461"/>
      <c r="J39" s="111"/>
      <c r="K39" s="462"/>
      <c r="M39" s="463"/>
    </row>
    <row r="40" spans="1:13" ht="16.8" thickTop="1" thickBot="1" x14ac:dyDescent="0.35"/>
    <row r="41" spans="1:13" ht="16.8" thickTop="1" thickBot="1" x14ac:dyDescent="0.35">
      <c r="D41" s="109" t="s">
        <v>144</v>
      </c>
      <c r="E41" s="106"/>
      <c r="F41" s="106"/>
      <c r="G41" s="106"/>
      <c r="H41" s="167" t="s">
        <v>3</v>
      </c>
      <c r="I41" s="167" t="s">
        <v>0</v>
      </c>
      <c r="J41" s="167" t="s">
        <v>145</v>
      </c>
      <c r="K41" s="107" t="s">
        <v>75</v>
      </c>
      <c r="L41" s="129"/>
      <c r="M41" s="168" t="s">
        <v>121</v>
      </c>
    </row>
    <row r="42" spans="1:13" x14ac:dyDescent="0.3">
      <c r="D42" s="169" t="s">
        <v>246</v>
      </c>
      <c r="E42" s="170"/>
      <c r="F42" s="170"/>
      <c r="G42" s="171"/>
      <c r="H42" s="172">
        <v>1</v>
      </c>
      <c r="I42" s="117">
        <v>1</v>
      </c>
      <c r="J42" s="117">
        <v>1</v>
      </c>
      <c r="K42" s="173"/>
      <c r="L42" s="129"/>
      <c r="M42" s="131">
        <f t="shared" ref="M42:M51" si="5">25*H42*I42*J42</f>
        <v>25</v>
      </c>
    </row>
    <row r="43" spans="1:13" x14ac:dyDescent="0.3">
      <c r="D43" s="423" t="s">
        <v>337</v>
      </c>
      <c r="E43" s="424"/>
      <c r="F43" s="424"/>
      <c r="G43" s="425"/>
      <c r="H43" s="426">
        <v>0</v>
      </c>
      <c r="I43" s="427">
        <v>3</v>
      </c>
      <c r="J43" s="427">
        <v>8</v>
      </c>
      <c r="K43" s="155"/>
      <c r="L43" s="129"/>
      <c r="M43" s="131">
        <f t="shared" si="5"/>
        <v>0</v>
      </c>
    </row>
    <row r="44" spans="1:13" x14ac:dyDescent="0.3">
      <c r="D44" s="423" t="s">
        <v>311</v>
      </c>
      <c r="E44" s="424"/>
      <c r="F44" s="424"/>
      <c r="G44" s="425"/>
      <c r="H44" s="426">
        <v>2</v>
      </c>
      <c r="I44" s="427">
        <v>1</v>
      </c>
      <c r="J44" s="427">
        <v>2</v>
      </c>
      <c r="K44" s="155"/>
      <c r="L44" s="129"/>
      <c r="M44" s="131">
        <f>50*H44*I44*J44</f>
        <v>200</v>
      </c>
    </row>
    <row r="45" spans="1:13" x14ac:dyDescent="0.3">
      <c r="D45" s="423" t="s">
        <v>266</v>
      </c>
      <c r="E45" s="424"/>
      <c r="F45" s="424"/>
      <c r="G45" s="425"/>
      <c r="H45" s="426">
        <v>1</v>
      </c>
      <c r="I45" s="427">
        <v>1</v>
      </c>
      <c r="J45" s="427">
        <v>1</v>
      </c>
      <c r="K45" s="155"/>
      <c r="L45" s="129"/>
      <c r="M45" s="131">
        <f t="shared" ref="M45:M50" si="6">25*H45*I45*J45</f>
        <v>25</v>
      </c>
    </row>
    <row r="46" spans="1:13" x14ac:dyDescent="0.3">
      <c r="D46" s="423" t="s">
        <v>362</v>
      </c>
      <c r="E46" s="424"/>
      <c r="F46" s="424"/>
      <c r="G46" s="425"/>
      <c r="H46" s="426">
        <v>0</v>
      </c>
      <c r="I46" s="427">
        <v>3</v>
      </c>
      <c r="J46" s="427">
        <v>5</v>
      </c>
      <c r="K46" s="155"/>
      <c r="L46" s="129"/>
      <c r="M46" s="131">
        <f t="shared" ref="M46:M48" si="7">25*H46*I46*J46</f>
        <v>0</v>
      </c>
    </row>
    <row r="47" spans="1:13" x14ac:dyDescent="0.3">
      <c r="D47" s="423" t="s">
        <v>382</v>
      </c>
      <c r="E47" s="424"/>
      <c r="F47" s="424"/>
      <c r="G47" s="425"/>
      <c r="H47" s="426">
        <v>1</v>
      </c>
      <c r="I47" s="427">
        <v>2</v>
      </c>
      <c r="J47" s="427">
        <v>3</v>
      </c>
      <c r="K47" s="155"/>
      <c r="L47" s="129"/>
      <c r="M47" s="131">
        <f t="shared" si="7"/>
        <v>150</v>
      </c>
    </row>
    <row r="48" spans="1:13" x14ac:dyDescent="0.3">
      <c r="D48" s="423" t="s">
        <v>363</v>
      </c>
      <c r="E48" s="424"/>
      <c r="F48" s="424"/>
      <c r="G48" s="425"/>
      <c r="H48" s="426">
        <v>1</v>
      </c>
      <c r="I48" s="427">
        <v>2</v>
      </c>
      <c r="J48" s="427">
        <v>3</v>
      </c>
      <c r="K48" s="155"/>
      <c r="L48" s="129"/>
      <c r="M48" s="131">
        <f t="shared" si="7"/>
        <v>150</v>
      </c>
    </row>
    <row r="49" spans="4:13" x14ac:dyDescent="0.3">
      <c r="D49" s="423" t="s">
        <v>336</v>
      </c>
      <c r="E49" s="424"/>
      <c r="F49" s="424"/>
      <c r="G49" s="425"/>
      <c r="H49" s="426">
        <v>1</v>
      </c>
      <c r="I49" s="427">
        <v>1</v>
      </c>
      <c r="J49" s="427">
        <v>1</v>
      </c>
      <c r="K49" s="155"/>
      <c r="L49" s="129"/>
      <c r="M49" s="131">
        <f t="shared" si="6"/>
        <v>25</v>
      </c>
    </row>
    <row r="50" spans="4:13" x14ac:dyDescent="0.3">
      <c r="D50" s="423" t="s">
        <v>335</v>
      </c>
      <c r="E50" s="424"/>
      <c r="F50" s="424"/>
      <c r="G50" s="425"/>
      <c r="H50" s="426">
        <v>1</v>
      </c>
      <c r="I50" s="427">
        <v>2</v>
      </c>
      <c r="J50" s="427">
        <v>3</v>
      </c>
      <c r="K50" s="155"/>
      <c r="L50" s="129"/>
      <c r="M50" s="131">
        <f t="shared" si="6"/>
        <v>150</v>
      </c>
    </row>
    <row r="51" spans="4:13" ht="16.2" thickBot="1" x14ac:dyDescent="0.35">
      <c r="D51" s="174" t="s">
        <v>334</v>
      </c>
      <c r="E51" s="175"/>
      <c r="F51" s="175"/>
      <c r="G51" s="176"/>
      <c r="H51" s="177">
        <v>1</v>
      </c>
      <c r="I51" s="178">
        <v>2</v>
      </c>
      <c r="J51" s="178">
        <v>3</v>
      </c>
      <c r="K51" s="179"/>
      <c r="L51" s="129"/>
      <c r="M51" s="132">
        <f t="shared" si="5"/>
        <v>150</v>
      </c>
    </row>
    <row r="52" spans="4:13" ht="16.2" thickTop="1" x14ac:dyDescent="0.3"/>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71"/>
  <sheetViews>
    <sheetView showGridLines="0" workbookViewId="0"/>
  </sheetViews>
  <sheetFormatPr defaultColWidth="7.8984375" defaultRowHeight="15.6" x14ac:dyDescent="0.3"/>
  <cols>
    <col min="1" max="1" width="28.796875" style="77" bestFit="1" customWidth="1"/>
    <col min="2" max="2" width="5.69921875" style="77" bestFit="1" customWidth="1"/>
    <col min="3" max="3" width="5.3984375" style="97" bestFit="1" customWidth="1"/>
    <col min="4" max="5" width="23.09765625" style="15" customWidth="1"/>
    <col min="6" max="6" width="1.19921875" style="77" customWidth="1"/>
    <col min="7" max="7" width="8.296875" style="15" bestFit="1" customWidth="1"/>
    <col min="8" max="16384" width="7.8984375" style="15"/>
  </cols>
  <sheetData>
    <row r="1" spans="1:7" ht="23.4" thickBot="1" x14ac:dyDescent="0.35">
      <c r="A1" s="69" t="s">
        <v>72</v>
      </c>
      <c r="B1" s="69"/>
      <c r="C1" s="76"/>
      <c r="D1" s="69"/>
      <c r="E1" s="69"/>
    </row>
    <row r="2" spans="1:7" s="77" customFormat="1" ht="16.8" thickTop="1" thickBot="1" x14ac:dyDescent="0.35">
      <c r="A2" s="78" t="s">
        <v>73</v>
      </c>
      <c r="B2" s="78" t="s">
        <v>3</v>
      </c>
      <c r="C2" s="79" t="s">
        <v>21</v>
      </c>
      <c r="D2" s="80" t="s">
        <v>74</v>
      </c>
      <c r="E2" s="81" t="s">
        <v>75</v>
      </c>
      <c r="G2" s="116" t="s">
        <v>121</v>
      </c>
    </row>
    <row r="3" spans="1:7" x14ac:dyDescent="0.3">
      <c r="A3" s="548" t="s">
        <v>401</v>
      </c>
      <c r="B3" s="369">
        <v>1</v>
      </c>
      <c r="C3" s="84">
        <v>1</v>
      </c>
      <c r="D3" s="549"/>
      <c r="E3" s="550"/>
      <c r="F3"/>
      <c r="G3" s="124">
        <v>1000</v>
      </c>
    </row>
    <row r="4" spans="1:7" x14ac:dyDescent="0.3">
      <c r="A4" s="83" t="s">
        <v>348</v>
      </c>
      <c r="B4" s="369">
        <v>1</v>
      </c>
      <c r="C4" s="84">
        <v>1</v>
      </c>
      <c r="D4" s="85"/>
      <c r="E4" s="86"/>
      <c r="G4" s="187">
        <v>750</v>
      </c>
    </row>
    <row r="5" spans="1:7" x14ac:dyDescent="0.3">
      <c r="A5" s="83" t="s">
        <v>309</v>
      </c>
      <c r="B5" s="369">
        <v>1</v>
      </c>
      <c r="C5" s="84">
        <v>0</v>
      </c>
      <c r="D5" s="85"/>
      <c r="E5" s="86"/>
      <c r="G5" s="187">
        <v>1400</v>
      </c>
    </row>
    <row r="6" spans="1:7" x14ac:dyDescent="0.3">
      <c r="A6" s="184" t="s">
        <v>368</v>
      </c>
      <c r="B6" s="369">
        <v>1</v>
      </c>
      <c r="C6" s="84">
        <v>0</v>
      </c>
      <c r="D6" s="186"/>
      <c r="E6" s="128"/>
      <c r="F6"/>
      <c r="G6" s="187">
        <v>2300</v>
      </c>
    </row>
    <row r="7" spans="1:7" x14ac:dyDescent="0.3">
      <c r="A7" s="318" t="s">
        <v>270</v>
      </c>
      <c r="B7" s="377">
        <v>1</v>
      </c>
      <c r="C7" s="378">
        <v>0</v>
      </c>
      <c r="D7" s="382"/>
      <c r="E7" s="550"/>
      <c r="F7" s="329"/>
      <c r="G7" s="124">
        <v>500</v>
      </c>
    </row>
    <row r="8" spans="1:7" x14ac:dyDescent="0.3">
      <c r="A8" s="548" t="s">
        <v>383</v>
      </c>
      <c r="B8" s="369">
        <v>1</v>
      </c>
      <c r="C8" s="84">
        <v>0.5</v>
      </c>
      <c r="D8" s="549"/>
      <c r="E8" s="550"/>
      <c r="F8"/>
      <c r="G8" s="124">
        <v>1</v>
      </c>
    </row>
    <row r="9" spans="1:7" x14ac:dyDescent="0.3">
      <c r="A9" s="318" t="s">
        <v>284</v>
      </c>
      <c r="B9" s="369">
        <v>4</v>
      </c>
      <c r="C9" s="84">
        <v>0</v>
      </c>
      <c r="D9" s="382" t="s">
        <v>283</v>
      </c>
      <c r="E9" s="379"/>
      <c r="G9" s="124">
        <f>B9*8</f>
        <v>32</v>
      </c>
    </row>
    <row r="10" spans="1:7" x14ac:dyDescent="0.3">
      <c r="A10" s="83" t="s">
        <v>123</v>
      </c>
      <c r="B10" s="369">
        <v>1</v>
      </c>
      <c r="C10" s="84">
        <v>2</v>
      </c>
      <c r="D10" s="85"/>
      <c r="E10" s="86"/>
      <c r="G10" s="187">
        <v>5</v>
      </c>
    </row>
    <row r="11" spans="1:7" x14ac:dyDescent="0.3">
      <c r="A11" s="83" t="s">
        <v>206</v>
      </c>
      <c r="B11" s="369">
        <v>1</v>
      </c>
      <c r="C11" s="84" t="s">
        <v>207</v>
      </c>
      <c r="D11" s="85"/>
      <c r="E11" s="86"/>
      <c r="G11" s="187" t="s">
        <v>129</v>
      </c>
    </row>
    <row r="12" spans="1:7" ht="16.2" thickBot="1" x14ac:dyDescent="0.35">
      <c r="A12" s="87" t="s">
        <v>188</v>
      </c>
      <c r="B12" s="136">
        <v>1</v>
      </c>
      <c r="C12" s="89">
        <v>1</v>
      </c>
      <c r="D12" s="90"/>
      <c r="E12" s="91"/>
      <c r="G12" s="125">
        <v>25</v>
      </c>
    </row>
    <row r="13" spans="1:7" ht="24" thickTop="1" thickBot="1" x14ac:dyDescent="0.35">
      <c r="A13" s="69" t="s">
        <v>76</v>
      </c>
      <c r="B13" s="69"/>
      <c r="C13" s="92"/>
      <c r="D13" s="69"/>
      <c r="E13" s="93"/>
      <c r="G13" s="126"/>
    </row>
    <row r="14" spans="1:7" ht="16.8" thickTop="1" thickBot="1" x14ac:dyDescent="0.35">
      <c r="A14" s="78" t="s">
        <v>73</v>
      </c>
      <c r="B14" s="78" t="s">
        <v>3</v>
      </c>
      <c r="C14" s="79" t="s">
        <v>21</v>
      </c>
      <c r="D14" s="80" t="s">
        <v>74</v>
      </c>
      <c r="E14" s="81" t="s">
        <v>75</v>
      </c>
      <c r="G14" s="127" t="s">
        <v>121</v>
      </c>
    </row>
    <row r="15" spans="1:7" x14ac:dyDescent="0.3">
      <c r="A15" s="83" t="s">
        <v>192</v>
      </c>
      <c r="B15" s="94">
        <v>0</v>
      </c>
      <c r="C15" s="338">
        <f t="shared" ref="C15:C16" si="0">B15/100</f>
        <v>0</v>
      </c>
      <c r="D15" s="85"/>
      <c r="E15" s="86"/>
      <c r="G15" s="124">
        <f>B15</f>
        <v>0</v>
      </c>
    </row>
    <row r="16" spans="1:7" x14ac:dyDescent="0.3">
      <c r="A16" s="184" t="s">
        <v>327</v>
      </c>
      <c r="B16" s="94">
        <v>0</v>
      </c>
      <c r="C16" s="338">
        <f t="shared" si="0"/>
        <v>0</v>
      </c>
      <c r="D16" s="371"/>
      <c r="E16" s="86"/>
      <c r="G16" s="124">
        <f>B16*5</f>
        <v>0</v>
      </c>
    </row>
    <row r="17" spans="1:8" x14ac:dyDescent="0.3">
      <c r="A17" s="184" t="s">
        <v>228</v>
      </c>
      <c r="B17" s="185">
        <v>1</v>
      </c>
      <c r="C17" s="84">
        <v>1</v>
      </c>
      <c r="D17" s="186"/>
      <c r="E17" s="128"/>
      <c r="G17" s="187">
        <v>110</v>
      </c>
    </row>
    <row r="18" spans="1:8" x14ac:dyDescent="0.3">
      <c r="A18" s="534" t="s">
        <v>373</v>
      </c>
      <c r="B18" s="369">
        <v>1</v>
      </c>
      <c r="C18" s="84">
        <v>0</v>
      </c>
      <c r="D18" s="186"/>
      <c r="E18" s="128"/>
      <c r="F18"/>
      <c r="G18" s="187">
        <v>200</v>
      </c>
    </row>
    <row r="19" spans="1:8" x14ac:dyDescent="0.3">
      <c r="A19" s="184" t="s">
        <v>312</v>
      </c>
      <c r="B19" s="94" t="s">
        <v>243</v>
      </c>
      <c r="C19" s="84">
        <v>1</v>
      </c>
      <c r="D19" s="371"/>
      <c r="E19" s="86"/>
      <c r="G19" s="124">
        <v>50</v>
      </c>
    </row>
    <row r="20" spans="1:8" x14ac:dyDescent="0.3">
      <c r="A20" s="184" t="s">
        <v>247</v>
      </c>
      <c r="B20" s="185">
        <v>1</v>
      </c>
      <c r="C20" s="84">
        <v>5</v>
      </c>
      <c r="D20" s="186" t="s">
        <v>248</v>
      </c>
      <c r="E20" s="128"/>
      <c r="G20" s="187">
        <v>10</v>
      </c>
    </row>
    <row r="21" spans="1:8" x14ac:dyDescent="0.3">
      <c r="A21" s="184" t="s">
        <v>258</v>
      </c>
      <c r="B21" s="185">
        <v>1</v>
      </c>
      <c r="C21" s="84">
        <v>4</v>
      </c>
      <c r="D21" s="186" t="s">
        <v>259</v>
      </c>
      <c r="E21" s="128"/>
      <c r="G21" s="187">
        <v>1</v>
      </c>
    </row>
    <row r="22" spans="1:8" x14ac:dyDescent="0.3">
      <c r="A22" s="184" t="s">
        <v>198</v>
      </c>
      <c r="B22" s="185">
        <v>1</v>
      </c>
      <c r="C22" s="84">
        <v>4</v>
      </c>
      <c r="D22" s="186"/>
      <c r="E22" s="128"/>
      <c r="G22" s="187">
        <v>1</v>
      </c>
    </row>
    <row r="23" spans="1:8" x14ac:dyDescent="0.3">
      <c r="A23" s="184" t="s">
        <v>231</v>
      </c>
      <c r="B23" s="185">
        <v>5</v>
      </c>
      <c r="C23" s="84">
        <v>0</v>
      </c>
      <c r="D23" s="186"/>
      <c r="E23" s="128"/>
      <c r="G23" s="187">
        <f>B23</f>
        <v>5</v>
      </c>
    </row>
    <row r="24" spans="1:8" x14ac:dyDescent="0.3">
      <c r="A24" s="488" t="s">
        <v>278</v>
      </c>
      <c r="B24" s="489">
        <v>1</v>
      </c>
      <c r="C24" s="490">
        <v>20</v>
      </c>
      <c r="D24" s="491"/>
      <c r="E24" s="492"/>
      <c r="G24" s="493">
        <v>10</v>
      </c>
    </row>
    <row r="25" spans="1:8" ht="16.2" thickBot="1" x14ac:dyDescent="0.35">
      <c r="A25" s="87" t="s">
        <v>196</v>
      </c>
      <c r="B25" s="88">
        <v>1</v>
      </c>
      <c r="C25" s="96">
        <v>5</v>
      </c>
      <c r="D25" s="90"/>
      <c r="E25" s="91"/>
      <c r="G25" s="125">
        <v>1</v>
      </c>
      <c r="H25" s="129"/>
    </row>
    <row r="26" spans="1:8" ht="22.8" thickTop="1" thickBot="1" x14ac:dyDescent="0.35">
      <c r="A26" s="375" t="s">
        <v>268</v>
      </c>
      <c r="B26" s="374"/>
      <c r="C26" s="374"/>
      <c r="D26" s="375"/>
      <c r="E26" s="374"/>
      <c r="F26" s="329"/>
      <c r="G26" s="329">
        <v>2000</v>
      </c>
    </row>
    <row r="27" spans="1:8" ht="16.8" thickTop="1" thickBot="1" x14ac:dyDescent="0.35">
      <c r="A27" s="78" t="s">
        <v>73</v>
      </c>
      <c r="B27" s="78" t="s">
        <v>3</v>
      </c>
      <c r="C27" s="79" t="s">
        <v>21</v>
      </c>
      <c r="D27" s="80" t="s">
        <v>74</v>
      </c>
      <c r="E27" s="81" t="s">
        <v>75</v>
      </c>
      <c r="G27" s="127" t="s">
        <v>121</v>
      </c>
    </row>
    <row r="28" spans="1:8" x14ac:dyDescent="0.3">
      <c r="A28" s="184" t="s">
        <v>232</v>
      </c>
      <c r="B28" s="94">
        <v>1</v>
      </c>
      <c r="C28" s="95">
        <v>5</v>
      </c>
      <c r="D28" s="371"/>
      <c r="E28" s="86"/>
      <c r="G28" s="187">
        <v>10</v>
      </c>
    </row>
    <row r="29" spans="1:8" x14ac:dyDescent="0.3">
      <c r="A29" s="184" t="s">
        <v>328</v>
      </c>
      <c r="B29" s="94">
        <v>1</v>
      </c>
      <c r="C29" s="95">
        <v>1</v>
      </c>
      <c r="D29" s="186" t="s">
        <v>329</v>
      </c>
      <c r="E29" s="86"/>
      <c r="G29" s="187">
        <v>1</v>
      </c>
    </row>
    <row r="30" spans="1:8" x14ac:dyDescent="0.3">
      <c r="A30" s="184" t="s">
        <v>330</v>
      </c>
      <c r="B30" s="94">
        <v>1</v>
      </c>
      <c r="C30" s="95">
        <v>0.5</v>
      </c>
      <c r="D30" s="186"/>
      <c r="E30" s="86"/>
      <c r="G30" s="187">
        <v>1</v>
      </c>
    </row>
    <row r="31" spans="1:8" x14ac:dyDescent="0.3">
      <c r="A31" s="184" t="s">
        <v>331</v>
      </c>
      <c r="B31" s="94">
        <v>12</v>
      </c>
      <c r="C31" s="95">
        <f>B31/12</f>
        <v>1</v>
      </c>
      <c r="D31" s="186" t="s">
        <v>332</v>
      </c>
      <c r="E31" s="86"/>
      <c r="G31" s="187">
        <f>B31/12</f>
        <v>1</v>
      </c>
    </row>
    <row r="32" spans="1:8" x14ac:dyDescent="0.3">
      <c r="A32" s="184" t="s">
        <v>352</v>
      </c>
      <c r="B32" s="185">
        <v>1</v>
      </c>
      <c r="C32" s="84">
        <v>0</v>
      </c>
      <c r="D32" s="186" t="s">
        <v>353</v>
      </c>
      <c r="E32" s="128"/>
      <c r="F32"/>
      <c r="G32" s="372">
        <v>0</v>
      </c>
      <c r="H32" s="129"/>
    </row>
    <row r="33" spans="1:8" x14ac:dyDescent="0.3">
      <c r="A33" s="184" t="s">
        <v>195</v>
      </c>
      <c r="B33" s="185">
        <v>2</v>
      </c>
      <c r="C33" s="84">
        <f>B33/10</f>
        <v>0.2</v>
      </c>
      <c r="D33" s="186"/>
      <c r="E33" s="128"/>
      <c r="G33" s="187">
        <f>50*B33</f>
        <v>100</v>
      </c>
      <c r="H33" s="129"/>
    </row>
    <row r="34" spans="1:8" x14ac:dyDescent="0.3">
      <c r="A34" s="184" t="s">
        <v>385</v>
      </c>
      <c r="B34" s="185">
        <v>10</v>
      </c>
      <c r="C34" s="84">
        <f>B34*0.1</f>
        <v>1</v>
      </c>
      <c r="D34" s="186"/>
      <c r="E34" s="128"/>
      <c r="G34" s="187">
        <v>0</v>
      </c>
      <c r="H34" s="129"/>
    </row>
    <row r="35" spans="1:8" x14ac:dyDescent="0.3">
      <c r="A35" s="184" t="s">
        <v>194</v>
      </c>
      <c r="B35" s="185">
        <v>4</v>
      </c>
      <c r="C35" s="84">
        <v>0</v>
      </c>
      <c r="D35" s="186"/>
      <c r="E35" s="128"/>
      <c r="G35" s="187">
        <v>0</v>
      </c>
      <c r="H35" s="129"/>
    </row>
    <row r="36" spans="1:8" x14ac:dyDescent="0.3">
      <c r="A36" s="184" t="s">
        <v>360</v>
      </c>
      <c r="B36" s="185">
        <v>1</v>
      </c>
      <c r="C36" s="84">
        <v>3</v>
      </c>
      <c r="D36" s="186" t="s">
        <v>191</v>
      </c>
      <c r="E36" s="128"/>
      <c r="G36" s="187">
        <v>15</v>
      </c>
      <c r="H36" s="129"/>
    </row>
    <row r="37" spans="1:8" x14ac:dyDescent="0.3">
      <c r="A37" s="184" t="s">
        <v>361</v>
      </c>
      <c r="B37" s="185">
        <v>1</v>
      </c>
      <c r="C37" s="84">
        <v>3</v>
      </c>
      <c r="D37" s="186" t="s">
        <v>191</v>
      </c>
      <c r="E37" s="128"/>
      <c r="G37" s="187">
        <v>15</v>
      </c>
      <c r="H37" s="129"/>
    </row>
    <row r="38" spans="1:8" x14ac:dyDescent="0.3">
      <c r="A38" s="184" t="s">
        <v>230</v>
      </c>
      <c r="B38" s="185">
        <v>1</v>
      </c>
      <c r="C38" s="84">
        <v>1</v>
      </c>
      <c r="D38" s="186"/>
      <c r="E38" s="128"/>
      <c r="G38" s="187">
        <v>30</v>
      </c>
      <c r="H38" s="129"/>
    </row>
    <row r="39" spans="1:8" x14ac:dyDescent="0.3">
      <c r="A39" s="184" t="s">
        <v>229</v>
      </c>
      <c r="B39" s="185">
        <v>1</v>
      </c>
      <c r="C39" s="84">
        <v>4</v>
      </c>
      <c r="D39" s="186"/>
      <c r="E39" s="128"/>
      <c r="G39" s="187">
        <v>50</v>
      </c>
      <c r="H39" s="129"/>
    </row>
    <row r="40" spans="1:8" x14ac:dyDescent="0.3">
      <c r="A40" s="184" t="s">
        <v>263</v>
      </c>
      <c r="B40" s="185">
        <v>1</v>
      </c>
      <c r="C40" s="84">
        <v>5</v>
      </c>
      <c r="D40" s="186"/>
      <c r="E40" s="128"/>
      <c r="G40" s="187">
        <v>80</v>
      </c>
      <c r="H40" s="129"/>
    </row>
    <row r="41" spans="1:8" x14ac:dyDescent="0.3">
      <c r="A41" s="184" t="s">
        <v>264</v>
      </c>
      <c r="B41" s="185">
        <v>1</v>
      </c>
      <c r="C41" s="84">
        <v>1</v>
      </c>
      <c r="D41" s="186"/>
      <c r="E41" s="128"/>
      <c r="G41" s="187">
        <v>50</v>
      </c>
      <c r="H41" s="129"/>
    </row>
    <row r="42" spans="1:8" x14ac:dyDescent="0.3">
      <c r="A42" s="184" t="s">
        <v>260</v>
      </c>
      <c r="B42" s="185">
        <v>1</v>
      </c>
      <c r="C42" s="84">
        <v>1</v>
      </c>
      <c r="D42" s="186"/>
      <c r="E42" s="128"/>
      <c r="G42" s="187">
        <v>25</v>
      </c>
      <c r="H42" s="129"/>
    </row>
    <row r="43" spans="1:8" x14ac:dyDescent="0.3">
      <c r="A43" s="184" t="s">
        <v>261</v>
      </c>
      <c r="B43" s="185">
        <v>1</v>
      </c>
      <c r="C43" s="84">
        <v>2</v>
      </c>
      <c r="D43" s="186"/>
      <c r="E43" s="128"/>
      <c r="G43" s="187">
        <v>15</v>
      </c>
      <c r="H43" s="129"/>
    </row>
    <row r="44" spans="1:8" x14ac:dyDescent="0.3">
      <c r="A44" s="184" t="s">
        <v>285</v>
      </c>
      <c r="B44" s="185">
        <v>1</v>
      </c>
      <c r="C44" s="84">
        <v>0.5</v>
      </c>
      <c r="D44" s="186"/>
      <c r="E44" s="128"/>
      <c r="G44" s="187">
        <v>20</v>
      </c>
      <c r="H44" s="129"/>
    </row>
    <row r="45" spans="1:8" x14ac:dyDescent="0.3">
      <c r="A45" s="184" t="s">
        <v>282</v>
      </c>
      <c r="B45" s="185">
        <v>1</v>
      </c>
      <c r="C45" s="84">
        <v>0</v>
      </c>
      <c r="D45" s="186"/>
      <c r="E45" s="128"/>
      <c r="G45" s="187">
        <v>1</v>
      </c>
      <c r="H45" s="129"/>
    </row>
    <row r="46" spans="1:8" x14ac:dyDescent="0.3">
      <c r="A46" s="184" t="s">
        <v>286</v>
      </c>
      <c r="B46" s="185">
        <v>1</v>
      </c>
      <c r="C46" s="84">
        <v>0.5</v>
      </c>
      <c r="D46" s="186"/>
      <c r="E46" s="128"/>
      <c r="G46" s="370">
        <f>B46/10</f>
        <v>0.1</v>
      </c>
      <c r="H46" s="129"/>
    </row>
    <row r="47" spans="1:8" x14ac:dyDescent="0.3">
      <c r="A47" s="184" t="s">
        <v>227</v>
      </c>
      <c r="B47" s="185">
        <v>2</v>
      </c>
      <c r="C47" s="84">
        <f>B47</f>
        <v>2</v>
      </c>
      <c r="D47" s="186"/>
      <c r="E47" s="128"/>
      <c r="F47"/>
      <c r="G47" s="187">
        <f>25*B47</f>
        <v>50</v>
      </c>
      <c r="H47" s="129"/>
    </row>
    <row r="48" spans="1:8" x14ac:dyDescent="0.3">
      <c r="A48" s="184" t="s">
        <v>349</v>
      </c>
      <c r="B48" s="185">
        <v>1</v>
      </c>
      <c r="C48" s="84">
        <v>0</v>
      </c>
      <c r="D48" s="186" t="s">
        <v>350</v>
      </c>
      <c r="E48" s="128"/>
      <c r="F48"/>
      <c r="G48" s="372">
        <v>0</v>
      </c>
      <c r="H48" s="129"/>
    </row>
    <row r="49" spans="1:8" x14ac:dyDescent="0.3">
      <c r="A49" s="184" t="s">
        <v>351</v>
      </c>
      <c r="B49" s="185">
        <v>1</v>
      </c>
      <c r="C49" s="84">
        <v>0</v>
      </c>
      <c r="D49" s="186"/>
      <c r="E49" s="128"/>
      <c r="F49"/>
      <c r="G49" s="372">
        <v>0</v>
      </c>
      <c r="H49" s="129"/>
    </row>
    <row r="50" spans="1:8" x14ac:dyDescent="0.3">
      <c r="A50" s="184" t="s">
        <v>279</v>
      </c>
      <c r="B50" s="94">
        <v>1</v>
      </c>
      <c r="C50" s="95">
        <v>5</v>
      </c>
      <c r="D50" s="371"/>
      <c r="E50" s="86"/>
      <c r="G50" s="187">
        <v>4</v>
      </c>
    </row>
    <row r="51" spans="1:8" x14ac:dyDescent="0.3">
      <c r="A51" s="184" t="s">
        <v>280</v>
      </c>
      <c r="B51" s="94">
        <v>1</v>
      </c>
      <c r="C51" s="95">
        <v>5</v>
      </c>
      <c r="D51" s="371"/>
      <c r="E51" s="86"/>
      <c r="G51" s="187">
        <v>2</v>
      </c>
    </row>
    <row r="52" spans="1:8" x14ac:dyDescent="0.3">
      <c r="A52" s="184" t="s">
        <v>281</v>
      </c>
      <c r="B52" s="94">
        <v>1</v>
      </c>
      <c r="C52" s="95">
        <v>2</v>
      </c>
      <c r="D52" s="371"/>
      <c r="E52" s="86"/>
      <c r="G52" s="370">
        <v>0.5</v>
      </c>
    </row>
    <row r="53" spans="1:8" x14ac:dyDescent="0.3">
      <c r="A53" s="184" t="s">
        <v>233</v>
      </c>
      <c r="B53" s="94">
        <v>1</v>
      </c>
      <c r="C53" s="95">
        <v>1</v>
      </c>
      <c r="D53" s="371"/>
      <c r="E53" s="86"/>
      <c r="G53" s="187">
        <v>1</v>
      </c>
    </row>
    <row r="54" spans="1:8" x14ac:dyDescent="0.3">
      <c r="A54" s="184" t="s">
        <v>234</v>
      </c>
      <c r="B54" s="94">
        <v>1</v>
      </c>
      <c r="C54" s="95">
        <v>1</v>
      </c>
      <c r="D54" s="371"/>
      <c r="E54" s="86"/>
      <c r="G54" s="372">
        <f>6*0.05</f>
        <v>0.30000000000000004</v>
      </c>
    </row>
    <row r="55" spans="1:8" x14ac:dyDescent="0.3">
      <c r="A55" s="184" t="s">
        <v>193</v>
      </c>
      <c r="B55" s="185">
        <v>4</v>
      </c>
      <c r="C55" s="84">
        <f>B55/10</f>
        <v>0.4</v>
      </c>
      <c r="D55" s="186"/>
      <c r="E55" s="128"/>
      <c r="G55" s="187">
        <f>8*B55</f>
        <v>32</v>
      </c>
      <c r="H55" s="129"/>
    </row>
    <row r="56" spans="1:8" x14ac:dyDescent="0.3">
      <c r="A56" s="184" t="s">
        <v>235</v>
      </c>
      <c r="B56" s="94">
        <v>20</v>
      </c>
      <c r="C56" s="338">
        <f>B56/1000</f>
        <v>0.02</v>
      </c>
      <c r="D56" s="371"/>
      <c r="E56" s="86"/>
      <c r="G56" s="370">
        <f>0.5*B56</f>
        <v>10</v>
      </c>
    </row>
    <row r="57" spans="1:8" x14ac:dyDescent="0.3">
      <c r="A57" s="184" t="s">
        <v>197</v>
      </c>
      <c r="B57" s="94">
        <v>1</v>
      </c>
      <c r="C57" s="95">
        <v>3</v>
      </c>
      <c r="D57" s="371"/>
      <c r="E57" s="86"/>
      <c r="G57" s="187">
        <v>0.5</v>
      </c>
    </row>
    <row r="58" spans="1:8" x14ac:dyDescent="0.3">
      <c r="A58" s="184" t="s">
        <v>199</v>
      </c>
      <c r="B58" s="94">
        <v>1</v>
      </c>
      <c r="C58" s="95">
        <v>5</v>
      </c>
      <c r="D58" s="371"/>
      <c r="E58" s="86"/>
      <c r="G58" s="187">
        <v>55</v>
      </c>
    </row>
    <row r="59" spans="1:8" x14ac:dyDescent="0.3">
      <c r="A59" s="184" t="s">
        <v>200</v>
      </c>
      <c r="B59" s="94">
        <v>10</v>
      </c>
      <c r="C59" s="95">
        <f>B59</f>
        <v>10</v>
      </c>
      <c r="D59" s="371"/>
      <c r="E59" s="86"/>
      <c r="G59" s="187">
        <f>B59</f>
        <v>10</v>
      </c>
    </row>
    <row r="60" spans="1:8" x14ac:dyDescent="0.3">
      <c r="A60" s="184" t="s">
        <v>201</v>
      </c>
      <c r="B60" s="185">
        <v>5</v>
      </c>
      <c r="C60" s="84">
        <f>B60</f>
        <v>5</v>
      </c>
      <c r="D60" s="186"/>
      <c r="E60" s="128"/>
      <c r="G60" s="370">
        <f>B60/20</f>
        <v>0.25</v>
      </c>
    </row>
    <row r="61" spans="1:8" x14ac:dyDescent="0.3">
      <c r="A61" s="184" t="s">
        <v>202</v>
      </c>
      <c r="B61" s="94">
        <v>1</v>
      </c>
      <c r="C61" s="95">
        <v>0</v>
      </c>
      <c r="D61" s="371"/>
      <c r="E61" s="86"/>
      <c r="G61" s="370">
        <v>0.1</v>
      </c>
    </row>
    <row r="62" spans="1:8" x14ac:dyDescent="0.3">
      <c r="A62" s="184" t="s">
        <v>203</v>
      </c>
      <c r="B62" s="94">
        <v>1</v>
      </c>
      <c r="C62" s="95">
        <v>10</v>
      </c>
      <c r="D62" s="371"/>
      <c r="E62" s="86"/>
      <c r="G62" s="187">
        <v>5</v>
      </c>
    </row>
    <row r="63" spans="1:8" x14ac:dyDescent="0.3">
      <c r="A63" s="184" t="s">
        <v>204</v>
      </c>
      <c r="B63" s="185">
        <v>1</v>
      </c>
      <c r="C63" s="84">
        <v>10</v>
      </c>
      <c r="D63" s="186"/>
      <c r="E63" s="128"/>
      <c r="G63" s="187">
        <v>1</v>
      </c>
    </row>
    <row r="64" spans="1:8" x14ac:dyDescent="0.3">
      <c r="A64" s="184" t="s">
        <v>205</v>
      </c>
      <c r="B64" s="185">
        <v>1</v>
      </c>
      <c r="C64" s="84">
        <v>8</v>
      </c>
      <c r="D64" s="186"/>
      <c r="E64" s="128"/>
      <c r="G64" s="187">
        <v>2</v>
      </c>
    </row>
    <row r="65" spans="1:7" x14ac:dyDescent="0.3">
      <c r="A65" s="184" t="s">
        <v>208</v>
      </c>
      <c r="B65" s="185">
        <v>1</v>
      </c>
      <c r="C65" s="84">
        <v>4</v>
      </c>
      <c r="D65" s="186"/>
      <c r="E65" s="128"/>
      <c r="G65" s="187">
        <v>1</v>
      </c>
    </row>
    <row r="66" spans="1:7" x14ac:dyDescent="0.3">
      <c r="A66" s="184" t="s">
        <v>128</v>
      </c>
      <c r="B66" s="185">
        <v>1</v>
      </c>
      <c r="C66" s="84">
        <v>5</v>
      </c>
      <c r="D66" s="186" t="s">
        <v>209</v>
      </c>
      <c r="E66" s="128"/>
      <c r="G66" s="187">
        <v>2</v>
      </c>
    </row>
    <row r="67" spans="1:7" x14ac:dyDescent="0.3">
      <c r="A67" s="184" t="s">
        <v>128</v>
      </c>
      <c r="B67" s="185">
        <v>1</v>
      </c>
      <c r="C67" s="84">
        <v>5</v>
      </c>
      <c r="D67" s="186" t="s">
        <v>210</v>
      </c>
      <c r="E67" s="128"/>
      <c r="G67" s="187">
        <v>2</v>
      </c>
    </row>
    <row r="68" spans="1:7" ht="16.2" thickBot="1" x14ac:dyDescent="0.35">
      <c r="A68" s="87" t="s">
        <v>211</v>
      </c>
      <c r="B68" s="88">
        <v>5</v>
      </c>
      <c r="C68" s="96">
        <f>B68</f>
        <v>5</v>
      </c>
      <c r="D68" s="90"/>
      <c r="E68" s="91"/>
      <c r="G68" s="327">
        <f>B68/2</f>
        <v>2.5</v>
      </c>
    </row>
    <row r="69" spans="1:7" ht="16.8" thickTop="1" thickBot="1" x14ac:dyDescent="0.35">
      <c r="A69" s="328" t="s">
        <v>269</v>
      </c>
      <c r="B69" s="376">
        <f>C69/120</f>
        <v>0.96766666666666667</v>
      </c>
      <c r="C69" s="79">
        <f>SUM(C28:C68)</f>
        <v>116.12</v>
      </c>
    </row>
    <row r="70" spans="1:7" x14ac:dyDescent="0.3">
      <c r="E70" s="55" t="s">
        <v>124</v>
      </c>
      <c r="G70" s="373">
        <f>SUM(G3:G68,Martial!M3:M51)</f>
        <v>39662.25</v>
      </c>
    </row>
    <row r="71" spans="1:7" x14ac:dyDescent="0.3">
      <c r="E71" s="55" t="s">
        <v>267</v>
      </c>
      <c r="G71" s="373">
        <v>66000</v>
      </c>
    </row>
  </sheetData>
  <sortState xmlns:xlrd2="http://schemas.microsoft.com/office/spreadsheetml/2017/richdata2" ref="A13:G19">
    <sortCondition ref="A13:A19"/>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Personal File</vt:lpstr>
      <vt:lpstr>Skills</vt:lpstr>
      <vt:lpstr>Invocations</vt:lpstr>
      <vt:lpstr>Spells</vt:lpstr>
      <vt:lpstr>Spellcasting</vt:lpstr>
      <vt:lpstr>Feats</vt:lpstr>
      <vt:lpstr>Martial</vt:lpstr>
      <vt:lpstr>Equipment</vt:lpstr>
      <vt:lpstr>Invocations!Print_Area</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2023-11-17T13:10:43Z</dcterms:modified>
</cp:coreProperties>
</file>