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A\Jue\FoL\Used\Characters\"/>
    </mc:Choice>
  </mc:AlternateContent>
  <xr:revisionPtr revIDLastSave="0" documentId="13_ncr:1_{7951BBE7-3136-450D-B3E2-4C13CD09421B}"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18" r:id="rId3"/>
    <sheet name="Feats" sheetId="26" r:id="rId4"/>
    <sheet name="Martial" sheetId="6" r:id="rId5"/>
    <sheet name="Equipment" sheetId="19" r:id="rId6"/>
    <sheet name="XP Awards" sheetId="28" r:id="rId7"/>
  </sheets>
  <externalReferences>
    <externalReference r:id="rId8"/>
  </externalReferences>
  <definedNames>
    <definedName name="NoShade">'[1]Spell Sheet'!$FH$1</definedName>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File'!$A$1:$H$40</definedName>
    <definedName name="_xlnm.Print_Area" localSheetId="1">Skills!$A$1:$K$29</definedName>
    <definedName name="_xlnm.Print_Area" localSheetId="2">Spells!$A$1:$H$11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5" i="19" l="1"/>
  <c r="C47" i="19"/>
  <c r="C46" i="19"/>
  <c r="C43" i="19"/>
  <c r="C56" i="19" s="1"/>
  <c r="B56" i="19" s="1"/>
  <c r="C30" i="19"/>
  <c r="C14" i="19"/>
  <c r="C13" i="19"/>
  <c r="C12" i="19"/>
  <c r="B10" i="4" l="1"/>
  <c r="K7" i="26" l="1"/>
  <c r="J7" i="26"/>
  <c r="I7" i="26"/>
  <c r="H7" i="26"/>
  <c r="G7" i="26"/>
  <c r="F7" i="26"/>
  <c r="E7" i="26"/>
  <c r="D7" i="26"/>
  <c r="C7" i="26"/>
  <c r="B7" i="26"/>
  <c r="G6" i="19" l="1"/>
  <c r="G28" i="19"/>
  <c r="G32" i="19"/>
  <c r="G43" i="19"/>
  <c r="B8" i="4"/>
  <c r="E9" i="4" l="1"/>
  <c r="B5" i="15" l="1"/>
  <c r="B4" i="15"/>
  <c r="B3" i="15"/>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7" i="15"/>
  <c r="E12" i="4"/>
  <c r="D25" i="15"/>
  <c r="E25" i="15" s="1"/>
  <c r="E49" i="15"/>
  <c r="F5" i="15"/>
  <c r="G25" i="15" l="1"/>
  <c r="I25" i="15" s="1"/>
  <c r="M27" i="6" l="1"/>
  <c r="M28" i="6"/>
  <c r="F9" i="15" l="1"/>
  <c r="E48" i="15" l="1"/>
  <c r="G47" i="19"/>
  <c r="G30" i="19"/>
  <c r="D6" i="26" l="1"/>
  <c r="D3" i="6" l="1"/>
  <c r="B19" i="6"/>
  <c r="B44" i="15" l="1"/>
  <c r="E47" i="15"/>
  <c r="F41" i="15" l="1"/>
  <c r="I3" i="6"/>
  <c r="G41" i="19" l="1"/>
  <c r="I4" i="6"/>
  <c r="G31" i="19"/>
  <c r="E46" i="15" l="1"/>
  <c r="C7" i="28" l="1"/>
  <c r="B11" i="28" s="1"/>
  <c r="B13" i="28" s="1"/>
  <c r="B15" i="28" s="1"/>
  <c r="B1" i="28" l="1"/>
  <c r="M24" i="6" l="1"/>
  <c r="G24" i="6"/>
  <c r="F28" i="15" l="1"/>
  <c r="F35" i="15"/>
  <c r="F23" i="15"/>
  <c r="F21" i="15"/>
  <c r="F16" i="15"/>
  <c r="F7" i="15"/>
  <c r="G55" i="19" l="1"/>
  <c r="G46" i="19"/>
  <c r="G13" i="19"/>
  <c r="G14" i="19"/>
  <c r="G57" i="19" s="1"/>
  <c r="E11" i="4"/>
  <c r="G12" i="19"/>
  <c r="I15" i="6"/>
  <c r="I14" i="6"/>
  <c r="I7" i="6"/>
  <c r="I6" i="6"/>
  <c r="I5" i="6"/>
  <c r="H8" i="15" l="1"/>
  <c r="J6" i="26" l="1"/>
  <c r="I6" i="26"/>
  <c r="D10" i="26" l="1"/>
  <c r="H6" i="26" l="1"/>
  <c r="G6" i="26"/>
  <c r="E50" i="15" l="1"/>
  <c r="H3" i="15" l="1"/>
  <c r="H4" i="15"/>
  <c r="H5" i="15"/>
  <c r="I13" i="6" l="1"/>
  <c r="I16" i="6" l="1"/>
  <c r="I12" i="6"/>
  <c r="I9" i="6"/>
  <c r="H12" i="6" l="1"/>
  <c r="J12" i="6" s="1"/>
  <c r="F6" i="26" l="1"/>
  <c r="I8" i="6" l="1"/>
  <c r="E6" i="26" l="1"/>
  <c r="B6" i="26" l="1"/>
  <c r="C6" i="26"/>
  <c r="K6" i="26"/>
  <c r="C15" i="4" l="1"/>
  <c r="C14" i="4"/>
  <c r="C13" i="4"/>
  <c r="C12" i="4"/>
  <c r="C11" i="4"/>
  <c r="C10" i="4"/>
  <c r="H3" i="6" l="1"/>
  <c r="J3" i="6" s="1"/>
  <c r="C3" i="6"/>
  <c r="C7" i="6"/>
  <c r="C4" i="6"/>
  <c r="C6" i="6"/>
  <c r="C5" i="6"/>
  <c r="H6" i="6"/>
  <c r="J6" i="6" s="1"/>
  <c r="H5" i="6"/>
  <c r="J5" i="6" s="1"/>
  <c r="H4" i="6"/>
  <c r="J4" i="6" s="1"/>
  <c r="H7" i="6"/>
  <c r="J7" i="6" s="1"/>
  <c r="H8" i="6"/>
  <c r="J8" i="6" s="1"/>
  <c r="B9" i="4"/>
  <c r="H15" i="6"/>
  <c r="J15" i="6" s="1"/>
  <c r="H14" i="6"/>
  <c r="J14" i="6" s="1"/>
  <c r="E13" i="4"/>
  <c r="E15" i="4" s="1"/>
  <c r="E14" i="4" s="1"/>
  <c r="D3" i="15"/>
  <c r="D10" i="15"/>
  <c r="E10" i="15" s="1"/>
  <c r="D4" i="15"/>
  <c r="D21" i="15"/>
  <c r="E21" i="15" s="1"/>
  <c r="D35" i="15"/>
  <c r="E35" i="15" s="1"/>
  <c r="D7" i="15"/>
  <c r="E7" i="15" s="1"/>
  <c r="D28" i="15"/>
  <c r="E28" i="15" s="1"/>
  <c r="D41" i="15"/>
  <c r="E41" i="15" s="1"/>
  <c r="D29" i="15"/>
  <c r="E29" i="15" s="1"/>
  <c r="D43" i="15"/>
  <c r="E43" i="15" s="1"/>
  <c r="D16" i="15"/>
  <c r="E16" i="15" s="1"/>
  <c r="D32" i="15"/>
  <c r="E32" i="15" s="1"/>
  <c r="D8" i="15"/>
  <c r="E8" i="15" s="1"/>
  <c r="D22" i="15"/>
  <c r="E22" i="15" s="1"/>
  <c r="D18" i="15"/>
  <c r="E18" i="15" s="1"/>
  <c r="D15" i="15"/>
  <c r="E15" i="15" s="1"/>
  <c r="D13" i="15"/>
  <c r="E13" i="15" s="1"/>
  <c r="D19" i="15"/>
  <c r="E19" i="15" s="1"/>
  <c r="D30" i="15"/>
  <c r="E30" i="15" s="1"/>
  <c r="D42" i="15"/>
  <c r="E42" i="15" s="1"/>
  <c r="J9" i="6"/>
  <c r="D34" i="15"/>
  <c r="E34" i="15" s="1"/>
  <c r="D5" i="15"/>
  <c r="D31" i="15"/>
  <c r="E31" i="15" s="1"/>
  <c r="D20" i="15"/>
  <c r="E20" i="15" s="1"/>
  <c r="D39" i="15"/>
  <c r="E39" i="15" s="1"/>
  <c r="D27" i="15"/>
  <c r="E27" i="15" s="1"/>
  <c r="D38" i="15"/>
  <c r="E38" i="15" s="1"/>
  <c r="D23" i="15"/>
  <c r="E23" i="15" s="1"/>
  <c r="D40" i="15"/>
  <c r="E40" i="15" s="1"/>
  <c r="D9" i="15"/>
  <c r="E9" i="15" s="1"/>
  <c r="E45" i="15"/>
  <c r="D6" i="15"/>
  <c r="E6" i="15" s="1"/>
  <c r="D14" i="15"/>
  <c r="E14" i="15" s="1"/>
  <c r="D26" i="15"/>
  <c r="E26" i="15" s="1"/>
  <c r="D11" i="15"/>
  <c r="E11" i="15" s="1"/>
  <c r="D24" i="15"/>
  <c r="E24" i="15" s="1"/>
  <c r="D17" i="15"/>
  <c r="E17" i="15" s="1"/>
  <c r="D37" i="15"/>
  <c r="E37" i="15" s="1"/>
  <c r="D12" i="15"/>
  <c r="E12" i="15" s="1"/>
  <c r="D36" i="15"/>
  <c r="E36" i="15" s="1"/>
  <c r="D33" i="15"/>
  <c r="E33" i="15" s="1"/>
  <c r="C8" i="6"/>
  <c r="H13" i="6"/>
  <c r="J13" i="6" s="1"/>
  <c r="H16" i="6"/>
  <c r="J16" i="6" s="1"/>
  <c r="H43" i="15"/>
  <c r="H6" i="15"/>
  <c r="E3" i="15" l="1"/>
  <c r="G3" i="15"/>
  <c r="I3" i="15" s="1"/>
  <c r="E4" i="15"/>
  <c r="G4" i="15"/>
  <c r="I4" i="15" s="1"/>
  <c r="E44" i="15"/>
  <c r="E5" i="15"/>
  <c r="G5" i="15"/>
  <c r="I5" i="15" s="1"/>
  <c r="G26" i="15"/>
  <c r="I26" i="15" s="1"/>
  <c r="G24" i="15" l="1"/>
  <c r="I24" i="15" l="1"/>
  <c r="G31" i="15" l="1"/>
  <c r="G8" i="15" l="1"/>
  <c r="G6" i="15"/>
  <c r="I6" i="15" s="1"/>
  <c r="G10" i="15"/>
  <c r="G16" i="15"/>
  <c r="G21" i="15"/>
  <c r="G28" i="15"/>
  <c r="I28" i="15" s="1"/>
  <c r="G43" i="15"/>
  <c r="G29" i="15"/>
  <c r="I29" i="15" s="1"/>
  <c r="G38" i="15"/>
  <c r="G19" i="15"/>
  <c r="G7" i="15"/>
  <c r="G17" i="15"/>
  <c r="G22" i="15"/>
  <c r="I31" i="15"/>
  <c r="G30" i="15"/>
  <c r="I30" i="15" s="1"/>
  <c r="G12" i="15"/>
  <c r="G42" i="15"/>
  <c r="G41" i="15"/>
  <c r="G37" i="15"/>
  <c r="G13" i="15"/>
  <c r="I13" i="15" s="1"/>
  <c r="G18" i="15"/>
  <c r="G23" i="15"/>
  <c r="G32" i="15"/>
  <c r="G14" i="15"/>
  <c r="G33" i="15"/>
  <c r="G36" i="15"/>
  <c r="G11" i="15"/>
  <c r="I11" i="15" s="1"/>
  <c r="G9" i="15"/>
  <c r="G15" i="15"/>
  <c r="G20" i="15"/>
  <c r="G27" i="15"/>
  <c r="G34" i="15"/>
  <c r="I34" i="15" s="1"/>
  <c r="G35" i="15"/>
  <c r="G40" i="15"/>
  <c r="I40" i="15" s="1"/>
  <c r="G39" i="15"/>
  <c r="I36" i="15" l="1"/>
  <c r="I12" i="15"/>
  <c r="I41" i="15"/>
  <c r="I9" i="15"/>
  <c r="I23" i="15"/>
  <c r="I7" i="15"/>
  <c r="I27" i="15"/>
  <c r="I15" i="15"/>
  <c r="I32" i="15"/>
  <c r="I18" i="15"/>
  <c r="I17" i="15"/>
  <c r="I19" i="15"/>
  <c r="I16" i="15"/>
  <c r="I39" i="15"/>
  <c r="I35" i="15"/>
  <c r="I14" i="15"/>
  <c r="I42" i="15"/>
  <c r="I43" i="15"/>
  <c r="I21" i="15"/>
  <c r="I33" i="15"/>
  <c r="I37" i="15"/>
  <c r="I20" i="15"/>
  <c r="I38"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F9F071BE-64E9-4879-8C80-9D8FE6D282C5}">
      <text>
        <r>
          <rPr>
            <i/>
            <sz val="12"/>
            <color indexed="81"/>
            <rFont val="Times New Roman"/>
            <family val="1"/>
          </rPr>
          <t>divine favor +1</t>
        </r>
      </text>
    </comment>
    <comment ref="C9" authorId="0" shapeId="0" xr:uid="{23C0A8AD-8B24-4DB4-98ED-1E592103C21C}">
      <text>
        <r>
          <rPr>
            <sz val="12"/>
            <color indexed="81"/>
            <rFont val="Times New Roman"/>
            <family val="1"/>
          </rPr>
          <t>Blooded +2</t>
        </r>
      </text>
    </comment>
    <comment ref="E9" authorId="0" shapeId="0" xr:uid="{E2A29F90-BB32-41DF-B827-2AE785BCC8A3}">
      <text>
        <r>
          <rPr>
            <sz val="12"/>
            <color indexed="81"/>
            <rFont val="Times New Roman"/>
            <family val="1"/>
          </rPr>
          <t>Next level at 15,000 XPs</t>
        </r>
      </text>
    </comment>
    <comment ref="B10" authorId="0" shapeId="0" xr:uid="{23F6553F-6567-4A45-A0E8-EDCC3FD3CB9C}">
      <text>
        <r>
          <rPr>
            <i/>
            <sz val="12"/>
            <color indexed="81"/>
            <rFont val="Times New Roman"/>
            <family val="1"/>
          </rPr>
          <t>bull’s strength +4</t>
        </r>
      </text>
    </comment>
    <comment ref="E10" authorId="0" shapeId="0" xr:uid="{3324F809-5ADA-43FE-9A0F-B1F163200CC0}">
      <text>
        <r>
          <rPr>
            <sz val="12"/>
            <color indexed="81"/>
            <rFont val="Times New Roman"/>
            <family val="1"/>
          </rPr>
          <t>See PHB 162</t>
        </r>
      </text>
    </comment>
    <comment ref="E12" authorId="0" shapeId="0" xr:uid="{00000000-0006-0000-0000-000004000000}">
      <text>
        <r>
          <rPr>
            <sz val="12"/>
            <color indexed="81"/>
            <rFont val="Times New Roman"/>
            <family val="1"/>
          </rPr>
          <t>[(4 * 8 Favored Soul) * 75%]
+[(1 * 10 Crusader) * 75%]
+ (5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78CF1BD1-2079-40BD-B440-C41AA81BC586}">
      <text>
        <r>
          <rPr>
            <sz val="12"/>
            <color indexed="81"/>
            <rFont val="Times New Roman"/>
            <family val="1"/>
          </rPr>
          <t>Cloak of Resistance +1</t>
        </r>
      </text>
    </comment>
    <comment ref="F4" authorId="0" shapeId="0" xr:uid="{84F31A42-137A-4671-B7F4-42F99AFEE29E}">
      <text>
        <r>
          <rPr>
            <sz val="12"/>
            <color indexed="81"/>
            <rFont val="Times New Roman"/>
            <family val="1"/>
          </rPr>
          <t>Cloak of Resistance +1</t>
        </r>
      </text>
    </comment>
    <comment ref="F5" authorId="0" shapeId="0" xr:uid="{11FFC983-5D43-456B-B24F-8ADA95F998E4}">
      <text>
        <r>
          <rPr>
            <sz val="12"/>
            <color indexed="81"/>
            <rFont val="Times New Roman"/>
            <family val="1"/>
          </rPr>
          <t>Fey heritage +3
Cloak of Resistance +1</t>
        </r>
      </text>
    </comment>
    <comment ref="F7" authorId="0" shapeId="0" xr:uid="{EEC338AA-01CF-4FC0-B86F-F8DF3D45F6DE}">
      <text>
        <r>
          <rPr>
            <sz val="12"/>
            <color indexed="81"/>
            <rFont val="Times New Roman"/>
            <family val="1"/>
          </rPr>
          <t>Armor penalty</t>
        </r>
      </text>
    </comment>
    <comment ref="F9" authorId="0" shapeId="0" xr:uid="{AC87610C-4908-4736-94BC-31D5B239F2E4}">
      <text>
        <r>
          <rPr>
            <sz val="12"/>
            <color indexed="81"/>
            <rFont val="Times New Roman"/>
            <family val="1"/>
          </rPr>
          <t>Armor penalty
Climber’s Kit +2</t>
        </r>
      </text>
    </comment>
    <comment ref="F11" authorId="0" shapeId="0" xr:uid="{4F04DBCE-3573-4A4D-9BE7-C773AED1580B}">
      <text>
        <r>
          <rPr>
            <sz val="12"/>
            <color indexed="81"/>
            <rFont val="Times New Roman"/>
            <family val="1"/>
          </rPr>
          <t>MW Kit +2</t>
        </r>
      </text>
    </comment>
    <comment ref="F13" authorId="0" shapeId="0" xr:uid="{A88FCCD6-F11A-49C6-B3BF-1955B4D41E12}">
      <text>
        <r>
          <rPr>
            <sz val="12"/>
            <color indexed="81"/>
            <rFont val="Times New Roman"/>
            <family val="1"/>
          </rPr>
          <t>Sense Motive synergy +2</t>
        </r>
      </text>
    </comment>
    <comment ref="F16" authorId="0" shapeId="0" xr:uid="{8681E728-1490-4A26-847C-89C1664AE8FC}">
      <text>
        <r>
          <rPr>
            <sz val="12"/>
            <color indexed="81"/>
            <rFont val="Times New Roman"/>
            <family val="1"/>
          </rPr>
          <t>Armor penalty</t>
        </r>
      </text>
    </comment>
    <comment ref="F20" authorId="0" shapeId="0" xr:uid="{9258D464-79FE-459C-B3AC-0C36D1D8220B}">
      <text>
        <r>
          <rPr>
            <sz val="12"/>
            <color indexed="81"/>
            <rFont val="Times New Roman"/>
            <family val="1"/>
          </rPr>
          <t>Healer’s Kit +2</t>
        </r>
      </text>
    </comment>
    <comment ref="F21" authorId="0" shapeId="0" xr:uid="{9BA237BF-295D-4B49-AC11-EFF3B517525F}">
      <text>
        <r>
          <rPr>
            <sz val="12"/>
            <color indexed="81"/>
            <rFont val="Times New Roman"/>
            <family val="1"/>
          </rPr>
          <t>Armor penalty</t>
        </r>
      </text>
    </comment>
    <comment ref="F23" authorId="0" shapeId="0" xr:uid="{9954535D-0B44-46E5-A949-8F12804A1892}">
      <text>
        <r>
          <rPr>
            <sz val="12"/>
            <color indexed="81"/>
            <rFont val="Times New Roman"/>
            <family val="1"/>
          </rPr>
          <t>Armor penalty</t>
        </r>
      </text>
    </comment>
    <comment ref="F28" authorId="0" shapeId="0" xr:uid="{FEAABE47-FE22-4571-B027-838DB519F77D}">
      <text>
        <r>
          <rPr>
            <sz val="12"/>
            <color indexed="81"/>
            <rFont val="Times New Roman"/>
            <family val="1"/>
          </rPr>
          <t>Armor penalty</t>
        </r>
      </text>
    </comment>
    <comment ref="F35" authorId="0" shapeId="0" xr:uid="{590B8E20-33CF-45A1-9151-6E34B1F8BCD7}">
      <text>
        <r>
          <rPr>
            <sz val="12"/>
            <color indexed="81"/>
            <rFont val="Times New Roman"/>
            <family val="1"/>
          </rPr>
          <t>Armor penalty</t>
        </r>
      </text>
    </comment>
    <comment ref="F38" authorId="0" shapeId="0" xr:uid="{1B300C74-5518-4AD7-8064-C7E1B016C7B1}">
      <text>
        <r>
          <rPr>
            <sz val="12"/>
            <color indexed="81"/>
            <rFont val="Times New Roman"/>
            <family val="1"/>
          </rPr>
          <t>Blooded +2</t>
        </r>
      </text>
    </comment>
    <comment ref="F41" authorId="0" shapeId="0" xr:uid="{9B6B967C-7166-4A3D-A949-9124D3193379}">
      <text>
        <r>
          <rPr>
            <sz val="12"/>
            <color indexed="81"/>
            <rFont val="Times New Roman"/>
            <family val="1"/>
          </rPr>
          <t>Armor penalty
Jump synergy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6" authorId="0" shapeId="0" xr:uid="{00000000-0006-0000-0200-000001000000}">
      <text>
        <r>
          <rPr>
            <sz val="12"/>
            <color indexed="81"/>
            <rFont val="Times New Roman"/>
            <family val="1"/>
          </rPr>
          <t>Phosphorescent moss</t>
        </r>
      </text>
    </comment>
    <comment ref="D8" authorId="0" shapeId="0" xr:uid="{00000000-0006-0000-0200-000003000000}">
      <text>
        <r>
          <rPr>
            <sz val="12"/>
            <color indexed="81"/>
            <rFont val="Times New Roman"/>
            <family val="1"/>
          </rPr>
          <t>Prism, lens, or monocle</t>
        </r>
      </text>
    </comment>
    <comment ref="D11" authorId="0" shapeId="0" xr:uid="{00000000-0006-0000-0200-00000E000000}">
      <text>
        <r>
          <rPr>
            <sz val="12"/>
            <color indexed="81"/>
            <rFont val="Times New Roman"/>
            <family val="1"/>
          </rPr>
          <t>Powdered silver</t>
        </r>
      </text>
    </comment>
    <comment ref="D13" authorId="0" shapeId="0" xr:uid="{D4365AD2-88CD-4BB9-BDC5-5584AE365908}">
      <text>
        <r>
          <rPr>
            <sz val="12"/>
            <color indexed="81"/>
            <rFont val="Times New Roman"/>
            <family val="1"/>
          </rPr>
          <t>Bull-shit or bull-hair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M2" authorId="0" shapeId="0" xr:uid="{A0D37E7A-FC7D-4488-A203-F06F28C883AD}">
      <text>
        <r>
          <rPr>
            <sz val="12"/>
            <color indexed="81"/>
            <rFont val="Times New Roman"/>
            <family val="1"/>
          </rPr>
          <t xml:space="preserve">You are descended from creatures native to the fey realms. You are naturally resistant to the most common effects produced by your ancestors.
</t>
        </r>
        <r>
          <rPr>
            <b/>
            <sz val="12"/>
            <color indexed="81"/>
            <rFont val="Times New Roman"/>
            <family val="1"/>
          </rPr>
          <t xml:space="preserve">Prerequisite:  </t>
        </r>
        <r>
          <rPr>
            <sz val="12"/>
            <color indexed="81"/>
            <rFont val="Times New Roman"/>
            <family val="1"/>
          </rPr>
          <t xml:space="preserve">Nonlawful alignment.
</t>
        </r>
        <r>
          <rPr>
            <b/>
            <sz val="12"/>
            <color indexed="81"/>
            <rFont val="Times New Roman"/>
            <family val="1"/>
          </rPr>
          <t xml:space="preserve">Benefit:  </t>
        </r>
        <r>
          <rPr>
            <sz val="12"/>
            <color indexed="81"/>
            <rFont val="Times New Roman"/>
            <family val="1"/>
          </rPr>
          <t>You gain a +3 bonus on Will saving throws against enchantment effects.
Complete Mage 43</t>
        </r>
      </text>
    </comment>
    <comment ref="O2" authorId="0" shapeId="0" xr:uid="{BC25CAC2-0BE3-4B29-AA87-EEDEC3FD1F51}">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M3" authorId="0" shapeId="0" xr:uid="{64A42BB0-E948-4696-95B5-4D77F3E644F9}">
      <text>
        <r>
          <rPr>
            <sz val="12"/>
            <color indexed="81"/>
            <rFont val="Times New Roman"/>
            <family val="1"/>
          </rPr>
          <t xml:space="preserve">You know what it means to fight for your life, and you understand the value of quick wits and quicker reactions when blades are bared and deadly spells are chanted.
</t>
        </r>
        <r>
          <rPr>
            <b/>
            <sz val="12"/>
            <color indexed="81"/>
            <rFont val="Times New Roman"/>
            <family val="1"/>
          </rPr>
          <t xml:space="preserve">Benefit:  </t>
        </r>
        <r>
          <rPr>
            <sz val="12"/>
            <color indexed="81"/>
            <rFont val="Times New Roman"/>
            <family val="1"/>
          </rPr>
          <t xml:space="preserve">You get a +2 bonus on Initiative checks and a +2 bonus on Spot checks.  You </t>
        </r>
        <r>
          <rPr>
            <i/>
            <sz val="12"/>
            <color indexed="81"/>
            <rFont val="Times New Roman"/>
            <family val="1"/>
          </rPr>
          <t>cannot become shaken</t>
        </r>
        <r>
          <rPr>
            <sz val="12"/>
            <color indexed="81"/>
            <rFont val="Times New Roman"/>
            <family val="1"/>
          </rPr>
          <t xml:space="preserve">, and you ignore the effects of the shaken condition.  However, you can still be frightened or panicked.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35</t>
        </r>
      </text>
    </comment>
    <comment ref="M4" authorId="0" shapeId="0" xr:uid="{0CFC1DBF-4B65-4BD4-994A-41B0951ED7B8}">
      <text>
        <r>
          <rPr>
            <sz val="12"/>
            <color indexed="81"/>
            <rFont val="Times New Roman"/>
            <family val="1"/>
          </rPr>
          <t xml:space="preserve">You exude an aura that protects you and those around you.
</t>
        </r>
        <r>
          <rPr>
            <b/>
            <sz val="12"/>
            <color indexed="81"/>
            <rFont val="Times New Roman"/>
            <family val="1"/>
          </rPr>
          <t xml:space="preserve">Benefit:  </t>
        </r>
        <r>
          <rPr>
            <sz val="12"/>
            <color indexed="81"/>
            <rFont val="Times New Roman"/>
            <family val="1"/>
          </rPr>
          <t xml:space="preserve">Once per day as an immediate action, you can activate a protective aura. While it is active, you gain a +2 sacred (if your deity is good or neutral) or profane (if your deity is evil) bonus to AC, as does every ally within  30 feet of you. This bonus increases by 1 for every four character levels you possess (maximum +7 at 20th level).   This effect lasts for 1 minute.
</t>
        </r>
        <r>
          <rPr>
            <b/>
            <sz val="12"/>
            <color indexed="81"/>
            <rFont val="Times New Roman"/>
            <family val="1"/>
          </rPr>
          <t xml:space="preserve">Special:  </t>
        </r>
        <r>
          <rPr>
            <sz val="12"/>
            <color indexed="81"/>
            <rFont val="Times New Roman"/>
            <family val="1"/>
          </rPr>
          <t xml:space="preserve">You can select this feat multiple times, gaining one additional daily use each time you take it.
</t>
        </r>
        <r>
          <rPr>
            <b/>
            <sz val="12"/>
            <color indexed="81"/>
            <rFont val="Times New Roman"/>
            <family val="1"/>
          </rPr>
          <t xml:space="preserve">Special:  </t>
        </r>
        <r>
          <rPr>
            <sz val="12"/>
            <color indexed="81"/>
            <rFont val="Times New Roman"/>
            <family val="1"/>
          </rPr>
          <t>If you have the ability to turn or rebuke undead, you gain one additional daily use of this feat for each three daily turn or rebuke uses you expend.
Complete Champion 61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AC2D0DD-8608-4B0E-B23B-9CC4F23970E7}">
      <text>
        <r>
          <rPr>
            <sz val="12"/>
            <color indexed="81"/>
            <rFont val="Times New Roman"/>
            <family val="1"/>
          </rPr>
          <t>Weapon Focus +1
Masterwork +1</t>
        </r>
      </text>
    </comment>
    <comment ref="D18" authorId="0" shapeId="0" xr:uid="{00000000-0006-0000-0500-000005000000}">
      <text>
        <r>
          <rPr>
            <sz val="12"/>
            <color indexed="81"/>
            <rFont val="Times New Roman"/>
            <family val="1"/>
          </rPr>
          <t>Balance, Climb, Escape Artist, Hide, Jump, Move Silently, Sleight of Hand, Tumble.</t>
        </r>
      </text>
    </comment>
    <comment ref="A19" authorId="0" shapeId="0" xr:uid="{C575D7D5-B33B-4199-87FA-E95CC4A23E91}">
      <text>
        <r>
          <rPr>
            <b/>
            <sz val="12"/>
            <color indexed="81"/>
            <rFont val="Times New Roman"/>
            <family val="1"/>
          </rPr>
          <t xml:space="preserve">Price:  </t>
        </r>
        <r>
          <rPr>
            <sz val="12"/>
            <color indexed="81"/>
            <rFont val="Times New Roman"/>
            <family val="1"/>
          </rPr>
          <t xml:space="preserve">+1,500 gp
</t>
        </r>
        <r>
          <rPr>
            <b/>
            <sz val="12"/>
            <color indexed="81"/>
            <rFont val="Times New Roman"/>
            <family val="1"/>
          </rPr>
          <t xml:space="preserve">Property:  </t>
        </r>
        <r>
          <rPr>
            <sz val="12"/>
            <color indexed="81"/>
            <rFont val="Times New Roman"/>
            <family val="1"/>
          </rPr>
          <t xml:space="preserve">Armor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This armor seems to weigh less than it should.
When wearing armor that has this property, you can carry up to a medium load as if it were a light load (ignoring the maximum Dexterity bonus, check penalty, and reduced speed normally incurred by a medium load). These reductions apply only to penalties for the load you carry, not to any reduction in speed caused by the armor itself.
In addition, you can walk for up to 10 hours in a day before having to make Constitution checks to avoid taking nonlethal damage (PH 164).
MIC 10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775DF062-7E61-40CB-8C74-ECC6C73672B2}">
      <text>
        <r>
          <rPr>
            <sz val="12"/>
            <color indexed="81"/>
            <rFont val="Times New Roman"/>
            <family val="1"/>
          </rPr>
          <t>This garment offers magic protection in the form of a +1 Resistance bonus on all saving throws (Fortitude, Reflex, and Will).
DMG 253</t>
        </r>
      </text>
    </comment>
    <comment ref="A5" authorId="0" shapeId="0" xr:uid="{8DD1F9CE-073B-4419-AB1B-0F9D29E9DE9B}">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This pair of heavy black leather gauntlets is set with metal studs.
Brute gauntlets allow you to temporarily increase your physical might.  These gauntlets have 3 charges, which are renewed each day at dawn.  Spending 1 or more charges grants you a morale bonus on Strength checks, Strength-based skill checks, and melee weapon damage for 1 round.
</t>
        </r>
        <r>
          <rPr>
            <b/>
            <sz val="12"/>
            <color indexed="81"/>
            <rFont val="Times New Roman"/>
            <family val="1"/>
          </rPr>
          <t xml:space="preserve">1 charge:  </t>
        </r>
        <r>
          <rPr>
            <sz val="12"/>
            <color indexed="81"/>
            <rFont val="Times New Roman"/>
            <family val="1"/>
          </rPr>
          <t xml:space="preserve">+2 morale bonus.
</t>
        </r>
        <r>
          <rPr>
            <b/>
            <sz val="12"/>
            <color indexed="81"/>
            <rFont val="Times New Roman"/>
            <family val="1"/>
          </rPr>
          <t xml:space="preserve">2 charges:  </t>
        </r>
        <r>
          <rPr>
            <sz val="12"/>
            <color indexed="81"/>
            <rFont val="Times New Roman"/>
            <family val="1"/>
          </rPr>
          <t xml:space="preserve">+3 morale bonus.
</t>
        </r>
        <r>
          <rPr>
            <b/>
            <sz val="12"/>
            <color indexed="81"/>
            <rFont val="Times New Roman"/>
            <family val="1"/>
          </rPr>
          <t xml:space="preserve">3 charges:  </t>
        </r>
        <r>
          <rPr>
            <sz val="12"/>
            <color indexed="81"/>
            <rFont val="Times New Roman"/>
            <family val="1"/>
          </rPr>
          <t>+4 morale bonus.
MIC 83</t>
        </r>
      </text>
    </comment>
    <comment ref="A33" authorId="0" shapeId="0" xr:uid="{9BF94E10-ABF2-4DFE-907A-6234120BABFA}">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<sst xmlns="http://schemas.openxmlformats.org/spreadsheetml/2006/main" count="555" uniqueCount="328">
  <si>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</si>
  <si>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</si>
  <si>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</si>
  <si>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</si>
  <si>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</si>
  <si>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</si>
  <si>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</si>
  <si>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</si>
  <si>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</si>
  <si>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</si>
  <si>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</si>
  <si>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</si>
  <si>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</si>
  <si>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</si>
  <si>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</si>
  <si>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</si>
  <si>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</si>
  <si>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</si>
  <si>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</si>
  <si>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</si>
  <si>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</si>
  <si>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</si>
  <si>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</si>
  <si>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</si>
  <si>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</si>
  <si>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</si>
  <si>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</si>
  <si>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</si>
  <si>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</si>
  <si>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</si>
  <si>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</si>
  <si>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</si>
  <si>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</si>
  <si>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</si>
  <si>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</si>
  <si>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</si>
  <si>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</si>
  <si>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</si>
  <si>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</si>
  <si>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</si>
  <si>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</si>
  <si>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</si>
  <si>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</si>
  <si>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</si>
  <si>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</si>
  <si>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</si>
  <si>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</si>
  <si>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</si>
  <si>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</si>
  <si>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</si>
  <si>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</si>
  <si>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</si>
  <si>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</si>
  <si>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</si>
  <si>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</si>
  <si>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</si>
  <si>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</si>
  <si>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</si>
  <si>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</si>
  <si>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</si>
  <si>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</si>
  <si>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</si>
  <si>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</si>
  <si>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</si>
  <si>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</si>
  <si>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</si>
  <si>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</si>
  <si>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</si>
  <si>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Evocation</t>
  </si>
  <si>
    <t>Spell</t>
  </si>
  <si>
    <t>Languages</t>
  </si>
  <si>
    <t>School</t>
  </si>
  <si>
    <t>Equipment Worn</t>
  </si>
  <si>
    <t>Item</t>
  </si>
  <si>
    <t>Effects/</t>
  </si>
  <si>
    <t>Notes</t>
  </si>
  <si>
    <t>Equipment Carried</t>
  </si>
  <si>
    <t>Check</t>
  </si>
  <si>
    <t>Arcane</t>
  </si>
  <si>
    <t>Speed</t>
  </si>
  <si>
    <t>Divination</t>
  </si>
  <si>
    <t>Cure Light Wounds</t>
  </si>
  <si>
    <t>Sleight of Hand</t>
  </si>
  <si>
    <t>Survival</t>
  </si>
  <si>
    <t>Weapon Proficiencies</t>
  </si>
  <si>
    <t>Shields (not tower)</t>
  </si>
  <si>
    <t>Atk</t>
  </si>
  <si>
    <t>Components</t>
  </si>
  <si>
    <t>Casting</t>
  </si>
  <si>
    <t>V S</t>
  </si>
  <si>
    <t>1 SA</t>
  </si>
  <si>
    <t>V S DF</t>
  </si>
  <si>
    <t>V S M/DF</t>
  </si>
  <si>
    <t>V S F</t>
  </si>
  <si>
    <t>Light</t>
  </si>
  <si>
    <t>Cure Minor Wounds</t>
  </si>
  <si>
    <t>Guidance</t>
  </si>
  <si>
    <t>Read Magic</t>
  </si>
  <si>
    <t>1st</t>
  </si>
  <si>
    <t>2nd</t>
  </si>
  <si>
    <t>3rd</t>
  </si>
  <si>
    <t>4th</t>
  </si>
  <si>
    <t>5th</t>
  </si>
  <si>
    <t>6th</t>
  </si>
  <si>
    <t>Spells per Day</t>
  </si>
  <si>
    <t>Spell Level</t>
  </si>
  <si>
    <t>0th</t>
  </si>
  <si>
    <t>7th</t>
  </si>
  <si>
    <t>Total Divine</t>
  </si>
  <si>
    <t>Feats</t>
  </si>
  <si>
    <t>Roll</t>
  </si>
  <si>
    <t>Skill/Save</t>
  </si>
  <si>
    <t>30’</t>
  </si>
  <si>
    <t>Human</t>
  </si>
  <si>
    <t>Divine Favor</t>
  </si>
  <si>
    <t>V M/DF</t>
  </si>
  <si>
    <t>Protection from Evil</t>
  </si>
  <si>
    <t>Knowledge:  Religion</t>
  </si>
  <si>
    <t>Perform:  [type]</t>
  </si>
  <si>
    <t>Knowledge:  Arcana</t>
  </si>
  <si>
    <t>human</t>
  </si>
  <si>
    <t>Bolts</t>
  </si>
  <si>
    <t>+0</t>
  </si>
  <si>
    <t>Value</t>
  </si>
  <si>
    <t>1d8</t>
  </si>
  <si>
    <t>Spell Component Pouch</t>
  </si>
  <si>
    <t>Total Equity:</t>
  </si>
  <si>
    <t>19-20/x2</t>
  </si>
  <si>
    <t>-</t>
  </si>
  <si>
    <t>x2</t>
  </si>
  <si>
    <t>Traveler’s Outfit</t>
  </si>
  <si>
    <t>eight</t>
  </si>
  <si>
    <t>Grapple, Unarmed Strike</t>
  </si>
  <si>
    <t>1d3</t>
  </si>
  <si>
    <t>Bludgeon</t>
  </si>
  <si>
    <t>80’</t>
  </si>
  <si>
    <t>Race</t>
  </si>
  <si>
    <t>Class</t>
  </si>
  <si>
    <t>Sex</t>
  </si>
  <si>
    <t>Effective Caster Level:</t>
  </si>
  <si>
    <t>PHB</t>
  </si>
  <si>
    <t>Reference</t>
  </si>
  <si>
    <t>Page</t>
  </si>
  <si>
    <t>Bypass Spell Resistance</t>
  </si>
  <si>
    <t>Ranged Touch Attack</t>
  </si>
  <si>
    <t>Age</t>
  </si>
  <si>
    <t>Scrolls and Potions</t>
  </si>
  <si>
    <t>CLev</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</si>
  <si>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</si>
  <si>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</si>
  <si>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</si>
  <si>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</si>
  <si>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</si>
  <si>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</si>
  <si>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</si>
  <si>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</si>
  <si>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</si>
  <si>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</si>
  <si>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</si>
  <si>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</si>
  <si>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</si>
  <si>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</si>
  <si>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</si>
  <si>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</si>
  <si>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</si>
  <si>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</si>
  <si>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Craft:  Weaponsmithing</t>
  </si>
  <si>
    <t>Spells Granted by Mayaheine</t>
  </si>
  <si>
    <t>Favored Soul</t>
  </si>
  <si>
    <t>Mayaheine</t>
  </si>
  <si>
    <t>Female</t>
  </si>
  <si>
    <t>5’ 11”</t>
  </si>
  <si>
    <t>211 lbs.</t>
  </si>
  <si>
    <t>Neutral Good</t>
  </si>
  <si>
    <t>Elsabet</t>
  </si>
  <si>
    <t>Played by Ernest Hakey</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</si>
  <si>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</si>
  <si>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favored soul 1</t>
  </si>
  <si>
    <t>1st:  Protection Devotion</t>
  </si>
  <si>
    <t>Human:  Fey Heritage</t>
  </si>
  <si>
    <t>Charisma Bonus</t>
  </si>
  <si>
    <t>Favored Soul Spells</t>
  </si>
  <si>
    <t>8th</t>
  </si>
  <si>
    <t>9th</t>
  </si>
  <si>
    <t>DC</t>
  </si>
  <si>
    <t>Cast?</t>
  </si>
  <si>
    <t>Profession:  [type]</t>
  </si>
  <si>
    <t>Slashing</t>
  </si>
  <si>
    <t>AC</t>
  </si>
  <si>
    <t>The Dale</t>
  </si>
  <si>
    <t>Morningstar</t>
  </si>
  <si>
    <t>Dagger</t>
  </si>
  <si>
    <t>Cold Iron Spiked Gauntlet</t>
  </si>
  <si>
    <t>Silver Spiked Gauntlet</t>
  </si>
  <si>
    <t>Right Hand</t>
  </si>
  <si>
    <t>Left Hand</t>
  </si>
  <si>
    <t xml:space="preserve">Silver Holy Symbol of Mayaheine </t>
  </si>
  <si>
    <t>Backpack</t>
  </si>
  <si>
    <t>Flask of Acid</t>
  </si>
  <si>
    <t>Flask of Alchemist’s Fire</t>
  </si>
  <si>
    <t>Wizard’s Spellbook</t>
  </si>
  <si>
    <t>Used as a journal</t>
  </si>
  <si>
    <t>Gold Coins</t>
  </si>
  <si>
    <t>Vials of Ink</t>
  </si>
  <si>
    <t>Quills</t>
  </si>
  <si>
    <t>Vials of Antitoxin</t>
  </si>
  <si>
    <t>Bedroll</t>
  </si>
  <si>
    <t>Winter Blanket</t>
  </si>
  <si>
    <t>Waterskin</t>
  </si>
  <si>
    <t>Masterwork Weaponsmith’s Tools</t>
  </si>
  <si>
    <t>Trail Rations, Day’s Supply</t>
  </si>
  <si>
    <t>Torches</t>
  </si>
  <si>
    <t>Flint &amp; Steel</t>
  </si>
  <si>
    <t>Iron Pot</t>
  </si>
  <si>
    <t>Sledge</t>
  </si>
  <si>
    <t>Spade</t>
  </si>
  <si>
    <t>Cold Weather Outfit</t>
  </si>
  <si>
    <t>seven</t>
  </si>
  <si>
    <t>Weaponsmith’s (Artisan’s) Outfit</t>
  </si>
  <si>
    <t>Brown &amp; Green</t>
  </si>
  <si>
    <t>Red &amp; Blue</t>
  </si>
  <si>
    <t>Soap</t>
  </si>
  <si>
    <t>10’</t>
  </si>
  <si>
    <t>1d4</t>
  </si>
  <si>
    <t>Prc/Slsh</t>
  </si>
  <si>
    <t>Prc &amp; Bldg</t>
  </si>
  <si>
    <t>Piercing</t>
  </si>
  <si>
    <t>4</t>
  </si>
  <si>
    <t>Crusader</t>
  </si>
  <si>
    <t>+3 vs. Enchantments</t>
  </si>
  <si>
    <t>2</t>
  </si>
  <si>
    <t>Conjuration</t>
  </si>
  <si>
    <t>XP</t>
  </si>
  <si>
    <t>Character:</t>
  </si>
  <si>
    <t>%</t>
  </si>
  <si>
    <t>Excellent</t>
  </si>
  <si>
    <t>Missed Posts</t>
  </si>
  <si>
    <t>Maximum award for this segment</t>
  </si>
  <si>
    <t xml:space="preserve"> Character award for this segment</t>
  </si>
  <si>
    <t>Extra XPs</t>
  </si>
  <si>
    <t>Previous XP Balance</t>
  </si>
  <si>
    <t>Current XP Balance</t>
  </si>
  <si>
    <t>Regional:  Blooded</t>
  </si>
  <si>
    <t>Attention to spelling &amp; punctuation; Consistent use of past tense, third person</t>
  </si>
  <si>
    <t>Thoroughness and clarity</t>
  </si>
  <si>
    <t>Level-appropriate use of skills, feats, limitations, and other features</t>
  </si>
  <si>
    <t>Convincing role-playing and character development</t>
  </si>
  <si>
    <t>Consistency with other characters’ actions and setting description</t>
  </si>
  <si>
    <t>Good</t>
  </si>
  <si>
    <t>Amanuensis</t>
  </si>
  <si>
    <t>Transmutation</t>
  </si>
  <si>
    <t>25’ + 2½’/lvl</t>
  </si>
  <si>
    <t>Spell Compendium</t>
  </si>
  <si>
    <t>CROSS-CLASS</t>
  </si>
  <si>
    <t>Holy Water, Flask</t>
  </si>
  <si>
    <t>Everburning Torch</t>
  </si>
  <si>
    <t>Tanglefoot Bag</t>
  </si>
  <si>
    <t>Thunderstone</t>
  </si>
  <si>
    <t>Tindertwigs</t>
  </si>
  <si>
    <t>Ice Axe</t>
  </si>
  <si>
    <t>Percolator</t>
  </si>
  <si>
    <t>Mess Kit</t>
  </si>
  <si>
    <t>Zakharan Tea</t>
  </si>
  <si>
    <t>1d10</t>
  </si>
  <si>
    <t>favored soul 2</t>
  </si>
  <si>
    <t>Simple Weapons, Bastard Sword</t>
  </si>
  <si>
    <t>favored soul 3</t>
  </si>
  <si>
    <t>Speak Language:  Giant</t>
  </si>
  <si>
    <t>Common, Goblin, Sylvan, Giant</t>
  </si>
  <si>
    <t>Favored Soul Features</t>
  </si>
  <si>
    <t>Weapon Focus:  Bastard Sword</t>
  </si>
  <si>
    <t>3rd:  Exotic Proficiency:  Bastard Sword</t>
  </si>
  <si>
    <t>*</t>
  </si>
  <si>
    <t>MW Bastard Sword, 1-handed</t>
  </si>
  <si>
    <t>MW Light Crossbow</t>
  </si>
  <si>
    <t>1</t>
  </si>
  <si>
    <r>
      <t xml:space="preserve">Scroll of </t>
    </r>
    <r>
      <rPr>
        <i/>
        <sz val="12"/>
        <rFont val="Times New Roman"/>
        <family val="1"/>
      </rPr>
      <t>Comprehend Languages</t>
    </r>
  </si>
  <si>
    <t>Silk Rope</t>
  </si>
  <si>
    <t>50’</t>
  </si>
  <si>
    <t>Resurgence</t>
  </si>
  <si>
    <t>Complete Divine</t>
  </si>
  <si>
    <t>Mending</t>
  </si>
  <si>
    <t>Bull’s Strength</t>
  </si>
  <si>
    <t>Restoration, Lesser</t>
  </si>
  <si>
    <t>Silence</t>
  </si>
  <si>
    <t>Illusion</t>
  </si>
  <si>
    <t>400’ + 40’/lvl</t>
  </si>
  <si>
    <t>1d6</t>
  </si>
  <si>
    <t>Chain Shirt +1 of Easy Travel</t>
  </si>
  <si>
    <t>Grappling Hook</t>
  </si>
  <si>
    <t>Attached to Silk Rope</t>
  </si>
  <si>
    <t>Hourglass</t>
  </si>
  <si>
    <t>Manacles</t>
  </si>
  <si>
    <t>favored soul 4</t>
  </si>
  <si>
    <t>Climber’s Kit</t>
  </si>
  <si>
    <t>Healer’s Kit</t>
  </si>
  <si>
    <t>Favored Soul Level</t>
  </si>
  <si>
    <t>Buckler +1</t>
  </si>
  <si>
    <r>
      <t xml:space="preserve">Scroll of </t>
    </r>
    <r>
      <rPr>
        <i/>
        <sz val="12"/>
        <rFont val="Times New Roman"/>
        <family val="1"/>
      </rPr>
      <t>Magic Weapon</t>
    </r>
  </si>
  <si>
    <t>Soft Equity Ceiling:</t>
  </si>
  <si>
    <t>Heward’s Handy Haversack</t>
  </si>
  <si>
    <t>% Full:</t>
  </si>
  <si>
    <t>Cloak of Resistance</t>
  </si>
  <si>
    <t>Brute Gauntlets</t>
  </si>
  <si>
    <t>crusader 1</t>
  </si>
  <si>
    <t>Knowledge:  History</t>
  </si>
  <si>
    <t>Crusader Features</t>
  </si>
  <si>
    <t>Known Favored Soul Spells</t>
  </si>
  <si>
    <t>Stance:  Leading the Charge (White Raven)</t>
  </si>
  <si>
    <t>Maneuver:  Furious Counterstrike</t>
  </si>
  <si>
    <t>Maneuver:  Foehammer</t>
  </si>
  <si>
    <t>Maneuver:  Steely Resolve 5</t>
  </si>
  <si>
    <t>Maneuver:  Shield Block</t>
  </si>
  <si>
    <t>Maneuver:  Stone Vise</t>
  </si>
  <si>
    <t>Maneuver:  Crusader’s Strike</t>
  </si>
  <si>
    <t>Maneuver:  Battle Leader’s Charge</t>
  </si>
  <si>
    <t>Initiator Level:</t>
  </si>
  <si>
    <t>Current Maneuvers</t>
  </si>
  <si>
    <t>Tent</t>
  </si>
  <si>
    <t>Fishing Net</t>
  </si>
  <si>
    <t>Crowbar</t>
  </si>
  <si>
    <t>Hammer</t>
  </si>
  <si>
    <t>Bell</t>
  </si>
  <si>
    <t>4 different tones</t>
  </si>
  <si>
    <t>Signal Whistles, Engraved</t>
  </si>
  <si>
    <t>Alll Armor, Martial Weapons</t>
  </si>
  <si>
    <t>Smokestick</t>
  </si>
  <si>
    <t>Piton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</si>
</sst>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8">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sz val="13"/>
      <color rgb="FFFF0000"/>
      <name val="Times New Roman"/>
      <family val="1"/>
    </font>
    <font>
      <i/>
      <sz val="18"/>
      <color rgb="FFFF0000"/>
      <name val="Times New Roman"/>
      <family val="1"/>
    </font>
    <font>
      <i/>
      <sz val="13"/>
      <name val="Times New Roman"/>
      <family val="1"/>
    </font>
    <font>
      <sz val="13"/>
      <color rgb="FF9999FF"/>
      <name val="Times New Roman"/>
      <family val="1"/>
    </font>
    <font>
      <b/>
      <sz val="13"/>
      <color rgb="FF9999FF"/>
      <name val="Times New Roman"/>
      <family val="1"/>
    </font>
    <font>
      <b/>
      <sz val="12"/>
      <color indexed="81"/>
      <name val="Times New Roman"/>
      <family val="1"/>
    </font>
    <font>
      <i/>
      <sz val="12"/>
      <color indexed="81"/>
      <name val="Times New Roman"/>
      <family val="1"/>
    </font>
    <font>
      <i/>
      <sz val="16"/>
      <color rgb="FF0000FF"/>
      <name val="Times New Roman"/>
      <family val="1"/>
    </font>
    <font>
      <b/>
      <sz val="12"/>
      <color theme="1"/>
      <name val="Times New Roman"/>
      <family val="1"/>
    </font>
    <font>
      <b/>
      <sz val="12"/>
      <color rgb="FF0000FF"/>
      <name val="Times New Roman"/>
      <family val="1"/>
    </font>
    <font>
      <i/>
      <sz val="12"/>
      <name val="Times New Roman"/>
      <family val="1"/>
    </font>
    <font>
      <b/>
      <sz val="12"/>
      <color rgb="FF00FF00"/>
      <name val="Times New Roman"/>
      <family val="1"/>
    </font>
    <font>
      <i/>
      <sz val="17"/>
      <name val="Times New Roman"/>
      <family val="1"/>
    </font>
    <font>
      <i/>
      <sz val="18"/>
      <color theme="0"/>
      <name val="Times New Roman"/>
      <family val="1"/>
    </font>
    <font>
      <sz val="13"/>
      <color theme="0"/>
      <name val="Times New Roman"/>
      <family val="1"/>
    </font>
  </fonts>
  <fills count="2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9966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CC"/>
        <bgColor indexed="55"/>
      </patternFill>
    </fill>
    <fill>
      <patternFill patternType="solid">
        <fgColor rgb="FF0066FF"/>
        <bgColor indexed="64"/>
      </patternFill>
    </fill>
    <fill>
      <patternFill patternType="solid">
        <fgColor rgb="FFFFFF00"/>
        <bgColor indexed="64"/>
      </patternFill>
    </fill>
  </fills>
  <borders count="11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style="hair">
        <color indexed="64"/>
      </right>
      <top/>
      <bottom style="hair">
        <color indexed="64"/>
      </bottom>
      <diagonal/>
    </border>
    <border>
      <left style="double">
        <color indexed="64"/>
      </left>
      <right style="hair">
        <color indexed="64"/>
      </right>
      <top/>
      <bottom style="hair">
        <color indexed="64"/>
      </bottom>
      <diagonal/>
    </border>
    <border>
      <left/>
      <right/>
      <top/>
      <bottom style="thin">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style="double">
        <color auto="1"/>
      </left>
      <right style="medium">
        <color auto="1"/>
      </right>
      <top style="hair">
        <color indexed="64"/>
      </top>
      <bottom style="hair">
        <color indexed="64"/>
      </bottom>
      <diagonal/>
    </border>
    <border>
      <left style="double">
        <color auto="1"/>
      </left>
      <right style="medium">
        <color auto="1"/>
      </right>
      <top style="hair">
        <color indexed="64"/>
      </top>
      <bottom style="double">
        <color indexed="64"/>
      </bottom>
      <diagonal/>
    </border>
    <border>
      <left style="double">
        <color auto="1"/>
      </left>
      <right style="medium">
        <color auto="1"/>
      </right>
      <top style="hair">
        <color indexed="64"/>
      </top>
      <bottom/>
      <diagonal/>
    </border>
    <border>
      <left/>
      <right style="hair">
        <color indexed="64"/>
      </right>
      <top style="hair">
        <color indexed="64"/>
      </top>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7" fillId="0" borderId="0"/>
  </cellStyleXfs>
  <cellXfs count="472">
    <xf numFmtId="0" fontId="0" fillId="0" borderId="0" xfId="0"/>
    <xf numFmtId="9" fontId="7" fillId="0" borderId="28" xfId="2" applyFont="1" applyFill="1" applyBorder="1" applyAlignment="1">
      <alignment horizontal="center" vertical="center" shrinkToFit="1"/>
    </xf>
    <xf numFmtId="0" fontId="12" fillId="3" borderId="40" xfId="0" applyFont="1" applyFill="1" applyBorder="1" applyAlignment="1">
      <alignment horizontal="center" vertical="center" wrapText="1"/>
    </xf>
    <xf numFmtId="0" fontId="4" fillId="0" borderId="0" xfId="0" applyFont="1" applyBorder="1" applyAlignment="1">
      <alignment vertical="center"/>
    </xf>
    <xf numFmtId="0" fontId="7" fillId="0" borderId="28" xfId="2" applyNumberFormat="1" applyFont="1" applyFill="1" applyBorder="1" applyAlignment="1">
      <alignment horizontal="center" vertical="center" shrinkToFit="1"/>
    </xf>
    <xf numFmtId="9" fontId="7" fillId="0" borderId="14" xfId="2" applyFont="1" applyFill="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35" fillId="2" borderId="65" xfId="0" applyFont="1" applyFill="1" applyBorder="1" applyAlignment="1">
      <alignment horizontal="right" vertical="center"/>
    </xf>
    <xf numFmtId="0" fontId="36" fillId="2" borderId="66" xfId="0" applyFont="1" applyFill="1" applyBorder="1" applyAlignment="1">
      <alignment horizontal="lef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4" fillId="2" borderId="67"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0" xfId="0" applyFont="1" applyFill="1" applyBorder="1" applyAlignment="1">
      <alignment horizontal="right" vertical="center"/>
    </xf>
    <xf numFmtId="0" fontId="6" fillId="4" borderId="86" xfId="0" applyFont="1" applyFill="1" applyBorder="1" applyAlignment="1">
      <alignment horizontal="right" vertical="center"/>
    </xf>
    <xf numFmtId="49" fontId="7" fillId="0" borderId="71"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8" fillId="4" borderId="55"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5" fillId="0" borderId="14" xfId="0" applyNumberFormat="1" applyFont="1" applyBorder="1" applyAlignment="1">
      <alignment horizontal="center" vertical="center"/>
    </xf>
    <xf numFmtId="0" fontId="8" fillId="4" borderId="53"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1" fillId="2" borderId="4" xfId="0" applyFont="1" applyFill="1" applyBorder="1" applyAlignment="1">
      <alignment horizontal="right" vertical="center"/>
    </xf>
    <xf numFmtId="0" fontId="11" fillId="4" borderId="53"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1" fillId="4" borderId="54"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19" fillId="0" borderId="0" xfId="0" applyFont="1" applyBorder="1" applyAlignment="1">
      <alignment vertical="center"/>
    </xf>
    <xf numFmtId="0" fontId="31"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5" fillId="0" borderId="0" xfId="0" applyNumberFormat="1" applyFont="1" applyBorder="1" applyAlignment="1">
      <alignment horizontal="left" vertical="center"/>
    </xf>
    <xf numFmtId="0" fontId="7" fillId="0" borderId="27" xfId="8" applyFont="1" applyFill="1" applyBorder="1" applyAlignment="1">
      <alignment horizontal="center" vertical="center" wrapText="1"/>
    </xf>
    <xf numFmtId="0" fontId="7" fillId="0" borderId="49" xfId="8" applyFont="1" applyFill="1" applyBorder="1" applyAlignment="1">
      <alignment horizontal="center" vertical="center" wrapText="1"/>
    </xf>
    <xf numFmtId="9" fontId="7" fillId="0" borderId="49" xfId="2" applyFont="1" applyFill="1" applyBorder="1" applyAlignment="1">
      <alignment horizontal="center" vertical="center" shrinkToFit="1"/>
    </xf>
    <xf numFmtId="0" fontId="7" fillId="0" borderId="29" xfId="0" applyNumberFormat="1" applyFont="1" applyFill="1" applyBorder="1" applyAlignment="1">
      <alignment horizontal="center" vertical="center" wrapText="1"/>
    </xf>
    <xf numFmtId="0" fontId="7" fillId="0" borderId="36" xfId="0" applyNumberFormat="1" applyFont="1" applyFill="1" applyBorder="1" applyAlignment="1">
      <alignment horizontal="center" vertical="center" wrapText="1"/>
    </xf>
    <xf numFmtId="0" fontId="4" fillId="0" borderId="5" xfId="0" applyFont="1" applyBorder="1" applyAlignment="1">
      <alignment horizontal="centerContinuous" vertical="center"/>
    </xf>
    <xf numFmtId="0" fontId="3" fillId="0" borderId="0" xfId="0" applyFont="1" applyBorder="1" applyAlignment="1">
      <alignment horizontal="centerContinuous" vertical="center"/>
    </xf>
    <xf numFmtId="0" fontId="48" fillId="0" borderId="34" xfId="0" applyFont="1" applyBorder="1" applyAlignment="1">
      <alignment horizontal="centerContinuous" vertical="center"/>
    </xf>
    <xf numFmtId="0" fontId="26" fillId="0" borderId="38" xfId="0" applyFont="1" applyFill="1" applyBorder="1" applyAlignment="1">
      <alignment horizontal="centerContinuous" vertical="center"/>
    </xf>
    <xf numFmtId="0" fontId="52" fillId="0" borderId="38" xfId="0" applyFont="1" applyFill="1" applyBorder="1" applyAlignment="1">
      <alignment horizontal="center" vertical="center" shrinkToFit="1"/>
    </xf>
    <xf numFmtId="0" fontId="7" fillId="0" borderId="56" xfId="0" applyFont="1" applyFill="1" applyBorder="1" applyAlignment="1">
      <alignment horizontal="centerContinuous" vertical="center"/>
    </xf>
    <xf numFmtId="0" fontId="7" fillId="0" borderId="57"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1" fillId="3" borderId="39" xfId="0" applyFont="1" applyFill="1" applyBorder="1" applyAlignment="1">
      <alignment horizontal="center" vertical="center"/>
    </xf>
    <xf numFmtId="164" fontId="21" fillId="3" borderId="40" xfId="0" applyNumberFormat="1" applyFont="1" applyFill="1" applyBorder="1" applyAlignment="1">
      <alignment horizontal="center" vertical="center"/>
    </xf>
    <xf numFmtId="0" fontId="21" fillId="3" borderId="39" xfId="0" applyFont="1" applyFill="1" applyBorder="1" applyAlignment="1">
      <alignment horizontal="right" vertical="center"/>
    </xf>
    <xf numFmtId="0" fontId="21" fillId="3" borderId="41" xfId="0" applyFont="1" applyFill="1" applyBorder="1" applyAlignment="1">
      <alignment vertical="center"/>
    </xf>
    <xf numFmtId="0" fontId="2" fillId="0" borderId="78" xfId="0" applyFont="1" applyBorder="1" applyAlignment="1">
      <alignment horizontal="center" vertical="center" shrinkToFit="1"/>
    </xf>
    <xf numFmtId="0" fontId="5" fillId="0" borderId="47" xfId="0" applyFont="1" applyBorder="1" applyAlignment="1">
      <alignment horizontal="left" vertical="center"/>
    </xf>
    <xf numFmtId="0" fontId="5" fillId="0" borderId="46" xfId="0" applyFont="1" applyBorder="1" applyAlignment="1">
      <alignment horizontal="left" vertical="center" shrinkToFit="1"/>
    </xf>
    <xf numFmtId="0" fontId="2" fillId="0" borderId="79" xfId="0" applyFont="1" applyBorder="1" applyAlignment="1">
      <alignment horizontal="center" vertical="center" shrinkToFit="1"/>
    </xf>
    <xf numFmtId="164" fontId="2" fillId="0" borderId="42" xfId="0" applyNumberFormat="1" applyFont="1" applyBorder="1" applyAlignment="1">
      <alignment horizontal="center" vertical="center" shrinkToFit="1"/>
    </xf>
    <xf numFmtId="0" fontId="5" fillId="0" borderId="42" xfId="0" applyFont="1" applyBorder="1" applyAlignment="1">
      <alignment horizontal="left" vertical="center"/>
    </xf>
    <xf numFmtId="0" fontId="5" fillId="0" borderId="43" xfId="0" applyFont="1" applyBorder="1" applyAlignment="1">
      <alignment horizontal="left" vertical="center" shrinkToFit="1"/>
    </xf>
    <xf numFmtId="0" fontId="2" fillId="0" borderId="80" xfId="0" applyFont="1" applyBorder="1" applyAlignment="1">
      <alignment horizontal="center" vertical="center" shrinkToFit="1"/>
    </xf>
    <xf numFmtId="0" fontId="2" fillId="0" borderId="44" xfId="0" applyFont="1" applyBorder="1" applyAlignment="1">
      <alignment horizontal="center" vertical="center" shrinkToFit="1"/>
    </xf>
    <xf numFmtId="164" fontId="2" fillId="0" borderId="44"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7" xfId="0" applyFont="1" applyBorder="1" applyAlignment="1">
      <alignment horizontal="center" vertical="center" shrinkToFit="1"/>
    </xf>
    <xf numFmtId="0" fontId="2" fillId="0" borderId="42" xfId="0" applyFont="1" applyBorder="1" applyAlignment="1">
      <alignment horizontal="center" vertical="center" shrinkToFit="1"/>
    </xf>
    <xf numFmtId="164" fontId="5" fillId="0" borderId="42" xfId="0" applyNumberFormat="1" applyFont="1" applyBorder="1" applyAlignment="1">
      <alignment horizontal="center" vertical="center" shrinkToFit="1"/>
    </xf>
    <xf numFmtId="164" fontId="5" fillId="0" borderId="44" xfId="0" applyNumberFormat="1" applyFont="1" applyBorder="1" applyAlignment="1">
      <alignment horizontal="center" vertical="center" shrinkToFit="1"/>
    </xf>
    <xf numFmtId="164" fontId="5" fillId="0" borderId="0" xfId="0" applyNumberFormat="1"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6"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1" fillId="11" borderId="21" xfId="0" applyFont="1" applyFill="1" applyBorder="1" applyAlignment="1">
      <alignment horizontal="centerContinuous" vertical="center"/>
    </xf>
    <xf numFmtId="0" fontId="21" fillId="11" borderId="72" xfId="0" applyFont="1" applyFill="1" applyBorder="1" applyAlignment="1">
      <alignment horizontal="centerContinuous" vertical="center"/>
    </xf>
    <xf numFmtId="0" fontId="21" fillId="11" borderId="52" xfId="0" applyFont="1" applyFill="1" applyBorder="1" applyAlignment="1">
      <alignment horizontal="centerContinuous" vertical="center"/>
    </xf>
    <xf numFmtId="164" fontId="2" fillId="0" borderId="73" xfId="0" applyNumberFormat="1" applyFont="1" applyFill="1" applyBorder="1" applyAlignment="1">
      <alignment horizontal="centerContinuous" vertical="center"/>
    </xf>
    <xf numFmtId="0" fontId="5" fillId="0" borderId="74" xfId="0" quotePrefix="1" applyFont="1" applyBorder="1" applyAlignment="1">
      <alignment horizontal="centerContinuous" vertical="center"/>
    </xf>
    <xf numFmtId="164" fontId="2" fillId="0" borderId="75" xfId="0" applyNumberFormat="1" applyFont="1" applyFill="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2" fillId="0" borderId="32" xfId="0" applyFont="1" applyFill="1" applyBorder="1" applyAlignment="1">
      <alignment horizontal="centerContinuous" vertical="center"/>
    </xf>
    <xf numFmtId="49" fontId="2" fillId="0" borderId="9" xfId="0" applyNumberFormat="1" applyFont="1" applyFill="1" applyBorder="1" applyAlignment="1">
      <alignment horizontal="centerContinuous" vertical="center"/>
    </xf>
    <xf numFmtId="0" fontId="5" fillId="0" borderId="77" xfId="0" applyFont="1" applyFill="1" applyBorder="1" applyAlignment="1">
      <alignment horizontal="centerContinuous" vertical="center"/>
    </xf>
    <xf numFmtId="49" fontId="17" fillId="0" borderId="36" xfId="0" applyNumberFormat="1" applyFont="1" applyBorder="1" applyAlignment="1">
      <alignment horizontal="center" shrinkToFit="1"/>
    </xf>
    <xf numFmtId="0" fontId="2" fillId="0" borderId="44" xfId="0" applyFont="1" applyBorder="1" applyAlignment="1">
      <alignment horizontal="center" vertical="center"/>
    </xf>
    <xf numFmtId="1" fontId="47" fillId="12" borderId="44" xfId="0" applyNumberFormat="1" applyFont="1" applyFill="1" applyBorder="1" applyAlignment="1">
      <alignment horizontal="center" vertical="center"/>
    </xf>
    <xf numFmtId="164" fontId="2" fillId="0" borderId="44" xfId="0" applyNumberFormat="1" applyFont="1" applyFill="1" applyBorder="1" applyAlignment="1">
      <alignment horizontal="center" vertical="center"/>
    </xf>
    <xf numFmtId="0" fontId="2" fillId="0" borderId="47" xfId="0" quotePrefix="1" applyFont="1" applyBorder="1" applyAlignment="1">
      <alignment horizontal="center" vertical="center"/>
    </xf>
    <xf numFmtId="0" fontId="2" fillId="0" borderId="47" xfId="0" applyFont="1" applyBorder="1" applyAlignment="1">
      <alignment horizontal="center" vertical="center"/>
    </xf>
    <xf numFmtId="9" fontId="2" fillId="0" borderId="47" xfId="0" applyNumberFormat="1" applyFont="1" applyBorder="1" applyAlignment="1">
      <alignment horizontal="center" vertical="center"/>
    </xf>
    <xf numFmtId="164" fontId="5" fillId="0" borderId="47" xfId="0" applyNumberFormat="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91" xfId="0" applyNumberFormat="1" applyFont="1" applyFill="1" applyBorder="1" applyAlignment="1">
      <alignment horizontal="centerContinuous" vertical="center"/>
    </xf>
    <xf numFmtId="0" fontId="5" fillId="0" borderId="92" xfId="0" applyFont="1" applyFill="1" applyBorder="1" applyAlignment="1">
      <alignment horizontal="centerContinuous" vertical="center"/>
    </xf>
    <xf numFmtId="0" fontId="5" fillId="0" borderId="89" xfId="0" applyFont="1" applyFill="1" applyBorder="1" applyAlignment="1">
      <alignment horizontal="centerContinuous" vertical="center"/>
    </xf>
    <xf numFmtId="164" fontId="5" fillId="0" borderId="89" xfId="0" applyNumberFormat="1" applyFont="1" applyFill="1" applyBorder="1" applyAlignment="1">
      <alignment horizontal="center" vertical="center"/>
    </xf>
    <xf numFmtId="49" fontId="2" fillId="0" borderId="89" xfId="0" applyNumberFormat="1" applyFont="1" applyFill="1" applyBorder="1" applyAlignment="1">
      <alignment horizontal="center" vertical="center"/>
    </xf>
    <xf numFmtId="49" fontId="2" fillId="0" borderId="93" xfId="0" applyNumberFormat="1" applyFont="1" applyFill="1" applyBorder="1" applyAlignment="1">
      <alignment horizontal="centerContinuous" vertical="center"/>
    </xf>
    <xf numFmtId="0" fontId="21" fillId="11" borderId="34" xfId="0" applyFont="1" applyFill="1" applyBorder="1" applyAlignment="1">
      <alignment horizontal="center" vertical="center"/>
    </xf>
    <xf numFmtId="164" fontId="21" fillId="3" borderId="34" xfId="0" applyNumberFormat="1" applyFont="1" applyFill="1" applyBorder="1" applyAlignment="1">
      <alignment horizontal="center" vertical="center"/>
    </xf>
    <xf numFmtId="164" fontId="2" fillId="0" borderId="94" xfId="0" applyNumberFormat="1" applyFont="1" applyFill="1" applyBorder="1" applyAlignment="1">
      <alignment horizontal="centerContinuous" vertical="center"/>
    </xf>
    <xf numFmtId="0" fontId="2" fillId="0" borderId="42" xfId="0" applyFont="1" applyBorder="1" applyAlignment="1">
      <alignment horizontal="center" vertical="center"/>
    </xf>
    <xf numFmtId="164" fontId="2" fillId="0" borderId="96" xfId="0" applyNumberFormat="1" applyFont="1" applyFill="1" applyBorder="1" applyAlignment="1">
      <alignment horizontal="centerContinuous" vertical="center"/>
    </xf>
    <xf numFmtId="164" fontId="2" fillId="0" borderId="42"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2" fillId="0" borderId="79" xfId="0" applyFont="1" applyFill="1" applyBorder="1" applyAlignment="1">
      <alignment horizontal="center" vertical="center" shrinkToFit="1"/>
    </xf>
    <xf numFmtId="0" fontId="2" fillId="0" borderId="42" xfId="0" applyFont="1" applyFill="1" applyBorder="1" applyAlignment="1">
      <alignment horizontal="center" vertical="center"/>
    </xf>
    <xf numFmtId="1" fontId="2" fillId="0" borderId="42" xfId="0" applyNumberFormat="1" applyFont="1" applyFill="1" applyBorder="1" applyAlignment="1">
      <alignment horizontal="center" vertical="center"/>
    </xf>
    <xf numFmtId="0" fontId="7" fillId="0" borderId="48" xfId="8" applyFont="1" applyFill="1" applyBorder="1" applyAlignment="1">
      <alignment horizontal="center" vertical="center" wrapText="1"/>
    </xf>
    <xf numFmtId="9" fontId="7" fillId="0" borderId="48" xfId="2" applyFont="1" applyFill="1" applyBorder="1" applyAlignment="1">
      <alignment horizontal="center" vertical="center" shrinkToFit="1"/>
    </xf>
    <xf numFmtId="9" fontId="7" fillId="0" borderId="50" xfId="2" applyFont="1" applyFill="1" applyBorder="1" applyAlignment="1">
      <alignment horizontal="center" vertical="center" shrinkToFit="1"/>
    </xf>
    <xf numFmtId="0" fontId="7" fillId="0" borderId="50" xfId="2" applyNumberFormat="1" applyFont="1" applyFill="1" applyBorder="1" applyAlignment="1">
      <alignment horizontal="center" vertical="center" shrinkToFit="1"/>
    </xf>
    <xf numFmtId="1" fontId="2" fillId="0" borderId="58" xfId="0" applyNumberFormat="1" applyFont="1" applyBorder="1" applyAlignment="1">
      <alignment horizontal="center" vertical="center" shrinkToFit="1"/>
    </xf>
    <xf numFmtId="1" fontId="2" fillId="0" borderId="51" xfId="0" applyNumberFormat="1" applyFont="1" applyBorder="1" applyAlignment="1">
      <alignment horizontal="center" vertical="center" shrinkToFit="1"/>
    </xf>
    <xf numFmtId="1" fontId="5" fillId="0" borderId="0" xfId="0" applyNumberFormat="1" applyFont="1" applyBorder="1" applyAlignment="1">
      <alignment vertical="center"/>
    </xf>
    <xf numFmtId="1" fontId="21" fillId="3" borderId="34" xfId="0" applyNumberFormat="1" applyFont="1" applyFill="1" applyBorder="1" applyAlignment="1">
      <alignment horizontal="center" vertical="center"/>
    </xf>
    <xf numFmtId="164" fontId="2" fillId="0" borderId="47" xfId="0" applyNumberFormat="1" applyFont="1" applyBorder="1" applyAlignment="1">
      <alignment horizontal="center" vertical="center" shrinkToFit="1"/>
    </xf>
    <xf numFmtId="0" fontId="2" fillId="0" borderId="43" xfId="0" applyFont="1" applyBorder="1" applyAlignment="1">
      <alignment horizontal="left" vertical="center" shrinkToFit="1"/>
    </xf>
    <xf numFmtId="1" fontId="47" fillId="12" borderId="42" xfId="0" applyNumberFormat="1" applyFont="1" applyFill="1" applyBorder="1" applyAlignment="1">
      <alignment horizontal="center" vertical="center"/>
    </xf>
    <xf numFmtId="0" fontId="2" fillId="0" borderId="0" xfId="0" applyFont="1" applyBorder="1" applyAlignment="1">
      <alignment vertical="center"/>
    </xf>
    <xf numFmtId="1" fontId="7" fillId="0" borderId="30" xfId="0" applyNumberFormat="1" applyFont="1" applyBorder="1" applyAlignment="1">
      <alignment horizontal="center" vertical="center"/>
    </xf>
    <xf numFmtId="1" fontId="2" fillId="0" borderId="38" xfId="0" applyNumberFormat="1" applyFont="1" applyFill="1" applyBorder="1" applyAlignment="1">
      <alignment horizontal="center" vertical="center"/>
    </xf>
    <xf numFmtId="1" fontId="2" fillId="10" borderId="83" xfId="0" applyNumberFormat="1" applyFont="1" applyFill="1" applyBorder="1" applyAlignment="1">
      <alignment horizontal="center" vertical="center"/>
    </xf>
    <xf numFmtId="1" fontId="2" fillId="0" borderId="83" xfId="0" applyNumberFormat="1" applyFont="1" applyFill="1" applyBorder="1" applyAlignment="1">
      <alignment horizontal="center" vertical="center"/>
    </xf>
    <xf numFmtId="1" fontId="2" fillId="0" borderId="51" xfId="0" applyNumberFormat="1" applyFont="1" applyFill="1" applyBorder="1" applyAlignment="1">
      <alignment horizontal="center" vertical="center"/>
    </xf>
    <xf numFmtId="0" fontId="6" fillId="4" borderId="11" xfId="0" applyFont="1" applyFill="1" applyBorder="1" applyAlignment="1">
      <alignment horizontal="right" vertical="center"/>
    </xf>
    <xf numFmtId="49" fontId="7" fillId="0" borderId="99" xfId="0" applyNumberFormat="1" applyFont="1" applyBorder="1" applyAlignment="1">
      <alignment horizontal="centerContinuous" vertical="center"/>
    </xf>
    <xf numFmtId="0" fontId="2" fillId="0" borderId="100" xfId="0" applyFont="1" applyBorder="1" applyAlignment="1">
      <alignment horizontal="centerContinuous" vertical="center"/>
    </xf>
    <xf numFmtId="0" fontId="5" fillId="0" borderId="44" xfId="0" applyFont="1" applyBorder="1" applyAlignment="1">
      <alignment horizontal="center" vertical="center" shrinkToFit="1"/>
    </xf>
    <xf numFmtId="0" fontId="7" fillId="0" borderId="28" xfId="0" applyNumberFormat="1" applyFont="1" applyFill="1" applyBorder="1" applyAlignment="1">
      <alignment horizontal="center" vertical="center" shrinkToFit="1"/>
    </xf>
    <xf numFmtId="0" fontId="7" fillId="0" borderId="29" xfId="0" quotePrefix="1" applyNumberFormat="1" applyFont="1" applyFill="1" applyBorder="1" applyAlignment="1">
      <alignment horizontal="center" vertical="center" wrapText="1"/>
    </xf>
    <xf numFmtId="0" fontId="7" fillId="0" borderId="14" xfId="0" applyNumberFormat="1" applyFont="1" applyFill="1" applyBorder="1" applyAlignment="1">
      <alignment horizontal="center" vertical="center" shrinkToFit="1"/>
    </xf>
    <xf numFmtId="0" fontId="7" fillId="0" borderId="50" xfId="0" applyNumberFormat="1" applyFont="1" applyFill="1" applyBorder="1" applyAlignment="1">
      <alignment horizontal="center" vertical="center" shrinkToFit="1"/>
    </xf>
    <xf numFmtId="0" fontId="2" fillId="14" borderId="78" xfId="0" applyFont="1" applyFill="1" applyBorder="1" applyAlignment="1">
      <alignment horizontal="center" vertical="center"/>
    </xf>
    <xf numFmtId="0" fontId="2" fillId="14" borderId="47" xfId="0" applyFont="1" applyFill="1" applyBorder="1" applyAlignment="1">
      <alignment horizontal="center" vertical="center"/>
    </xf>
    <xf numFmtId="49" fontId="2" fillId="14" borderId="47" xfId="0" applyNumberFormat="1" applyFont="1" applyFill="1" applyBorder="1" applyAlignment="1">
      <alignment horizontal="center" vertical="center"/>
    </xf>
    <xf numFmtId="0" fontId="2" fillId="14" borderId="46" xfId="0" applyFont="1" applyFill="1" applyBorder="1" applyAlignment="1">
      <alignment horizontal="center" vertical="center"/>
    </xf>
    <xf numFmtId="0" fontId="2" fillId="14" borderId="58" xfId="0" applyFont="1" applyFill="1" applyBorder="1" applyAlignment="1">
      <alignment horizontal="center" vertical="center"/>
    </xf>
    <xf numFmtId="1" fontId="2" fillId="14" borderId="42" xfId="0" applyNumberFormat="1" applyFont="1" applyFill="1" applyBorder="1" applyAlignment="1">
      <alignment horizontal="center" vertical="center"/>
    </xf>
    <xf numFmtId="0" fontId="2" fillId="0" borderId="79" xfId="0" applyFont="1" applyBorder="1" applyAlignment="1">
      <alignment horizontal="center" vertical="center"/>
    </xf>
    <xf numFmtId="49" fontId="2" fillId="0" borderId="42" xfId="0" applyNumberFormat="1" applyFont="1" applyBorder="1" applyAlignment="1">
      <alignment horizontal="center" vertical="center"/>
    </xf>
    <xf numFmtId="164" fontId="2" fillId="0" borderId="42" xfId="0" applyNumberFormat="1" applyFont="1" applyBorder="1" applyAlignment="1">
      <alignment horizontal="center" vertical="center"/>
    </xf>
    <xf numFmtId="0" fontId="2" fillId="0" borderId="43" xfId="0" applyFont="1" applyBorder="1" applyAlignment="1">
      <alignment horizontal="center" vertical="center"/>
    </xf>
    <xf numFmtId="0" fontId="2" fillId="14" borderId="80" xfId="0" applyFont="1" applyFill="1" applyBorder="1" applyAlignment="1">
      <alignment horizontal="center" vertical="center" shrinkToFit="1"/>
    </xf>
    <xf numFmtId="0" fontId="2" fillId="14" borderId="44" xfId="0" applyFont="1" applyFill="1" applyBorder="1" applyAlignment="1">
      <alignment horizontal="center" vertical="center"/>
    </xf>
    <xf numFmtId="49" fontId="2" fillId="14" borderId="44" xfId="0" applyNumberFormat="1" applyFont="1" applyFill="1" applyBorder="1" applyAlignment="1">
      <alignment horizontal="center" vertical="center"/>
    </xf>
    <xf numFmtId="164" fontId="2" fillId="14" borderId="44"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1" fontId="5" fillId="0" borderId="42" xfId="0" applyNumberFormat="1" applyFont="1" applyBorder="1" applyAlignment="1">
      <alignment horizontal="center" vertical="center"/>
    </xf>
    <xf numFmtId="1" fontId="2" fillId="14" borderId="44" xfId="0" applyNumberFormat="1" applyFont="1" applyFill="1" applyBorder="1" applyAlignment="1">
      <alignment horizontal="center" vertical="center"/>
    </xf>
    <xf numFmtId="0" fontId="2" fillId="14" borderId="45" xfId="0" quotePrefix="1" applyFont="1" applyFill="1" applyBorder="1" applyAlignment="1">
      <alignment horizontal="center" vertical="center"/>
    </xf>
    <xf numFmtId="1" fontId="2" fillId="14" borderId="51" xfId="0" applyNumberFormat="1" applyFont="1" applyFill="1" applyBorder="1" applyAlignment="1">
      <alignment horizontal="center" vertical="center"/>
    </xf>
    <xf numFmtId="0" fontId="2" fillId="0" borderId="42" xfId="0" quotePrefix="1" applyFont="1" applyFill="1" applyBorder="1" applyAlignment="1">
      <alignment horizontal="center" vertical="center"/>
    </xf>
    <xf numFmtId="0" fontId="2" fillId="0" borderId="44" xfId="0" quotePrefix="1" applyFont="1" applyBorder="1" applyAlignment="1">
      <alignment horizontal="center" vertical="center"/>
    </xf>
    <xf numFmtId="9" fontId="2" fillId="0" borderId="42" xfId="0" applyNumberFormat="1" applyFont="1" applyFill="1" applyBorder="1" applyAlignment="1">
      <alignment horizontal="center" vertical="center"/>
    </xf>
    <xf numFmtId="9" fontId="2" fillId="0" borderId="44" xfId="0" applyNumberFormat="1" applyFont="1" applyBorder="1" applyAlignment="1">
      <alignment horizontal="center" vertical="center"/>
    </xf>
    <xf numFmtId="0" fontId="2" fillId="0" borderId="95" xfId="0" applyFont="1" applyFill="1" applyBorder="1" applyAlignment="1">
      <alignment horizontal="centerContinuous" vertical="center"/>
    </xf>
    <xf numFmtId="0" fontId="5" fillId="0" borderId="76" xfId="0" quotePrefix="1" applyFont="1" applyBorder="1" applyAlignment="1">
      <alignment horizontal="centerContinuous" vertical="center"/>
    </xf>
    <xf numFmtId="0" fontId="49" fillId="0" borderId="34" xfId="0" applyFont="1" applyBorder="1" applyAlignment="1">
      <alignment horizontal="centerContinuous" vertical="center"/>
    </xf>
    <xf numFmtId="0" fontId="50" fillId="0" borderId="34" xfId="0" applyFont="1" applyBorder="1" applyAlignment="1">
      <alignment horizontal="centerContinuous" vertical="center"/>
    </xf>
    <xf numFmtId="0" fontId="54" fillId="0" borderId="25" xfId="0" applyFont="1" applyBorder="1" applyAlignment="1">
      <alignment horizontal="centerContinuous" vertical="center"/>
    </xf>
    <xf numFmtId="0" fontId="12" fillId="11" borderId="22" xfId="0" applyFont="1" applyFill="1" applyBorder="1" applyAlignment="1">
      <alignment horizontal="centerContinuous" vertical="center" wrapText="1"/>
    </xf>
    <xf numFmtId="0" fontId="12" fillId="11" borderId="23" xfId="0" applyFont="1" applyFill="1" applyBorder="1" applyAlignment="1">
      <alignment horizontal="center" vertical="center"/>
    </xf>
    <xf numFmtId="0" fontId="12" fillId="11" borderId="23" xfId="0" applyFont="1" applyFill="1" applyBorder="1" applyAlignment="1">
      <alignment horizontal="center" vertical="center" wrapText="1"/>
    </xf>
    <xf numFmtId="0" fontId="12" fillId="11" borderId="23" xfId="0" applyNumberFormat="1" applyFont="1" applyFill="1" applyBorder="1" applyAlignment="1">
      <alignment horizontal="center" vertical="center" wrapText="1"/>
    </xf>
    <xf numFmtId="0" fontId="12" fillId="11" borderId="24" xfId="0" applyNumberFormat="1" applyFont="1" applyFill="1" applyBorder="1" applyAlignment="1">
      <alignment horizontal="centerContinuous" vertical="center" wrapText="1"/>
    </xf>
    <xf numFmtId="0" fontId="53" fillId="0" borderId="1" xfId="8" applyFont="1" applyFill="1" applyBorder="1" applyAlignment="1">
      <alignment horizontal="center" vertical="center" shrinkToFit="1"/>
    </xf>
    <xf numFmtId="0" fontId="53" fillId="0" borderId="35" xfId="8" applyFont="1" applyFill="1" applyBorder="1" applyAlignment="1">
      <alignment horizontal="center" vertical="center" shrinkToFit="1"/>
    </xf>
    <xf numFmtId="0" fontId="53" fillId="0" borderId="8" xfId="8" applyFont="1" applyFill="1" applyBorder="1" applyAlignment="1">
      <alignment horizontal="center" vertical="center" shrinkToFit="1"/>
    </xf>
    <xf numFmtId="0" fontId="21" fillId="11" borderId="101" xfId="0" applyFont="1" applyFill="1" applyBorder="1" applyAlignment="1">
      <alignment horizontal="center" vertical="center"/>
    </xf>
    <xf numFmtId="1" fontId="21" fillId="11" borderId="34" xfId="0" applyNumberFormat="1" applyFont="1" applyFill="1" applyBorder="1" applyAlignment="1">
      <alignment horizontal="center" vertical="center"/>
    </xf>
    <xf numFmtId="1" fontId="2" fillId="0" borderId="83" xfId="0" applyNumberFormat="1" applyFont="1" applyBorder="1" applyAlignment="1">
      <alignment horizontal="center" vertical="center"/>
    </xf>
    <xf numFmtId="0" fontId="2" fillId="0" borderId="84" xfId="0" applyFont="1" applyFill="1" applyBorder="1" applyAlignment="1">
      <alignment horizontal="centerContinuous" vertical="center" shrinkToFit="1"/>
    </xf>
    <xf numFmtId="0" fontId="21" fillId="0" borderId="73" xfId="0" applyFont="1" applyFill="1" applyBorder="1" applyAlignment="1">
      <alignment horizontal="centerContinuous" vertical="center"/>
    </xf>
    <xf numFmtId="0" fontId="21" fillId="0" borderId="59" xfId="0" applyFont="1" applyFill="1" applyBorder="1" applyAlignment="1">
      <alignment horizontal="centerContinuous" vertical="center"/>
    </xf>
    <xf numFmtId="0" fontId="2" fillId="0" borderId="96" xfId="0" applyFont="1" applyFill="1" applyBorder="1" applyAlignment="1">
      <alignment horizontal="center" vertical="center"/>
    </xf>
    <xf numFmtId="0" fontId="2" fillId="0" borderId="74" xfId="0" applyFont="1" applyFill="1" applyBorder="1" applyAlignment="1">
      <alignment horizontal="centerContinuous" vertical="center"/>
    </xf>
    <xf numFmtId="0" fontId="2" fillId="0" borderId="85" xfId="0" applyFont="1" applyFill="1" applyBorder="1" applyAlignment="1">
      <alignment horizontal="centerContinuous" vertical="center" shrinkToFit="1"/>
    </xf>
    <xf numFmtId="0" fontId="2" fillId="0" borderId="75" xfId="0" applyFont="1" applyFill="1" applyBorder="1" applyAlignment="1">
      <alignment horizontal="centerContinuous" vertical="center"/>
    </xf>
    <xf numFmtId="0" fontId="2" fillId="0" borderId="64" xfId="0" applyFont="1" applyFill="1" applyBorder="1" applyAlignment="1">
      <alignment horizontal="centerContinuous" vertical="center"/>
    </xf>
    <xf numFmtId="49" fontId="2" fillId="0" borderId="91" xfId="0" applyNumberFormat="1" applyFont="1" applyFill="1" applyBorder="1" applyAlignment="1">
      <alignment horizontal="center" vertical="center"/>
    </xf>
    <xf numFmtId="49" fontId="2" fillId="0" borderId="44" xfId="0" applyNumberFormat="1" applyFont="1" applyFill="1" applyBorder="1" applyAlignment="1">
      <alignment horizontal="center" vertical="center"/>
    </xf>
    <xf numFmtId="0" fontId="2" fillId="0" borderId="76" xfId="0" applyFont="1" applyFill="1" applyBorder="1" applyAlignment="1">
      <alignment horizontal="centerContinuous" vertical="center"/>
    </xf>
    <xf numFmtId="1" fontId="2" fillId="0" borderId="51" xfId="0" applyNumberFormat="1" applyFont="1" applyBorder="1" applyAlignment="1">
      <alignment horizontal="center" vertical="center"/>
    </xf>
    <xf numFmtId="0" fontId="2" fillId="0" borderId="42" xfId="0" quotePrefix="1" applyFont="1" applyFill="1" applyBorder="1" applyAlignment="1">
      <alignment horizontal="center" vertical="center" wrapText="1"/>
    </xf>
    <xf numFmtId="1" fontId="7" fillId="0" borderId="30" xfId="0" applyNumberFormat="1" applyFont="1" applyFill="1" applyBorder="1" applyAlignment="1">
      <alignment horizontal="center" vertical="center"/>
    </xf>
    <xf numFmtId="0" fontId="26" fillId="0" borderId="51" xfId="0" applyFont="1" applyFill="1" applyBorder="1" applyAlignment="1">
      <alignment horizontal="centerContinuous" vertical="center"/>
    </xf>
    <xf numFmtId="0" fontId="52" fillId="0" borderId="38" xfId="0" applyFont="1" applyFill="1" applyBorder="1" applyAlignment="1">
      <alignment horizontal="centerContinuous" vertical="center"/>
    </xf>
    <xf numFmtId="49" fontId="4" fillId="0" borderId="0" xfId="0" applyNumberFormat="1"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84" xfId="0" applyFont="1" applyBorder="1" applyAlignment="1">
      <alignment horizontal="center" vertical="center" shrinkToFit="1"/>
    </xf>
    <xf numFmtId="1" fontId="2" fillId="0" borderId="42" xfId="0" applyNumberFormat="1" applyFont="1" applyBorder="1" applyAlignment="1">
      <alignment horizontal="center" vertical="center" shrinkToFit="1"/>
    </xf>
    <xf numFmtId="0" fontId="2" fillId="0" borderId="96" xfId="0" applyFont="1" applyBorder="1" applyAlignment="1">
      <alignment horizontal="left" vertical="center"/>
    </xf>
    <xf numFmtId="1" fontId="2" fillId="0" borderId="38" xfId="0" applyNumberFormat="1" applyFont="1" applyBorder="1" applyAlignment="1">
      <alignment horizontal="center" vertical="center" shrinkToFit="1"/>
    </xf>
    <xf numFmtId="0" fontId="24" fillId="0" borderId="25" xfId="0" applyFont="1" applyBorder="1" applyAlignment="1">
      <alignment horizontal="centerContinuous" vertical="center"/>
    </xf>
    <xf numFmtId="0" fontId="12" fillId="3" borderId="68" xfId="0" applyFont="1" applyFill="1" applyBorder="1" applyAlignment="1">
      <alignment horizontal="centerContinuous" vertical="center"/>
    </xf>
    <xf numFmtId="0" fontId="12" fillId="3" borderId="40" xfId="0" applyFont="1" applyFill="1" applyBorder="1" applyAlignment="1">
      <alignment horizontal="center" vertical="center"/>
    </xf>
    <xf numFmtId="0" fontId="12" fillId="3" borderId="40" xfId="0" applyNumberFormat="1" applyFont="1" applyFill="1" applyBorder="1" applyAlignment="1">
      <alignment horizontal="center" vertical="center"/>
    </xf>
    <xf numFmtId="0" fontId="45" fillId="12" borderId="39" xfId="0" applyNumberFormat="1" applyFont="1" applyFill="1" applyBorder="1" applyAlignment="1">
      <alignment horizontal="center" vertical="center"/>
    </xf>
    <xf numFmtId="0" fontId="12" fillId="3" borderId="69" xfId="0" applyFont="1" applyFill="1" applyBorder="1" applyAlignment="1">
      <alignment horizontal="center" vertical="center"/>
    </xf>
    <xf numFmtId="0" fontId="43" fillId="0" borderId="1" xfId="0" applyFont="1" applyFill="1" applyBorder="1" applyAlignment="1">
      <alignment vertical="center"/>
    </xf>
    <xf numFmtId="0" fontId="6" fillId="0" borderId="27" xfId="0" applyFont="1" applyFill="1" applyBorder="1" applyAlignment="1">
      <alignment horizontal="center" vertical="center"/>
    </xf>
    <xf numFmtId="0" fontId="52"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44" fillId="0" borderId="27" xfId="0" applyFont="1" applyFill="1" applyBorder="1" applyAlignment="1">
      <alignment horizontal="center" vertical="center"/>
    </xf>
    <xf numFmtId="1" fontId="7" fillId="0" borderId="27" xfId="0" applyNumberFormat="1" applyFont="1" applyFill="1" applyBorder="1" applyAlignment="1">
      <alignment horizontal="center" vertical="center"/>
    </xf>
    <xf numFmtId="0" fontId="42" fillId="12" borderId="28" xfId="0" applyNumberFormat="1" applyFont="1" applyFill="1" applyBorder="1" applyAlignment="1">
      <alignment horizontal="center" vertical="center"/>
    </xf>
    <xf numFmtId="0" fontId="7" fillId="0" borderId="29" xfId="0" quotePrefix="1" applyNumberFormat="1" applyFont="1" applyFill="1" applyBorder="1" applyAlignment="1">
      <alignment horizontal="center" vertical="center"/>
    </xf>
    <xf numFmtId="0" fontId="57" fillId="0" borderId="1" xfId="0" applyFont="1" applyFill="1" applyBorder="1" applyAlignment="1">
      <alignment vertical="center"/>
    </xf>
    <xf numFmtId="0" fontId="56" fillId="0" borderId="27" xfId="0" applyFont="1" applyFill="1" applyBorder="1" applyAlignment="1">
      <alignment horizontal="center" vertical="center"/>
    </xf>
    <xf numFmtId="0" fontId="13" fillId="0" borderId="28" xfId="0" applyNumberFormat="1" applyFont="1" applyFill="1" applyBorder="1" applyAlignment="1">
      <alignment horizontal="center" vertical="center"/>
    </xf>
    <xf numFmtId="0" fontId="44" fillId="0" borderId="35" xfId="0" applyFont="1" applyFill="1" applyBorder="1" applyAlignment="1">
      <alignment vertical="center"/>
    </xf>
    <xf numFmtId="0" fontId="6" fillId="0" borderId="49" xfId="0" applyFont="1" applyFill="1" applyBorder="1" applyAlignment="1">
      <alignment horizontal="center" vertical="center"/>
    </xf>
    <xf numFmtId="0" fontId="7" fillId="0" borderId="49" xfId="0" applyFont="1" applyFill="1" applyBorder="1" applyAlignment="1">
      <alignment horizontal="center" vertical="center"/>
    </xf>
    <xf numFmtId="0" fontId="45" fillId="0" borderId="49" xfId="0" applyFont="1" applyFill="1" applyBorder="1" applyAlignment="1">
      <alignment horizontal="center" vertical="center"/>
    </xf>
    <xf numFmtId="1" fontId="7" fillId="0" borderId="49" xfId="0" applyNumberFormat="1" applyFont="1" applyFill="1" applyBorder="1" applyAlignment="1">
      <alignment horizontal="center" vertical="center"/>
    </xf>
    <xf numFmtId="0" fontId="42" fillId="12" borderId="49" xfId="0" applyNumberFormat="1" applyFont="1" applyFill="1" applyBorder="1" applyAlignment="1">
      <alignment horizontal="center" vertical="center"/>
    </xf>
    <xf numFmtId="0" fontId="7" fillId="0" borderId="36"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7"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56" fillId="0" borderId="27" xfId="0" applyNumberFormat="1" applyFont="1" applyFill="1" applyBorder="1" applyAlignment="1">
      <alignment horizontal="center" vertical="center"/>
    </xf>
    <xf numFmtId="0" fontId="56" fillId="0" borderId="28" xfId="0" applyNumberFormat="1" applyFont="1" applyFill="1" applyBorder="1" applyAlignment="1">
      <alignment horizontal="center" vertical="center"/>
    </xf>
    <xf numFmtId="0" fontId="57" fillId="0" borderId="28"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7" xfId="0" applyNumberFormat="1"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NumberFormat="1" applyFont="1" applyFill="1" applyBorder="1" applyAlignment="1">
      <alignment horizontal="center" vertical="center"/>
    </xf>
    <xf numFmtId="0" fontId="14" fillId="9" borderId="28"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7"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10" fillId="7" borderId="1" xfId="0" applyFont="1" applyFill="1" applyBorder="1" applyAlignment="1">
      <alignment vertical="center"/>
    </xf>
    <xf numFmtId="0" fontId="7" fillId="7" borderId="27" xfId="0" applyNumberFormat="1" applyFont="1" applyFill="1" applyBorder="1" applyAlignment="1">
      <alignment horizontal="center" vertical="center"/>
    </xf>
    <xf numFmtId="49" fontId="26" fillId="7" borderId="27" xfId="0" applyNumberFormat="1" applyFont="1" applyFill="1" applyBorder="1" applyAlignment="1">
      <alignment horizontal="center" vertical="center"/>
    </xf>
    <xf numFmtId="0" fontId="26" fillId="7" borderId="28" xfId="0" applyNumberFormat="1" applyFont="1" applyFill="1" applyBorder="1" applyAlignment="1">
      <alignment horizontal="center" vertical="center"/>
    </xf>
    <xf numFmtId="0" fontId="10" fillId="7" borderId="28" xfId="0" applyNumberFormat="1"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quotePrefix="1" applyNumberFormat="1" applyFont="1" applyFill="1" applyBorder="1" applyAlignment="1">
      <alignment horizontal="center" vertical="center"/>
    </xf>
    <xf numFmtId="0" fontId="11" fillId="5" borderId="1" xfId="0" applyFont="1" applyFill="1" applyBorder="1" applyAlignment="1">
      <alignment vertical="center"/>
    </xf>
    <xf numFmtId="0" fontId="7" fillId="5" borderId="27" xfId="0" applyNumberFormat="1"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quotePrefix="1" applyNumberFormat="1" applyFont="1" applyFill="1" applyBorder="1" applyAlignment="1">
      <alignment horizontal="center"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7" xfId="0" applyNumberFormat="1"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quotePrefix="1"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NumberFormat="1" applyFont="1" applyFill="1" applyBorder="1" applyAlignment="1">
      <alignment horizontal="center" vertical="center"/>
    </xf>
    <xf numFmtId="0" fontId="11" fillId="7" borderId="28"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7"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57" fillId="5" borderId="1" xfId="0" applyFont="1" applyFill="1" applyBorder="1" applyAlignment="1">
      <alignment vertical="center"/>
    </xf>
    <xf numFmtId="49" fontId="56" fillId="5" borderId="27" xfId="0" applyNumberFormat="1" applyFont="1" applyFill="1" applyBorder="1" applyAlignment="1">
      <alignment horizontal="center" vertical="center"/>
    </xf>
    <xf numFmtId="0" fontId="56" fillId="5" borderId="28" xfId="0" applyNumberFormat="1" applyFont="1" applyFill="1" applyBorder="1" applyAlignment="1">
      <alignment horizontal="center" vertical="center"/>
    </xf>
    <xf numFmtId="0" fontId="57" fillId="5" borderId="28" xfId="0" applyNumberFormat="1" applyFont="1" applyFill="1" applyBorder="1" applyAlignment="1">
      <alignment horizontal="center" vertical="center"/>
    </xf>
    <xf numFmtId="49" fontId="27" fillId="9" borderId="27" xfId="0" applyNumberFormat="1" applyFont="1" applyFill="1" applyBorder="1" applyAlignment="1">
      <alignment horizontal="center" vertical="center"/>
    </xf>
    <xf numFmtId="0" fontId="27" fillId="9" borderId="28" xfId="0" applyNumberFormat="1" applyFont="1" applyFill="1" applyBorder="1" applyAlignment="1">
      <alignment horizontal="center" vertical="center"/>
    </xf>
    <xf numFmtId="0" fontId="22" fillId="9" borderId="28"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NumberFormat="1" applyFont="1" applyFill="1" applyBorder="1" applyAlignment="1">
      <alignment horizontal="center" vertical="center"/>
    </xf>
    <xf numFmtId="0" fontId="11" fillId="9" borderId="28" xfId="0" applyNumberFormat="1" applyFont="1" applyFill="1" applyBorder="1" applyAlignment="1">
      <alignment horizontal="center" vertical="center"/>
    </xf>
    <xf numFmtId="0" fontId="22" fillId="9" borderId="1" xfId="0" applyFont="1" applyFill="1" applyBorder="1" applyAlignment="1">
      <alignment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NumberFormat="1" applyFont="1" applyFill="1" applyBorder="1" applyAlignment="1">
      <alignment horizontal="center" vertical="center"/>
    </xf>
    <xf numFmtId="0" fontId="14" fillId="5" borderId="28" xfId="0" applyNumberFormat="1" applyFont="1" applyFill="1" applyBorder="1" applyAlignment="1">
      <alignment horizontal="center" vertical="center"/>
    </xf>
    <xf numFmtId="0" fontId="57" fillId="0" borderId="8" xfId="0" applyFont="1" applyFill="1" applyBorder="1" applyAlignment="1">
      <alignment vertical="center"/>
    </xf>
    <xf numFmtId="0" fontId="7" fillId="0" borderId="48" xfId="0" applyNumberFormat="1" applyFont="1" applyFill="1" applyBorder="1" applyAlignment="1">
      <alignment horizontal="center" vertical="center"/>
    </xf>
    <xf numFmtId="49" fontId="56" fillId="0" borderId="48" xfId="0" applyNumberFormat="1" applyFont="1" applyFill="1" applyBorder="1" applyAlignment="1">
      <alignment horizontal="center" vertical="center"/>
    </xf>
    <xf numFmtId="0" fontId="56" fillId="0" borderId="50" xfId="0" applyNumberFormat="1" applyFont="1" applyFill="1" applyBorder="1" applyAlignment="1">
      <alignment horizontal="center" vertical="center"/>
    </xf>
    <xf numFmtId="0" fontId="57" fillId="0" borderId="50" xfId="0" applyNumberFormat="1" applyFont="1" applyFill="1" applyBorder="1" applyAlignment="1">
      <alignment horizontal="center" vertical="center"/>
    </xf>
    <xf numFmtId="49" fontId="7" fillId="0" borderId="50" xfId="0" applyNumberFormat="1" applyFont="1" applyFill="1" applyBorder="1" applyAlignment="1">
      <alignment horizontal="center" vertical="center"/>
    </xf>
    <xf numFmtId="0" fontId="42" fillId="12" borderId="48" xfId="0" applyNumberFormat="1" applyFont="1" applyFill="1" applyBorder="1" applyAlignment="1">
      <alignment horizontal="center" vertical="center"/>
    </xf>
    <xf numFmtId="0" fontId="7" fillId="0" borderId="37" xfId="0" quotePrefix="1" applyNumberFormat="1" applyFont="1" applyFill="1" applyBorder="1" applyAlignment="1">
      <alignment horizontal="center" vertical="center"/>
    </xf>
    <xf numFmtId="0" fontId="4" fillId="0" borderId="0" xfId="0" applyFont="1" applyBorder="1" applyAlignment="1">
      <alignment horizontal="left" vertical="center"/>
    </xf>
    <xf numFmtId="0" fontId="7" fillId="0" borderId="26" xfId="0" quotePrefix="1" applyFont="1" applyFill="1" applyBorder="1" applyAlignment="1">
      <alignment horizontal="center" vertical="center"/>
    </xf>
    <xf numFmtId="0" fontId="51" fillId="0" borderId="0" xfId="0" applyFont="1" applyBorder="1" applyAlignment="1">
      <alignment horizontal="centerContinuous" vertical="center"/>
    </xf>
    <xf numFmtId="0" fontId="38" fillId="0" borderId="0" xfId="0" applyFont="1" applyBorder="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3" xfId="0" applyFont="1" applyBorder="1" applyAlignment="1">
      <alignment horizontal="right"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4" fillId="0" borderId="38" xfId="0" applyFont="1" applyBorder="1" applyAlignment="1">
      <alignment horizontal="right" vertical="center"/>
    </xf>
    <xf numFmtId="0" fontId="2" fillId="0" borderId="59" xfId="0" applyFont="1" applyBorder="1" applyAlignment="1">
      <alignment horizontal="center" vertical="center"/>
    </xf>
    <xf numFmtId="0" fontId="4" fillId="0" borderId="51" xfId="0" applyFont="1" applyBorder="1" applyAlignment="1">
      <alignment horizontal="right" vertical="center"/>
    </xf>
    <xf numFmtId="0" fontId="39" fillId="13" borderId="64" xfId="0" applyFont="1" applyFill="1" applyBorder="1" applyAlignment="1">
      <alignment horizontal="center" vertical="center"/>
    </xf>
    <xf numFmtId="0" fontId="39" fillId="13" borderId="44" xfId="0" applyFont="1" applyFill="1" applyBorder="1" applyAlignment="1">
      <alignment horizontal="center" vertical="center"/>
    </xf>
    <xf numFmtId="0" fontId="55" fillId="0" borderId="0" xfId="0" applyFont="1" applyBorder="1" applyAlignment="1">
      <alignment vertical="center"/>
    </xf>
    <xf numFmtId="0" fontId="2" fillId="15" borderId="61" xfId="0" applyFont="1" applyFill="1" applyBorder="1" applyAlignment="1">
      <alignment horizontal="center" vertical="center"/>
    </xf>
    <xf numFmtId="0" fontId="2" fillId="15" borderId="62" xfId="0" applyFont="1" applyFill="1" applyBorder="1" applyAlignment="1">
      <alignment horizontal="center" vertical="center"/>
    </xf>
    <xf numFmtId="0" fontId="2" fillId="15" borderId="42" xfId="0" applyFont="1" applyFill="1" applyBorder="1" applyAlignment="1">
      <alignment horizontal="center" vertical="center"/>
    </xf>
    <xf numFmtId="0" fontId="2" fillId="15" borderId="43" xfId="0" applyFont="1" applyFill="1" applyBorder="1" applyAlignment="1">
      <alignment horizontal="center" vertical="center"/>
    </xf>
    <xf numFmtId="0" fontId="4" fillId="15" borderId="45" xfId="0" applyFont="1" applyFill="1" applyBorder="1" applyAlignment="1">
      <alignment horizontal="center" vertical="center"/>
    </xf>
    <xf numFmtId="0" fontId="4" fillId="15" borderId="44" xfId="0" applyFont="1" applyFill="1" applyBorder="1" applyAlignment="1">
      <alignment horizontal="center" vertical="center"/>
    </xf>
    <xf numFmtId="49" fontId="2" fillId="0" borderId="42" xfId="2" applyNumberFormat="1" applyFont="1" applyBorder="1" applyAlignment="1">
      <alignment horizontal="center" vertical="center"/>
    </xf>
    <xf numFmtId="164" fontId="5" fillId="0" borderId="42" xfId="0" applyNumberFormat="1" applyFont="1" applyBorder="1" applyAlignment="1">
      <alignment horizontal="center" vertical="center"/>
    </xf>
    <xf numFmtId="0" fontId="2" fillId="0" borderId="43" xfId="0" quotePrefix="1" applyFont="1" applyBorder="1" applyAlignment="1">
      <alignment horizontal="center" vertical="center"/>
    </xf>
    <xf numFmtId="0" fontId="6" fillId="4" borderId="33" xfId="0" applyFont="1" applyFill="1" applyBorder="1" applyAlignment="1">
      <alignment horizontal="right" vertical="center"/>
    </xf>
    <xf numFmtId="3" fontId="7" fillId="0" borderId="12" xfId="0" applyNumberFormat="1" applyFont="1" applyBorder="1" applyAlignment="1">
      <alignment horizontal="center" vertical="center"/>
    </xf>
    <xf numFmtId="0" fontId="4" fillId="0" borderId="58" xfId="0" applyFont="1" applyBorder="1" applyAlignment="1">
      <alignment horizontal="right" vertical="center"/>
    </xf>
    <xf numFmtId="49" fontId="2" fillId="0" borderId="102" xfId="0" applyNumberFormat="1" applyFont="1" applyBorder="1" applyAlignment="1">
      <alignment horizontal="center" vertical="center"/>
    </xf>
    <xf numFmtId="0" fontId="4" fillId="16" borderId="45" xfId="0" applyFont="1" applyFill="1" applyBorder="1" applyAlignment="1">
      <alignment horizontal="center" vertical="center"/>
    </xf>
    <xf numFmtId="49" fontId="2" fillId="16" borderId="61" xfId="0" applyNumberFormat="1" applyFont="1" applyFill="1" applyBorder="1" applyAlignment="1">
      <alignment horizontal="center" vertical="center"/>
    </xf>
    <xf numFmtId="49" fontId="2" fillId="16" borderId="62" xfId="0" applyNumberFormat="1" applyFont="1" applyFill="1" applyBorder="1" applyAlignment="1">
      <alignment horizontal="center" vertical="center"/>
    </xf>
    <xf numFmtId="0" fontId="4" fillId="16" borderId="44" xfId="0" applyFont="1" applyFill="1" applyBorder="1" applyAlignment="1">
      <alignment horizontal="center" vertical="center"/>
    </xf>
    <xf numFmtId="0" fontId="8" fillId="9" borderId="1" xfId="0" applyFont="1" applyFill="1" applyBorder="1" applyAlignment="1">
      <alignment vertical="center"/>
    </xf>
    <xf numFmtId="49" fontId="18" fillId="9" borderId="27" xfId="0" applyNumberFormat="1" applyFont="1" applyFill="1" applyBorder="1" applyAlignment="1">
      <alignment horizontal="center" vertical="center"/>
    </xf>
    <xf numFmtId="0" fontId="18" fillId="9" borderId="28" xfId="0" applyNumberFormat="1" applyFont="1" applyFill="1" applyBorder="1" applyAlignment="1">
      <alignment horizontal="center" vertical="center"/>
    </xf>
    <xf numFmtId="0" fontId="8" fillId="9" borderId="28" xfId="0" applyNumberFormat="1" applyFont="1" applyFill="1" applyBorder="1" applyAlignment="1">
      <alignment horizontal="center" vertical="center"/>
    </xf>
    <xf numFmtId="2" fontId="2" fillId="0" borderId="51" xfId="0" applyNumberFormat="1" applyFont="1" applyFill="1" applyBorder="1" applyAlignment="1">
      <alignment horizontal="center" vertical="center"/>
    </xf>
    <xf numFmtId="0" fontId="2" fillId="0" borderId="103" xfId="0" applyFont="1" applyBorder="1" applyAlignment="1">
      <alignment horizontal="center" vertical="center" shrinkToFit="1"/>
    </xf>
    <xf numFmtId="0" fontId="2" fillId="0" borderId="97" xfId="0" applyFont="1" applyFill="1" applyBorder="1" applyAlignment="1">
      <alignment horizontal="center" vertical="center"/>
    </xf>
    <xf numFmtId="49" fontId="2" fillId="0" borderId="97" xfId="0" applyNumberFormat="1" applyFont="1" applyFill="1" applyBorder="1" applyAlignment="1">
      <alignment horizontal="center" vertical="center"/>
    </xf>
    <xf numFmtId="164" fontId="2" fillId="0" borderId="97" xfId="0" applyNumberFormat="1" applyFont="1" applyFill="1" applyBorder="1" applyAlignment="1">
      <alignment horizontal="center" vertical="center"/>
    </xf>
    <xf numFmtId="1" fontId="47" fillId="12" borderId="97" xfId="0" applyNumberFormat="1" applyFont="1" applyFill="1" applyBorder="1" applyAlignment="1">
      <alignment horizontal="center" vertical="center"/>
    </xf>
    <xf numFmtId="1" fontId="2" fillId="0" borderId="97" xfId="0" applyNumberFormat="1" applyFont="1" applyFill="1" applyBorder="1" applyAlignment="1">
      <alignment horizontal="center" vertical="center"/>
    </xf>
    <xf numFmtId="0" fontId="2" fillId="0" borderId="98" xfId="0" quotePrefix="1" applyFont="1" applyFill="1" applyBorder="1" applyAlignment="1">
      <alignment horizontal="center" vertical="center"/>
    </xf>
    <xf numFmtId="0" fontId="2" fillId="14" borderId="80" xfId="0" applyFont="1" applyFill="1" applyBorder="1" applyAlignment="1">
      <alignment horizontal="center" vertical="center"/>
    </xf>
    <xf numFmtId="0" fontId="2" fillId="14" borderId="45" xfId="0" applyFont="1" applyFill="1" applyBorder="1" applyAlignment="1">
      <alignment horizontal="center" vertical="center"/>
    </xf>
    <xf numFmtId="0" fontId="2" fillId="14" borderId="51" xfId="0" applyFont="1" applyFill="1" applyBorder="1" applyAlignment="1">
      <alignment horizontal="center" vertical="center"/>
    </xf>
    <xf numFmtId="164" fontId="2" fillId="0" borderId="51" xfId="0" applyNumberFormat="1" applyFont="1" applyBorder="1" applyAlignment="1">
      <alignment horizontal="center" vertical="center" shrinkToFit="1"/>
    </xf>
    <xf numFmtId="0" fontId="21" fillId="3" borderId="21"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104"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7" fillId="0" borderId="27" xfId="5" applyFont="1" applyBorder="1" applyAlignment="1">
      <alignment horizontal="center" vertical="center" shrinkToFit="1"/>
    </xf>
    <xf numFmtId="9" fontId="7" fillId="0" borderId="28" xfId="2" applyFont="1" applyBorder="1" applyAlignment="1">
      <alignment horizontal="center" vertical="center" shrinkToFit="1"/>
    </xf>
    <xf numFmtId="0" fontId="7" fillId="0" borderId="28" xfId="2" applyNumberFormat="1" applyFont="1" applyBorder="1" applyAlignment="1">
      <alignment horizontal="center" vertical="center" shrinkToFit="1"/>
    </xf>
    <xf numFmtId="0" fontId="7" fillId="0" borderId="29" xfId="0" applyFont="1" applyBorder="1" applyAlignment="1">
      <alignment horizontal="center" vertical="center" wrapText="1"/>
    </xf>
    <xf numFmtId="0" fontId="57" fillId="9" borderId="1" xfId="0" applyFont="1" applyFill="1" applyBorder="1" applyAlignment="1">
      <alignment vertical="center"/>
    </xf>
    <xf numFmtId="49" fontId="56" fillId="9" borderId="27" xfId="0" applyNumberFormat="1" applyFont="1" applyFill="1" applyBorder="1" applyAlignment="1">
      <alignment horizontal="center" vertical="center"/>
    </xf>
    <xf numFmtId="0" fontId="56" fillId="9" borderId="28" xfId="0" applyNumberFormat="1" applyFont="1" applyFill="1" applyBorder="1" applyAlignment="1">
      <alignment horizontal="center" vertical="center"/>
    </xf>
    <xf numFmtId="0" fontId="57" fillId="9" borderId="28" xfId="0" applyNumberFormat="1" applyFont="1" applyFill="1" applyBorder="1" applyAlignment="1">
      <alignment horizontal="center" vertical="center"/>
    </xf>
    <xf numFmtId="49" fontId="7" fillId="17" borderId="28" xfId="0" applyNumberFormat="1" applyFont="1" applyFill="1" applyBorder="1" applyAlignment="1">
      <alignment horizontal="center" vertical="center"/>
    </xf>
    <xf numFmtId="2" fontId="5" fillId="0" borderId="42" xfId="0" applyNumberFormat="1" applyFont="1" applyBorder="1" applyAlignment="1">
      <alignment horizontal="center" vertical="center" shrinkToFit="1"/>
    </xf>
    <xf numFmtId="0" fontId="2" fillId="0" borderId="97" xfId="0" applyFont="1" applyBorder="1" applyAlignment="1">
      <alignment horizontal="center" vertical="center"/>
    </xf>
    <xf numFmtId="0" fontId="7" fillId="17" borderId="28" xfId="0" applyNumberFormat="1" applyFont="1" applyFill="1" applyBorder="1" applyAlignment="1">
      <alignment horizontal="center" vertical="center"/>
    </xf>
    <xf numFmtId="0" fontId="60" fillId="0" borderId="0" xfId="0" applyFont="1" applyAlignment="1">
      <alignment horizontal="centerContinuous" vertical="center" wrapText="1"/>
    </xf>
    <xf numFmtId="0" fontId="51" fillId="0" borderId="0" xfId="0" applyFont="1" applyAlignment="1">
      <alignment horizontal="centerContinuous" vertical="center" wrapText="1"/>
    </xf>
    <xf numFmtId="0" fontId="61" fillId="0" borderId="16" xfId="0" applyFont="1" applyBorder="1" applyAlignment="1">
      <alignment horizontal="center"/>
    </xf>
    <xf numFmtId="0" fontId="61" fillId="0" borderId="105" xfId="0" applyFont="1" applyBorder="1" applyAlignment="1">
      <alignment horizontal="center"/>
    </xf>
    <xf numFmtId="0" fontId="61" fillId="0" borderId="106" xfId="0" applyFont="1" applyBorder="1" applyAlignment="1">
      <alignment horizontal="center"/>
    </xf>
    <xf numFmtId="0" fontId="61" fillId="0" borderId="107" xfId="0" applyFont="1" applyBorder="1" applyAlignment="1">
      <alignment horizontal="center"/>
    </xf>
    <xf numFmtId="0" fontId="0" fillId="0" borderId="108" xfId="0" applyBorder="1" applyAlignment="1">
      <alignment horizontal="center"/>
    </xf>
    <xf numFmtId="0" fontId="0" fillId="10" borderId="97" xfId="0" applyFill="1" applyBorder="1" applyAlignment="1">
      <alignment horizontal="center"/>
    </xf>
    <xf numFmtId="0" fontId="0" fillId="10" borderId="98" xfId="0" applyFill="1" applyBorder="1" applyAlignment="1">
      <alignment horizontal="center"/>
    </xf>
    <xf numFmtId="0" fontId="0" fillId="0" borderId="109" xfId="0" applyBorder="1" applyAlignment="1">
      <alignment horizontal="center"/>
    </xf>
    <xf numFmtId="0" fontId="0" fillId="0" borderId="59" xfId="0" applyBorder="1" applyAlignment="1">
      <alignment horizontal="center"/>
    </xf>
    <xf numFmtId="0" fontId="0" fillId="10" borderId="42" xfId="0" applyFill="1" applyBorder="1" applyAlignment="1">
      <alignment horizontal="center"/>
    </xf>
    <xf numFmtId="0" fontId="0" fillId="10" borderId="43" xfId="0" applyFill="1" applyBorder="1" applyAlignment="1">
      <alignment horizontal="center"/>
    </xf>
    <xf numFmtId="0" fontId="0" fillId="0" borderId="42" xfId="0" applyBorder="1" applyAlignment="1">
      <alignment horizontal="center"/>
    </xf>
    <xf numFmtId="0" fontId="62" fillId="0" borderId="109" xfId="0" applyFont="1" applyBorder="1" applyAlignment="1">
      <alignment horizontal="center"/>
    </xf>
    <xf numFmtId="0" fontId="62" fillId="0" borderId="59" xfId="0" applyFont="1" applyBorder="1" applyAlignment="1">
      <alignment horizontal="center"/>
    </xf>
    <xf numFmtId="0" fontId="0" fillId="0" borderId="110" xfId="0" applyBorder="1" applyAlignment="1">
      <alignment horizontal="center"/>
    </xf>
    <xf numFmtId="0" fontId="0" fillId="0" borderId="64"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49" fontId="2" fillId="0" borderId="102" xfId="0" applyNumberFormat="1" applyFont="1" applyBorder="1" applyAlignment="1">
      <alignment horizontal="center"/>
    </xf>
    <xf numFmtId="0" fontId="0" fillId="0" borderId="111" xfId="0" applyBorder="1" applyAlignment="1">
      <alignment horizontal="center"/>
    </xf>
    <xf numFmtId="0" fontId="0" fillId="0" borderId="112" xfId="0" applyBorder="1" applyAlignment="1">
      <alignment horizontal="center"/>
    </xf>
    <xf numFmtId="0" fontId="0" fillId="0" borderId="81" xfId="0" applyBorder="1" applyAlignment="1">
      <alignment horizontal="center"/>
    </xf>
    <xf numFmtId="0" fontId="0" fillId="0" borderId="82" xfId="0" applyBorder="1" applyAlignment="1">
      <alignment horizontal="center"/>
    </xf>
    <xf numFmtId="0" fontId="2" fillId="0" borderId="64" xfId="0" applyFont="1" applyBorder="1" applyAlignment="1">
      <alignment horizontal="center"/>
    </xf>
    <xf numFmtId="0" fontId="7" fillId="0" borderId="37" xfId="0" applyNumberFormat="1" applyFont="1" applyFill="1" applyBorder="1" applyAlignment="1">
      <alignment horizontal="center" vertical="center" wrapText="1"/>
    </xf>
    <xf numFmtId="0" fontId="7" fillId="0" borderId="36" xfId="0" quotePrefix="1" applyNumberFormat="1" applyFont="1" applyFill="1" applyBorder="1" applyAlignment="1">
      <alignment horizontal="center" vertical="center" wrapText="1"/>
    </xf>
    <xf numFmtId="0" fontId="64" fillId="0" borderId="42" xfId="0" applyFont="1" applyBorder="1" applyAlignment="1">
      <alignment horizontal="center" vertical="center"/>
    </xf>
    <xf numFmtId="0" fontId="46" fillId="0" borderId="42" xfId="0" applyFont="1" applyBorder="1" applyAlignment="1">
      <alignment horizontal="center" vertical="center"/>
    </xf>
    <xf numFmtId="0" fontId="5" fillId="0" borderId="42"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96" xfId="0" applyFont="1" applyBorder="1" applyAlignment="1">
      <alignment horizontal="left" vertical="center"/>
    </xf>
    <xf numFmtId="2" fontId="2" fillId="0" borderId="38" xfId="0" applyNumberFormat="1" applyFont="1" applyBorder="1" applyAlignment="1">
      <alignment horizontal="center" vertical="center" shrinkToFit="1"/>
    </xf>
    <xf numFmtId="165" fontId="2" fillId="0" borderId="0" xfId="0" applyNumberFormat="1" applyFont="1" applyBorder="1" applyAlignment="1">
      <alignment horizontal="center" vertical="center"/>
    </xf>
    <xf numFmtId="0" fontId="2" fillId="0" borderId="0" xfId="0" applyFont="1" applyAlignment="1">
      <alignment horizontal="centerContinuous" vertical="center" shrinkToFit="1"/>
    </xf>
    <xf numFmtId="0" fontId="65" fillId="0" borderId="0" xfId="0" applyFont="1" applyAlignment="1">
      <alignment horizontal="centerContinuous" vertical="center"/>
    </xf>
    <xf numFmtId="9" fontId="21" fillId="3" borderId="20" xfId="2" applyFont="1" applyFill="1" applyBorder="1" applyAlignment="1">
      <alignment horizontal="center" vertical="center"/>
    </xf>
    <xf numFmtId="0" fontId="2" fillId="0" borderId="97" xfId="0" applyFont="1" applyBorder="1" applyAlignment="1">
      <alignment horizontal="center" vertical="center" shrinkToFit="1"/>
    </xf>
    <xf numFmtId="164" fontId="2" fillId="0" borderId="97" xfId="0" applyNumberFormat="1" applyFont="1" applyBorder="1" applyAlignment="1">
      <alignment horizontal="center" vertical="center" shrinkToFit="1"/>
    </xf>
    <xf numFmtId="0" fontId="5" fillId="0" borderId="97" xfId="0" applyFont="1" applyBorder="1" applyAlignment="1">
      <alignment horizontal="left" vertical="center"/>
    </xf>
    <xf numFmtId="0" fontId="5" fillId="0" borderId="98" xfId="0" applyFont="1" applyBorder="1" applyAlignment="1">
      <alignment horizontal="left" vertical="center" shrinkToFit="1"/>
    </xf>
    <xf numFmtId="1" fontId="7" fillId="14" borderId="27" xfId="0" applyNumberFormat="1" applyFont="1" applyFill="1" applyBorder="1" applyAlignment="1">
      <alignment horizontal="center" vertical="center"/>
    </xf>
    <xf numFmtId="1" fontId="7" fillId="14" borderId="49" xfId="0" applyNumberFormat="1" applyFont="1" applyFill="1" applyBorder="1" applyAlignment="1">
      <alignment horizontal="center" vertical="center"/>
    </xf>
    <xf numFmtId="0" fontId="2" fillId="0" borderId="97" xfId="0" applyFont="1" applyBorder="1" applyAlignment="1">
      <alignment horizontal="left" vertical="center"/>
    </xf>
    <xf numFmtId="0" fontId="7" fillId="9" borderId="28" xfId="0" applyNumberFormat="1" applyFont="1" applyFill="1" applyBorder="1" applyAlignment="1">
      <alignment horizontal="center" vertical="center"/>
    </xf>
    <xf numFmtId="0" fontId="53" fillId="0" borderId="58" xfId="0" applyFont="1" applyFill="1" applyBorder="1" applyAlignment="1">
      <alignment horizontal="centerContinuous" vertical="center"/>
    </xf>
    <xf numFmtId="0" fontId="53" fillId="0" borderId="51" xfId="0" applyFont="1" applyFill="1" applyBorder="1" applyAlignment="1">
      <alignment horizontal="centerContinuous" vertical="center"/>
    </xf>
    <xf numFmtId="0" fontId="66" fillId="11" borderId="34" xfId="0" applyFont="1" applyFill="1" applyBorder="1" applyAlignment="1">
      <alignment horizontal="centerContinuous" vertical="center"/>
    </xf>
    <xf numFmtId="0" fontId="67" fillId="11" borderId="58" xfId="0" applyFont="1" applyFill="1" applyBorder="1" applyAlignment="1">
      <alignment horizontal="centerContinuous" vertical="center"/>
    </xf>
    <xf numFmtId="0" fontId="67" fillId="11" borderId="51" xfId="0" applyFont="1" applyFill="1" applyBorder="1" applyAlignment="1">
      <alignment horizontal="centerContinuous" vertical="center"/>
    </xf>
    <xf numFmtId="0" fontId="66" fillId="18" borderId="34" xfId="0" applyFont="1" applyFill="1" applyBorder="1" applyAlignment="1">
      <alignment horizontal="centerContinuous" vertical="center"/>
    </xf>
    <xf numFmtId="0" fontId="67" fillId="18" borderId="38" xfId="0" applyFont="1" applyFill="1" applyBorder="1" applyAlignment="1">
      <alignment horizontal="centerContinuous" vertical="center"/>
    </xf>
    <xf numFmtId="0" fontId="67" fillId="18" borderId="51" xfId="0" applyFont="1" applyFill="1" applyBorder="1" applyAlignment="1">
      <alignment horizontal="centerContinuous" vertical="center"/>
    </xf>
    <xf numFmtId="0" fontId="54" fillId="0" borderId="34" xfId="0" applyFont="1" applyFill="1" applyBorder="1" applyAlignment="1">
      <alignment horizontal="centerContinuous" vertical="center"/>
    </xf>
    <xf numFmtId="1" fontId="7" fillId="0" borderId="87" xfId="0" applyNumberFormat="1" applyFont="1" applyFill="1" applyBorder="1" applyAlignment="1">
      <alignment horizontal="centerContinuous" vertical="center"/>
    </xf>
    <xf numFmtId="0" fontId="2" fillId="0" borderId="88" xfId="0" applyFont="1" applyFill="1" applyBorder="1" applyAlignment="1">
      <alignment horizontal="centerContinuous" vertical="center"/>
    </xf>
    <xf numFmtId="0" fontId="7" fillId="19" borderId="14" xfId="0" applyFont="1" applyFill="1" applyBorder="1" applyAlignment="1">
      <alignment horizontal="center" vertical="center"/>
    </xf>
    <xf numFmtId="0" fontId="7" fillId="0" borderId="58" xfId="0" applyFont="1" applyBorder="1" applyAlignment="1">
      <alignment horizontal="centerContinuous" vertical="center"/>
    </xf>
    <xf numFmtId="0" fontId="7" fillId="0" borderId="51" xfId="0" applyFont="1" applyBorder="1" applyAlignment="1">
      <alignment horizontal="centerContinuous"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14">
    <dxf>
      <font>
        <b/>
        <i val="0"/>
      </font>
      <fill>
        <patternFill>
          <bgColor rgb="FF00FF00"/>
        </patternFill>
      </fill>
    </dxf>
    <dxf>
      <fill>
        <patternFill>
          <bgColor rgb="FF99FF99"/>
        </patternFill>
      </fill>
    </dxf>
    <dxf>
      <font>
        <b/>
        <i val="0"/>
      </font>
      <fill>
        <patternFill>
          <bgColor rgb="FF00FF00"/>
        </patternFill>
      </fill>
    </dxf>
    <dxf>
      <fill>
        <patternFill>
          <bgColor rgb="FF99FF99"/>
        </patternFill>
      </fill>
    </dxf>
    <dxf>
      <font>
        <b/>
        <i val="0"/>
      </font>
      <fill>
        <patternFill>
          <bgColor rgb="FF00FF00"/>
        </patternFill>
      </fill>
    </dxf>
    <dxf>
      <font>
        <b/>
        <i val="0"/>
      </font>
      <fill>
        <patternFill>
          <bgColor rgb="FF00FF00"/>
        </patternFill>
      </fill>
    </dxf>
    <dxf>
      <font>
        <b/>
        <i val="0"/>
      </font>
      <fill>
        <patternFill>
          <bgColor rgb="FF00FF00"/>
        </patternFill>
      </fill>
    </dxf>
    <dxf>
      <font>
        <b/>
        <i val="0"/>
      </font>
      <fill>
        <patternFill>
          <bgColor rgb="FF00FF00"/>
        </patternFill>
      </fill>
    </dxf>
    <dxf>
      <fill>
        <patternFill>
          <bgColor rgb="FF99FF99"/>
        </patternFill>
      </fill>
    </dxf>
    <dxf>
      <font>
        <b/>
        <i val="0"/>
      </font>
      <fill>
        <patternFill>
          <bgColor rgb="FF00FF00"/>
        </patternFill>
      </fill>
    </dxf>
    <dxf>
      <font>
        <b/>
        <i val="0"/>
      </font>
      <fill>
        <patternFill>
          <bgColor rgb="FF00FF00"/>
        </patternFill>
      </fill>
    </dxf>
    <dxf>
      <font>
        <b/>
        <i val="0"/>
      </font>
      <fill>
        <patternFill>
          <bgColor rgb="FF00FF00"/>
        </patternFill>
      </fill>
    </dxf>
    <dxf>
      <fill>
        <patternFill>
          <bgColor rgb="FFFFC000"/>
        </patternFill>
      </fill>
    </dxf>
    <dxf>
      <fill>
        <patternFill>
          <bgColor rgb="FFFF0000"/>
        </patternFill>
      </fill>
    </dxf>
  </dxfs>
  <tableStyles count="0" defaultTableStyle="TableStyleMedium2" defaultPivotStyle="PivotStyleLight16"/>
  <colors>
    <mruColors>
      <color rgb="FF0066FF"/>
      <color rgb="FF0000FF"/>
      <color rgb="FF99FF99"/>
      <color rgb="FFCCFFCC"/>
      <color rgb="FF9966FF"/>
      <color rgb="FF00FF00"/>
      <color rgb="FF009900"/>
      <color rgb="FF00CC66"/>
      <color rgb="FF00FF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83820</xdr:colOff>
      <xdr:row>1</xdr:row>
      <xdr:rowOff>91440</xdr:rowOff>
    </xdr:from>
    <xdr:to>
      <xdr:col>6</xdr:col>
      <xdr:colOff>1219281</xdr:colOff>
      <xdr:row>15</xdr:row>
      <xdr:rowOff>220980</xdr:rowOff>
    </xdr:to>
    <xdr:pic>
      <xdr:nvPicPr>
        <xdr:cNvPr id="2" name="Picture 1">
          <a:extLst>
            <a:ext uri="{FF2B5EF4-FFF2-40B4-BE49-F238E27FC236}">
              <a16:creationId xmlns:a16="http://schemas.microsoft.com/office/drawing/2014/main" id="{6C30DC07-CFB7-4E78-9F6E-9BECA7B0E99D}"/>
            </a:ext>
          </a:extLst>
        </xdr:cNvPr>
        <xdr:cNvPicPr>
          <a:picLocks noChangeAspect="1"/>
        </xdr:cNvPicPr>
      </xdr:nvPicPr>
      <xdr:blipFill>
        <a:blip xmlns:r="http://schemas.openxmlformats.org/officeDocument/2006/relationships" r:embed="rId1"/>
        <a:stretch>
          <a:fillRect/>
        </a:stretch>
      </xdr:blipFill>
      <xdr:spPr>
        <a:xfrm>
          <a:off x="4244340" y="464820"/>
          <a:ext cx="2255601" cy="3162300"/>
        </a:xfrm>
        <a:prstGeom prst="rect">
          <a:avLst/>
        </a:prstGeom>
        <a:ln w="53975" cmpd="dbl">
          <a:solidFill>
            <a:srgbClr val="00CC66"/>
          </a:solidFill>
        </a:ln>
      </xdr:spPr>
    </xdr:pic>
    <xdr:clientData/>
  </xdr:twoCellAnchor>
  <xdr:twoCellAnchor>
    <xdr:from>
      <xdr:col>0</xdr:col>
      <xdr:colOff>41910</xdr:colOff>
      <xdr:row>16</xdr:row>
      <xdr:rowOff>51434</xdr:rowOff>
    </xdr:from>
    <xdr:to>
      <xdr:col>6</xdr:col>
      <xdr:colOff>1261110</xdr:colOff>
      <xdr:row>39</xdr:row>
      <xdr:rowOff>190499</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41910" y="3762374"/>
          <a:ext cx="6499860" cy="548068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Elsabet is tall, heavyset, and muscular, more bodybuilder and less ballroom dancer, with wide shoulders and hips, her breasts aren't very prominent, and her face is more handsome than beautiful. She has long blond hair in braids, and bright green eyes. While not a classic beauty, she does move fairly confidently and gracefully.</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Elsabet is the daughter of a weaponsmith mother and an herbalist father, from a small village not far from a local lord's castle, in an area where goblinoid raiders were not uncommon, and near what some considered a haunted wood but where she at a young age made some unusual friends. She has a few brothers and sisters, some older and some younger. She started to learn her mother's trade, and enjoyed working at the forge, but when a traveling priest of a warrior goddess came through, her interest and imagination were captured - indeed, some feeling of rightness came over her as soon as she heard the man preach, and she felt a calling to duty. She left home to travel with the priest, a cleric, seeking to learn more. The priest despaired of her learning divine magic the way he understood it, yet she was able to master certain divine spells very easily, and he realized she was receiving boons directly from the goddess he served, and did his best to help her master those boons. He recently parted ways with her, satisfied that she was a good servant of the goddess, despite her occasional lack of common sense and flights of fancy... She now seeks to put her boons to good use protecting those less stalwart than herself.</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Personality:</a:t>
          </a:r>
          <a:r>
            <a:rPr lang="en-US" sz="1200">
              <a:effectLst/>
              <a:latin typeface="Times New Roman" panose="02020603050405020304" pitchFamily="18" charset="0"/>
              <a:ea typeface="+mn-ea"/>
              <a:cs typeface="Times New Roman" panose="02020603050405020304" pitchFamily="18" charset="0"/>
            </a:rPr>
            <a:t>  Elsabet is friendly and outgoing, but has spent some time trying to learn how to tell honest folks from liars, good folks from bad, reliable folks from unreliable...she's smarter than she first seems. She plans to devote her life to emulating her goddess, protecting those less able to protect themselves, fighting evil where necessary, aiding good honest folk, and seeing that justice is done, though despite trying as best she can, sometimes she's not quite sure about why it is so important to follow the rules; she's willing to, it's just sometimes hard when they don't seem fair. She tries to use the boons she has received wisely...or at least is smart enough not to waste them frivolously. She's not extremely competitive - she doesn't need to be better than others at what she does, she just needs to know she's doing the best she can and that makes her happy. Unlike many adventurers, she doesn't have a traumatic event spurring her on, just a bit of wanderlust, curiosity, and a desire to help people.</a:t>
          </a:r>
        </a:p>
        <a:p>
          <a:pPr algn="just"/>
          <a:r>
            <a:rPr lang="en-US" sz="1200">
              <a:effectLst/>
              <a:latin typeface="Times New Roman" panose="02020603050405020304" pitchFamily="18" charset="0"/>
              <a:ea typeface="+mn-ea"/>
              <a:cs typeface="Times New Roman" panose="02020603050405020304" pitchFamily="18" charset="0"/>
            </a:rPr>
            <a:t> </a:t>
          </a:r>
        </a:p>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76200</xdr:colOff>
      <xdr:row>13</xdr:row>
      <xdr:rowOff>121920</xdr:rowOff>
    </xdr:from>
    <xdr:to>
      <xdr:col>6</xdr:col>
      <xdr:colOff>1247775</xdr:colOff>
      <xdr:row>15</xdr:row>
      <xdr:rowOff>257174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36720" y="3093720"/>
          <a:ext cx="2291715" cy="5695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533400</xdr:colOff>
      <xdr:row>1</xdr:row>
      <xdr:rowOff>123825</xdr:rowOff>
    </xdr:from>
    <xdr:to>
      <xdr:col>3</xdr:col>
      <xdr:colOff>192405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rakaragm@ao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showGridLines="0" tabSelected="1" zoomScaleNormal="100" workbookViewId="0"/>
  </sheetViews>
  <sheetFormatPr defaultColWidth="13" defaultRowHeight="15.6"/>
  <cols>
    <col min="1" max="1" width="14.8984375" style="56" customWidth="1"/>
    <col min="2" max="2" width="10" style="57" customWidth="1"/>
    <col min="3" max="3" width="5.09765625" style="57" customWidth="1"/>
    <col min="4" max="4" width="13.69921875" style="56" bestFit="1" customWidth="1"/>
    <col min="5" max="5" width="10.8984375" style="57" bestFit="1" customWidth="1"/>
    <col min="6" max="6" width="14.69921875" style="56" customWidth="1"/>
    <col min="7" max="7" width="17.09765625" style="57" customWidth="1"/>
    <col min="8" max="16384" width="13" style="14"/>
  </cols>
  <sheetData>
    <row r="1" spans="1:7" ht="29.4" thickTop="1" thickBot="1">
      <c r="A1" s="8" t="s">
        <v>174</v>
      </c>
      <c r="B1" s="9"/>
      <c r="C1" s="10"/>
      <c r="D1" s="11"/>
      <c r="E1" s="12"/>
      <c r="F1" s="11"/>
      <c r="G1" s="13" t="s">
        <v>175</v>
      </c>
    </row>
    <row r="2" spans="1:7" ht="17.399999999999999" thickTop="1">
      <c r="A2" s="15" t="s">
        <v>136</v>
      </c>
      <c r="B2" s="16" t="s">
        <v>113</v>
      </c>
      <c r="C2" s="16"/>
      <c r="D2" s="17" t="s">
        <v>145</v>
      </c>
      <c r="E2" s="18">
        <v>24</v>
      </c>
      <c r="F2" s="19"/>
      <c r="G2" s="20"/>
    </row>
    <row r="3" spans="1:7" ht="16.8">
      <c r="A3" s="15" t="s">
        <v>137</v>
      </c>
      <c r="B3" s="16" t="s">
        <v>168</v>
      </c>
      <c r="C3" s="16"/>
      <c r="D3" s="17" t="s">
        <v>0</v>
      </c>
      <c r="E3" s="18">
        <v>4</v>
      </c>
      <c r="F3" s="17"/>
      <c r="G3" s="20"/>
    </row>
    <row r="4" spans="1:7" ht="16.8">
      <c r="A4" s="15" t="s">
        <v>137</v>
      </c>
      <c r="B4" s="16" t="s">
        <v>228</v>
      </c>
      <c r="C4" s="16"/>
      <c r="D4" s="17" t="s">
        <v>0</v>
      </c>
      <c r="E4" s="18">
        <v>1</v>
      </c>
      <c r="F4" s="17"/>
      <c r="G4" s="20"/>
    </row>
    <row r="5" spans="1:7" ht="16.8">
      <c r="A5" s="15" t="s">
        <v>154</v>
      </c>
      <c r="B5" s="16" t="s">
        <v>189</v>
      </c>
      <c r="C5" s="16"/>
      <c r="D5" s="17" t="s">
        <v>138</v>
      </c>
      <c r="E5" s="18" t="s">
        <v>170</v>
      </c>
      <c r="F5" s="17"/>
      <c r="G5" s="20"/>
    </row>
    <row r="6" spans="1:7" ht="16.8">
      <c r="A6" s="15" t="s">
        <v>155</v>
      </c>
      <c r="B6" s="16" t="s">
        <v>169</v>
      </c>
      <c r="C6" s="16"/>
      <c r="D6" s="17" t="s">
        <v>159</v>
      </c>
      <c r="E6" s="18" t="s">
        <v>171</v>
      </c>
      <c r="F6" s="17"/>
      <c r="G6" s="20"/>
    </row>
    <row r="7" spans="1:7" ht="17.399999999999999" thickBot="1">
      <c r="A7" s="15" t="s">
        <v>156</v>
      </c>
      <c r="B7" s="16" t="s">
        <v>173</v>
      </c>
      <c r="C7" s="16"/>
      <c r="D7" s="17" t="s">
        <v>160</v>
      </c>
      <c r="E7" s="18" t="s">
        <v>172</v>
      </c>
      <c r="F7" s="17"/>
      <c r="G7" s="20"/>
    </row>
    <row r="8" spans="1:7" ht="17.399999999999999" thickTop="1">
      <c r="A8" s="21" t="s">
        <v>157</v>
      </c>
      <c r="B8" s="467">
        <f>3+E4</f>
        <v>4</v>
      </c>
      <c r="C8" s="468"/>
      <c r="D8" s="22" t="s">
        <v>79</v>
      </c>
      <c r="E8" s="23" t="s">
        <v>112</v>
      </c>
      <c r="F8" s="24"/>
      <c r="G8" s="20"/>
    </row>
    <row r="9" spans="1:7" ht="17.399999999999999" thickBot="1">
      <c r="A9" s="163" t="s">
        <v>158</v>
      </c>
      <c r="B9" s="164">
        <f>C11+2</f>
        <v>4</v>
      </c>
      <c r="C9" s="165"/>
      <c r="D9" s="362" t="s">
        <v>232</v>
      </c>
      <c r="E9" s="363">
        <f>9999+4600</f>
        <v>14599</v>
      </c>
      <c r="F9" s="24"/>
      <c r="G9" s="20"/>
    </row>
    <row r="10" spans="1:7" ht="17.399999999999999" thickTop="1">
      <c r="A10" s="25" t="s">
        <v>153</v>
      </c>
      <c r="B10" s="469">
        <f>14+4</f>
        <v>18</v>
      </c>
      <c r="C10" s="26" t="str">
        <f t="shared" ref="C10:C15" si="0">IF(B10&gt;9.9,CONCATENATE("+",ROUNDDOWN((B10-10)/2,0)),ROUNDUP((B10-10)/2,0))</f>
        <v>+4</v>
      </c>
      <c r="D10" s="27" t="s">
        <v>161</v>
      </c>
      <c r="E10" s="121" t="s">
        <v>176</v>
      </c>
      <c r="F10" s="24"/>
      <c r="G10" s="20"/>
    </row>
    <row r="11" spans="1:7" ht="16.8">
      <c r="A11" s="28" t="s">
        <v>152</v>
      </c>
      <c r="B11" s="29">
        <v>14</v>
      </c>
      <c r="C11" s="30" t="str">
        <f t="shared" si="0"/>
        <v>+2</v>
      </c>
      <c r="D11" s="31" t="s">
        <v>162</v>
      </c>
      <c r="E11" s="32">
        <f>SUM(Martial!G3:G24)+SUM(Equipment!C3:C32)</f>
        <v>96.6</v>
      </c>
      <c r="F11" s="24"/>
      <c r="G11" s="20"/>
    </row>
    <row r="12" spans="1:7" ht="16.8">
      <c r="A12" s="33" t="s">
        <v>148</v>
      </c>
      <c r="B12" s="34">
        <v>12</v>
      </c>
      <c r="C12" s="35" t="str">
        <f t="shared" si="0"/>
        <v>+1</v>
      </c>
      <c r="D12" s="31" t="s">
        <v>163</v>
      </c>
      <c r="E12" s="36">
        <f>ROUNDUP(((E3*8)*0.75)+((E4*10)*0.75)+(SUM(E3:E4)*C12),0)</f>
        <v>37</v>
      </c>
      <c r="F12" s="24"/>
      <c r="G12" s="20"/>
    </row>
    <row r="13" spans="1:7" ht="16.8">
      <c r="A13" s="37" t="s">
        <v>150</v>
      </c>
      <c r="B13" s="34">
        <v>14</v>
      </c>
      <c r="C13" s="30" t="str">
        <f t="shared" si="0"/>
        <v>+2</v>
      </c>
      <c r="D13" s="38" t="s">
        <v>164</v>
      </c>
      <c r="E13" s="223">
        <f>10+C11</f>
        <v>12</v>
      </c>
      <c r="F13" s="15"/>
      <c r="G13" s="20"/>
    </row>
    <row r="14" spans="1:7" ht="16.8">
      <c r="A14" s="39" t="s">
        <v>151</v>
      </c>
      <c r="B14" s="34">
        <v>8</v>
      </c>
      <c r="C14" s="30">
        <f t="shared" si="0"/>
        <v>-1</v>
      </c>
      <c r="D14" s="38" t="s">
        <v>165</v>
      </c>
      <c r="E14" s="158">
        <f>E15-C11</f>
        <v>17</v>
      </c>
      <c r="F14" s="24"/>
      <c r="G14" s="20"/>
    </row>
    <row r="15" spans="1:7" ht="17.399999999999999" thickBot="1">
      <c r="A15" s="40" t="s">
        <v>149</v>
      </c>
      <c r="B15" s="336">
        <v>14</v>
      </c>
      <c r="C15" s="41" t="str">
        <f t="shared" si="0"/>
        <v>+2</v>
      </c>
      <c r="D15" s="42" t="s">
        <v>188</v>
      </c>
      <c r="E15" s="142">
        <f>E13+SUM(Martial!B19:B21)</f>
        <v>19</v>
      </c>
      <c r="F15" s="24"/>
      <c r="G15" s="20"/>
    </row>
    <row r="16" spans="1:7" ht="24" thickTop="1" thickBot="1">
      <c r="A16" s="43" t="s">
        <v>18</v>
      </c>
      <c r="B16" s="44"/>
      <c r="C16" s="44"/>
      <c r="D16" s="45"/>
      <c r="E16" s="45"/>
      <c r="F16" s="45"/>
      <c r="G16" s="46"/>
    </row>
    <row r="17" spans="1:7" s="3" customFormat="1" ht="17.399999999999999" thickTop="1">
      <c r="A17" s="47"/>
      <c r="B17" s="48"/>
      <c r="C17" s="48"/>
      <c r="D17" s="48"/>
      <c r="E17" s="48"/>
      <c r="F17" s="48"/>
      <c r="G17" s="49"/>
    </row>
    <row r="18" spans="1:7" s="3" customFormat="1" ht="16.8">
      <c r="A18" s="50"/>
      <c r="B18" s="51"/>
      <c r="C18" s="51"/>
      <c r="D18" s="51"/>
      <c r="E18" s="51"/>
      <c r="F18" s="51"/>
      <c r="G18" s="52"/>
    </row>
    <row r="19" spans="1:7" s="3" customFormat="1" ht="16.8">
      <c r="A19" s="50"/>
      <c r="B19" s="51"/>
      <c r="C19" s="51"/>
      <c r="D19" s="51"/>
      <c r="E19" s="51"/>
      <c r="F19" s="51"/>
      <c r="G19" s="52"/>
    </row>
    <row r="20" spans="1:7" s="3" customFormat="1" ht="16.8">
      <c r="A20" s="50"/>
      <c r="B20" s="51"/>
      <c r="C20" s="51"/>
      <c r="D20" s="51"/>
      <c r="E20" s="51"/>
      <c r="F20" s="51"/>
      <c r="G20" s="52"/>
    </row>
    <row r="21" spans="1:7" s="3" customFormat="1" ht="16.8">
      <c r="A21" s="50"/>
      <c r="B21" s="51"/>
      <c r="C21" s="51"/>
      <c r="D21" s="51"/>
      <c r="E21" s="51"/>
      <c r="F21" s="51"/>
      <c r="G21" s="52"/>
    </row>
    <row r="22" spans="1:7" s="3" customFormat="1" ht="16.8">
      <c r="A22" s="50"/>
      <c r="B22" s="51"/>
      <c r="C22" s="51"/>
      <c r="D22" s="51"/>
      <c r="E22" s="51"/>
      <c r="F22" s="51"/>
      <c r="G22" s="52"/>
    </row>
    <row r="23" spans="1:7" s="3" customFormat="1" ht="16.8">
      <c r="A23" s="50"/>
      <c r="B23" s="51"/>
      <c r="C23" s="51"/>
      <c r="D23" s="51"/>
      <c r="E23" s="51"/>
      <c r="F23" s="51"/>
      <c r="G23" s="52"/>
    </row>
    <row r="24" spans="1:7" s="3" customFormat="1" ht="16.8">
      <c r="A24" s="50"/>
      <c r="B24" s="51"/>
      <c r="C24" s="51"/>
      <c r="D24" s="51"/>
      <c r="E24" s="51"/>
      <c r="F24" s="51"/>
      <c r="G24" s="52"/>
    </row>
    <row r="25" spans="1:7" s="3" customFormat="1" ht="16.8">
      <c r="A25" s="50"/>
      <c r="B25" s="51"/>
      <c r="C25" s="51"/>
      <c r="D25" s="51"/>
      <c r="E25" s="51"/>
      <c r="F25" s="51"/>
      <c r="G25" s="52"/>
    </row>
    <row r="26" spans="1:7" s="3" customFormat="1" ht="16.8">
      <c r="A26" s="50"/>
      <c r="B26" s="51"/>
      <c r="C26" s="51"/>
      <c r="D26" s="51"/>
      <c r="E26" s="51"/>
      <c r="F26" s="51"/>
      <c r="G26" s="52"/>
    </row>
    <row r="27" spans="1:7" s="3" customFormat="1" ht="16.8">
      <c r="A27" s="50"/>
      <c r="B27" s="51"/>
      <c r="C27" s="51"/>
      <c r="D27" s="51"/>
      <c r="E27" s="51"/>
      <c r="F27" s="51"/>
      <c r="G27" s="52"/>
    </row>
    <row r="28" spans="1:7" s="3" customFormat="1" ht="16.8">
      <c r="A28" s="50"/>
      <c r="B28" s="51"/>
      <c r="C28" s="51"/>
      <c r="D28" s="51"/>
      <c r="E28" s="51"/>
      <c r="F28" s="51"/>
      <c r="G28" s="52"/>
    </row>
    <row r="29" spans="1:7" s="3" customFormat="1" ht="16.8">
      <c r="A29" s="50"/>
      <c r="B29" s="51"/>
      <c r="C29" s="51"/>
      <c r="D29" s="51"/>
      <c r="E29" s="51"/>
      <c r="F29" s="51"/>
      <c r="G29" s="52"/>
    </row>
    <row r="30" spans="1:7" s="3" customFormat="1" ht="16.8">
      <c r="A30" s="50"/>
      <c r="B30" s="51"/>
      <c r="C30" s="51"/>
      <c r="D30" s="51"/>
      <c r="E30" s="51"/>
      <c r="F30" s="51"/>
      <c r="G30" s="52"/>
    </row>
    <row r="31" spans="1:7" s="3" customFormat="1" ht="16.8">
      <c r="A31" s="50"/>
      <c r="B31" s="51"/>
      <c r="C31" s="51"/>
      <c r="D31" s="51"/>
      <c r="E31" s="51"/>
      <c r="F31" s="51"/>
      <c r="G31" s="52"/>
    </row>
    <row r="32" spans="1:7" s="3" customFormat="1" ht="16.8">
      <c r="A32" s="50"/>
      <c r="B32" s="51"/>
      <c r="C32" s="51"/>
      <c r="D32" s="51"/>
      <c r="E32" s="51"/>
      <c r="F32" s="51"/>
      <c r="G32" s="52"/>
    </row>
    <row r="33" spans="1:7" s="3" customFormat="1" ht="16.8">
      <c r="A33" s="50"/>
      <c r="B33" s="51"/>
      <c r="C33" s="51"/>
      <c r="D33" s="51"/>
      <c r="E33" s="51"/>
      <c r="F33" s="51"/>
      <c r="G33" s="52"/>
    </row>
    <row r="34" spans="1:7" s="3" customFormat="1" ht="16.8">
      <c r="A34" s="50"/>
      <c r="B34" s="51"/>
      <c r="C34" s="51"/>
      <c r="D34" s="51"/>
      <c r="E34" s="51"/>
      <c r="F34" s="51"/>
      <c r="G34" s="52"/>
    </row>
    <row r="35" spans="1:7" s="3" customFormat="1" ht="16.8">
      <c r="A35" s="50"/>
      <c r="B35" s="51"/>
      <c r="C35" s="51"/>
      <c r="D35" s="51"/>
      <c r="E35" s="51"/>
      <c r="F35" s="51"/>
      <c r="G35" s="52"/>
    </row>
    <row r="36" spans="1:7" s="3" customFormat="1" ht="16.8">
      <c r="A36" s="50"/>
      <c r="B36" s="51"/>
      <c r="C36" s="51"/>
      <c r="D36" s="51"/>
      <c r="E36" s="51"/>
      <c r="F36" s="51"/>
      <c r="G36" s="52"/>
    </row>
    <row r="37" spans="1:7" s="3" customFormat="1" ht="16.8">
      <c r="A37" s="50"/>
      <c r="B37" s="51"/>
      <c r="C37" s="51"/>
      <c r="D37" s="51"/>
      <c r="E37" s="51"/>
      <c r="F37" s="51"/>
      <c r="G37" s="52"/>
    </row>
    <row r="38" spans="1:7" s="3" customFormat="1" ht="16.8">
      <c r="A38" s="50"/>
      <c r="B38" s="51"/>
      <c r="C38" s="51"/>
      <c r="D38" s="51"/>
      <c r="E38" s="51"/>
      <c r="F38" s="51"/>
      <c r="G38" s="52"/>
    </row>
    <row r="39" spans="1:7" s="3" customFormat="1" ht="16.8">
      <c r="A39" s="50"/>
      <c r="B39" s="51"/>
      <c r="C39" s="51"/>
      <c r="D39" s="51"/>
      <c r="E39" s="51"/>
      <c r="F39" s="51"/>
      <c r="G39" s="52"/>
    </row>
    <row r="40" spans="1:7" ht="17.399999999999999" thickBot="1">
      <c r="A40" s="53"/>
      <c r="B40" s="54"/>
      <c r="C40" s="54"/>
      <c r="D40" s="54"/>
      <c r="E40" s="54"/>
      <c r="F40" s="54"/>
      <c r="G40" s="55"/>
    </row>
    <row r="41" spans="1:7" ht="16.2" thickTop="1"/>
  </sheetData>
  <phoneticPr fontId="0" type="noConversion"/>
  <conditionalFormatting sqref="E11">
    <cfRule type="cellIs" dxfId="13" priority="1" operator="greaterThan">
      <formula>116</formula>
    </cfRule>
    <cfRule type="cellIs" dxfId="12" priority="2" operator="between">
      <formula>58</formula>
      <formula>116</formula>
    </cfRule>
  </conditionalFormatting>
  <hyperlinks>
    <hyperlink ref="G1" r:id="rId1" xr:uid="{813BFDED-EA2A-4E2B-83B3-CD0CCEC6829D}"/>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showGridLines="0" workbookViewId="0">
      <pane ySplit="2" topLeftCell="A3" activePane="bottomLeft" state="frozen"/>
      <selection pane="bottomLeft" activeCell="A3" sqref="A3"/>
    </sheetView>
  </sheetViews>
  <sheetFormatPr defaultColWidth="13" defaultRowHeight="15.6"/>
  <cols>
    <col min="1" max="1" width="26.8984375" style="56" bestFit="1" customWidth="1"/>
    <col min="2" max="2" width="5.8984375" style="56" bestFit="1" customWidth="1"/>
    <col min="3" max="3" width="11.59765625" style="57" hidden="1" customWidth="1"/>
    <col min="4" max="4" width="5.796875" style="57" hidden="1" customWidth="1"/>
    <col min="5" max="5" width="9.19921875" style="57" bestFit="1" customWidth="1"/>
    <col min="6" max="6" width="8.3984375" style="57" customWidth="1"/>
    <col min="7" max="7" width="5.8984375" style="65" bestFit="1" customWidth="1"/>
    <col min="8" max="8" width="4.69921875" style="65" bestFit="1" customWidth="1"/>
    <col min="9" max="9" width="6.8984375" style="65" bestFit="1" customWidth="1"/>
    <col min="10" max="10" width="19.19921875" style="56" bestFit="1" customWidth="1"/>
    <col min="11" max="16384" width="13" style="14"/>
  </cols>
  <sheetData>
    <row r="1" spans="1:10" ht="23.4" thickBot="1">
      <c r="A1" s="233" t="s">
        <v>7</v>
      </c>
      <c r="B1" s="58"/>
      <c r="C1" s="58"/>
      <c r="D1" s="58"/>
      <c r="E1" s="58"/>
      <c r="F1" s="58"/>
      <c r="G1" s="59"/>
      <c r="H1" s="59"/>
      <c r="I1" s="59"/>
      <c r="J1" s="58"/>
    </row>
    <row r="2" spans="1:10" s="3" customFormat="1" ht="34.200000000000003" thickBot="1">
      <c r="A2" s="234" t="s">
        <v>111</v>
      </c>
      <c r="B2" s="235" t="s">
        <v>23</v>
      </c>
      <c r="C2" s="235" t="s">
        <v>25</v>
      </c>
      <c r="D2" s="235" t="s">
        <v>22</v>
      </c>
      <c r="E2" s="2" t="s">
        <v>50</v>
      </c>
      <c r="F2" s="2" t="s">
        <v>26</v>
      </c>
      <c r="G2" s="236" t="s">
        <v>52</v>
      </c>
      <c r="H2" s="237" t="s">
        <v>110</v>
      </c>
      <c r="I2" s="236" t="s">
        <v>77</v>
      </c>
      <c r="J2" s="238" t="s">
        <v>75</v>
      </c>
    </row>
    <row r="3" spans="1:10" s="3" customFormat="1" ht="16.8">
      <c r="A3" s="239" t="s">
        <v>55</v>
      </c>
      <c r="B3" s="240">
        <f>4+2</f>
        <v>6</v>
      </c>
      <c r="C3" s="241" t="s">
        <v>148</v>
      </c>
      <c r="D3" s="242" t="str">
        <f>VLOOKUP(C3,'Personal File'!$A$10:$C$15,3,FALSE)</f>
        <v>+1</v>
      </c>
      <c r="E3" s="243" t="str">
        <f t="shared" ref="E3:E43" si="0">CONCATENATE(LEFT(C3,3)," (",D3,")")</f>
        <v>Con (+1)</v>
      </c>
      <c r="F3" s="454">
        <v>1</v>
      </c>
      <c r="G3" s="244">
        <f t="shared" ref="G3:G43" si="1">B3+D3+F3</f>
        <v>8</v>
      </c>
      <c r="H3" s="245">
        <f t="shared" ref="H3:H5" ca="1" si="2">RANDBETWEEN(1,20)</f>
        <v>13</v>
      </c>
      <c r="I3" s="244">
        <f ca="1">SUM(G3:H3)</f>
        <v>21</v>
      </c>
      <c r="J3" s="246"/>
    </row>
    <row r="4" spans="1:10" s="3" customFormat="1" ht="16.8">
      <c r="A4" s="247" t="s">
        <v>56</v>
      </c>
      <c r="B4" s="240">
        <f>4+0</f>
        <v>4</v>
      </c>
      <c r="C4" s="248" t="s">
        <v>152</v>
      </c>
      <c r="D4" s="242" t="str">
        <f>VLOOKUP(C4,'Personal File'!$A$10:$C$15,3,FALSE)</f>
        <v>+2</v>
      </c>
      <c r="E4" s="249" t="str">
        <f t="shared" si="0"/>
        <v>Dex (+2)</v>
      </c>
      <c r="F4" s="454">
        <v>1</v>
      </c>
      <c r="G4" s="244">
        <f t="shared" si="1"/>
        <v>7</v>
      </c>
      <c r="H4" s="245">
        <f t="shared" ca="1" si="2"/>
        <v>12</v>
      </c>
      <c r="I4" s="244">
        <f ca="1">SUM(G4:H4)</f>
        <v>19</v>
      </c>
      <c r="J4" s="246"/>
    </row>
    <row r="5" spans="1:10" s="3" customFormat="1" ht="16.8">
      <c r="A5" s="250" t="s">
        <v>57</v>
      </c>
      <c r="B5" s="251">
        <f>4+0</f>
        <v>4</v>
      </c>
      <c r="C5" s="252" t="s">
        <v>151</v>
      </c>
      <c r="D5" s="252">
        <f>VLOOKUP(C5,'Personal File'!$A$10:$C$15,3,FALSE)</f>
        <v>-1</v>
      </c>
      <c r="E5" s="253" t="str">
        <f t="shared" si="0"/>
        <v>Wis (-1)</v>
      </c>
      <c r="F5" s="455">
        <f>3+1</f>
        <v>4</v>
      </c>
      <c r="G5" s="254">
        <f t="shared" si="1"/>
        <v>7</v>
      </c>
      <c r="H5" s="255">
        <f t="shared" ca="1" si="2"/>
        <v>19</v>
      </c>
      <c r="I5" s="254">
        <f ca="1">SUM(G5:H5)</f>
        <v>26</v>
      </c>
      <c r="J5" s="256" t="s">
        <v>229</v>
      </c>
    </row>
    <row r="6" spans="1:10" s="60" customFormat="1" ht="16.8">
      <c r="A6" s="257" t="s">
        <v>27</v>
      </c>
      <c r="B6" s="258">
        <v>0</v>
      </c>
      <c r="C6" s="259" t="s">
        <v>150</v>
      </c>
      <c r="D6" s="260" t="str">
        <f>VLOOKUP(C6,'Personal File'!$A$10:$C$15,3,FALSE)</f>
        <v>+2</v>
      </c>
      <c r="E6" s="261" t="str">
        <f t="shared" si="0"/>
        <v>Int (+2)</v>
      </c>
      <c r="F6" s="262" t="s">
        <v>51</v>
      </c>
      <c r="G6" s="263">
        <f t="shared" si="1"/>
        <v>2</v>
      </c>
      <c r="H6" s="245">
        <f ca="1">RANDBETWEEN(1,20)</f>
        <v>2</v>
      </c>
      <c r="I6" s="263">
        <f t="shared" ref="I6:I43" ca="1" si="3">SUM(G6:H6)</f>
        <v>4</v>
      </c>
      <c r="J6" s="246"/>
    </row>
    <row r="7" spans="1:10" s="61" customFormat="1" ht="16.8">
      <c r="A7" s="404" t="s">
        <v>28</v>
      </c>
      <c r="B7" s="268">
        <v>2</v>
      </c>
      <c r="C7" s="405" t="s">
        <v>152</v>
      </c>
      <c r="D7" s="406" t="str">
        <f>VLOOKUP(C7,'Personal File'!$A$10:$C$15,3,FALSE)</f>
        <v>+2</v>
      </c>
      <c r="E7" s="407" t="str">
        <f t="shared" si="0"/>
        <v>Dex (+2)</v>
      </c>
      <c r="F7" s="457">
        <f>Martial!$D$19</f>
        <v>-1</v>
      </c>
      <c r="G7" s="272">
        <f t="shared" si="1"/>
        <v>3</v>
      </c>
      <c r="H7" s="245">
        <f t="shared" ref="H7:H43" ca="1" si="4">RANDBETWEEN(1,20)</f>
        <v>14</v>
      </c>
      <c r="I7" s="272">
        <f t="shared" ca="1" si="3"/>
        <v>17</v>
      </c>
      <c r="J7" s="273"/>
    </row>
    <row r="8" spans="1:10" s="62" customFormat="1" ht="16.8">
      <c r="A8" s="292" t="s">
        <v>29</v>
      </c>
      <c r="B8" s="258">
        <v>0</v>
      </c>
      <c r="C8" s="293" t="s">
        <v>149</v>
      </c>
      <c r="D8" s="294" t="str">
        <f>VLOOKUP(C8,'Personal File'!$A$10:$C$15,3,FALSE)</f>
        <v>+2</v>
      </c>
      <c r="E8" s="295" t="str">
        <f t="shared" si="0"/>
        <v>Cha (+2)</v>
      </c>
      <c r="F8" s="263" t="s">
        <v>51</v>
      </c>
      <c r="G8" s="263">
        <f t="shared" si="1"/>
        <v>2</v>
      </c>
      <c r="H8" s="245">
        <f t="shared" ca="1" si="4"/>
        <v>6</v>
      </c>
      <c r="I8" s="263">
        <f t="shared" ca="1" si="3"/>
        <v>8</v>
      </c>
      <c r="J8" s="246"/>
    </row>
    <row r="9" spans="1:10" s="63" customFormat="1" ht="16.8">
      <c r="A9" s="274" t="s">
        <v>30</v>
      </c>
      <c r="B9" s="258">
        <v>0</v>
      </c>
      <c r="C9" s="275" t="s">
        <v>153</v>
      </c>
      <c r="D9" s="276" t="str">
        <f>VLOOKUP(C9,'Personal File'!$A$10:$C$15,3,FALSE)</f>
        <v>+4</v>
      </c>
      <c r="E9" s="277" t="str">
        <f t="shared" si="0"/>
        <v>Str (+4)</v>
      </c>
      <c r="F9" s="262">
        <f>Martial!$D$19+2</f>
        <v>1</v>
      </c>
      <c r="G9" s="263">
        <f t="shared" si="1"/>
        <v>5</v>
      </c>
      <c r="H9" s="245">
        <f t="shared" ca="1" si="4"/>
        <v>6</v>
      </c>
      <c r="I9" s="263">
        <f t="shared" ca="1" si="3"/>
        <v>11</v>
      </c>
      <c r="J9" s="246"/>
    </row>
    <row r="10" spans="1:10" s="63" customFormat="1" ht="16.8">
      <c r="A10" s="278" t="s">
        <v>8</v>
      </c>
      <c r="B10" s="279">
        <v>4</v>
      </c>
      <c r="C10" s="280" t="s">
        <v>148</v>
      </c>
      <c r="D10" s="281" t="str">
        <f>VLOOKUP(C10,'Personal File'!$A$10:$C$15,3,FALSE)</f>
        <v>+1</v>
      </c>
      <c r="E10" s="282" t="str">
        <f t="shared" si="0"/>
        <v>Con (+1)</v>
      </c>
      <c r="F10" s="283" t="s">
        <v>51</v>
      </c>
      <c r="G10" s="283">
        <f t="shared" si="1"/>
        <v>5</v>
      </c>
      <c r="H10" s="245">
        <f t="shared" ca="1" si="4"/>
        <v>3</v>
      </c>
      <c r="I10" s="283">
        <f t="shared" ca="1" si="3"/>
        <v>8</v>
      </c>
      <c r="J10" s="284"/>
    </row>
    <row r="11" spans="1:10" s="60" customFormat="1" ht="16.8">
      <c r="A11" s="318" t="s">
        <v>166</v>
      </c>
      <c r="B11" s="268">
        <v>2</v>
      </c>
      <c r="C11" s="319" t="s">
        <v>150</v>
      </c>
      <c r="D11" s="320" t="str">
        <f>VLOOKUP(C11,'Personal File'!$A$10:$C$15,3,FALSE)</f>
        <v>+2</v>
      </c>
      <c r="E11" s="321" t="str">
        <f t="shared" si="0"/>
        <v>Int (+2)</v>
      </c>
      <c r="F11" s="272" t="s">
        <v>230</v>
      </c>
      <c r="G11" s="272">
        <f t="shared" si="1"/>
        <v>6</v>
      </c>
      <c r="H11" s="245">
        <f t="shared" ca="1" si="4"/>
        <v>13</v>
      </c>
      <c r="I11" s="272">
        <f t="shared" ca="1" si="3"/>
        <v>19</v>
      </c>
      <c r="J11" s="273"/>
    </row>
    <row r="12" spans="1:10" s="64" customFormat="1" ht="16.8">
      <c r="A12" s="285" t="s">
        <v>31</v>
      </c>
      <c r="B12" s="286">
        <v>0</v>
      </c>
      <c r="C12" s="287" t="s">
        <v>150</v>
      </c>
      <c r="D12" s="288" t="str">
        <f>VLOOKUP(C12,'Personal File'!$A$10:$C$15,3,FALSE)</f>
        <v>+2</v>
      </c>
      <c r="E12" s="289" t="str">
        <f t="shared" si="0"/>
        <v>Int (+2)</v>
      </c>
      <c r="F12" s="290" t="s">
        <v>51</v>
      </c>
      <c r="G12" s="290">
        <f t="shared" si="1"/>
        <v>2</v>
      </c>
      <c r="H12" s="245">
        <f t="shared" ca="1" si="4"/>
        <v>13</v>
      </c>
      <c r="I12" s="290">
        <f t="shared" ref="I12" ca="1" si="5">SUM(G12:H12)</f>
        <v>15</v>
      </c>
      <c r="J12" s="291"/>
    </row>
    <row r="13" spans="1:10" s="61" customFormat="1" ht="16.8">
      <c r="A13" s="267" t="s">
        <v>32</v>
      </c>
      <c r="B13" s="268">
        <v>8</v>
      </c>
      <c r="C13" s="269" t="s">
        <v>149</v>
      </c>
      <c r="D13" s="270" t="str">
        <f>VLOOKUP(C13,'Personal File'!$A$10:$C$15,3,FALSE)</f>
        <v>+2</v>
      </c>
      <c r="E13" s="271" t="str">
        <f t="shared" si="0"/>
        <v>Cha (+2)</v>
      </c>
      <c r="F13" s="272" t="s">
        <v>230</v>
      </c>
      <c r="G13" s="272">
        <f t="shared" si="1"/>
        <v>12</v>
      </c>
      <c r="H13" s="245">
        <f t="shared" ca="1" si="4"/>
        <v>10</v>
      </c>
      <c r="I13" s="272">
        <f t="shared" ca="1" si="3"/>
        <v>22</v>
      </c>
      <c r="J13" s="273"/>
    </row>
    <row r="14" spans="1:10" s="61" customFormat="1" ht="16.8">
      <c r="A14" s="285" t="s">
        <v>33</v>
      </c>
      <c r="B14" s="286">
        <v>0</v>
      </c>
      <c r="C14" s="287" t="s">
        <v>150</v>
      </c>
      <c r="D14" s="288" t="str">
        <f>VLOOKUP(C14,'Personal File'!$A$10:$C$15,3,FALSE)</f>
        <v>+2</v>
      </c>
      <c r="E14" s="289" t="str">
        <f t="shared" si="0"/>
        <v>Int (+2)</v>
      </c>
      <c r="F14" s="290" t="s">
        <v>51</v>
      </c>
      <c r="G14" s="290">
        <f t="shared" si="1"/>
        <v>2</v>
      </c>
      <c r="H14" s="245">
        <f t="shared" ca="1" si="4"/>
        <v>4</v>
      </c>
      <c r="I14" s="290">
        <f t="shared" ref="I14" ca="1" si="6">SUM(G14:H14)</f>
        <v>6</v>
      </c>
      <c r="J14" s="291"/>
    </row>
    <row r="15" spans="1:10" s="61" customFormat="1" ht="16.8">
      <c r="A15" s="292" t="s">
        <v>34</v>
      </c>
      <c r="B15" s="258">
        <v>0</v>
      </c>
      <c r="C15" s="293" t="s">
        <v>149</v>
      </c>
      <c r="D15" s="294" t="str">
        <f>VLOOKUP(C15,'Personal File'!$A$10:$C$15,3,FALSE)</f>
        <v>+2</v>
      </c>
      <c r="E15" s="295" t="str">
        <f t="shared" si="0"/>
        <v>Cha (+2)</v>
      </c>
      <c r="F15" s="263" t="s">
        <v>51</v>
      </c>
      <c r="G15" s="263">
        <f t="shared" si="1"/>
        <v>2</v>
      </c>
      <c r="H15" s="245">
        <f t="shared" ca="1" si="4"/>
        <v>2</v>
      </c>
      <c r="I15" s="263">
        <f t="shared" ca="1" si="3"/>
        <v>4</v>
      </c>
      <c r="J15" s="246"/>
    </row>
    <row r="16" spans="1:10" s="61" customFormat="1" ht="16.8">
      <c r="A16" s="247" t="s">
        <v>35</v>
      </c>
      <c r="B16" s="258">
        <v>0</v>
      </c>
      <c r="C16" s="264" t="s">
        <v>152</v>
      </c>
      <c r="D16" s="265" t="str">
        <f>VLOOKUP(C16,'Personal File'!$A$10:$C$15,3,FALSE)</f>
        <v>+2</v>
      </c>
      <c r="E16" s="266" t="str">
        <f t="shared" si="0"/>
        <v>Dex (+2)</v>
      </c>
      <c r="F16" s="263">
        <f>Martial!$D$19</f>
        <v>-1</v>
      </c>
      <c r="G16" s="263">
        <f t="shared" si="1"/>
        <v>1</v>
      </c>
      <c r="H16" s="245">
        <f t="shared" ca="1" si="4"/>
        <v>20</v>
      </c>
      <c r="I16" s="263">
        <f t="shared" ca="1" si="3"/>
        <v>21</v>
      </c>
      <c r="J16" s="246"/>
    </row>
    <row r="17" spans="1:10" s="61" customFormat="1" ht="16.8">
      <c r="A17" s="296" t="s">
        <v>36</v>
      </c>
      <c r="B17" s="297">
        <v>0</v>
      </c>
      <c r="C17" s="298" t="s">
        <v>150</v>
      </c>
      <c r="D17" s="299" t="str">
        <f>VLOOKUP(C17,'Personal File'!$A$10:$C$15,3,FALSE)</f>
        <v>+2</v>
      </c>
      <c r="E17" s="300" t="str">
        <f t="shared" si="0"/>
        <v>Int (+2)</v>
      </c>
      <c r="F17" s="301" t="s">
        <v>51</v>
      </c>
      <c r="G17" s="301">
        <f t="shared" si="1"/>
        <v>2</v>
      </c>
      <c r="H17" s="245">
        <f t="shared" ca="1" si="4"/>
        <v>17</v>
      </c>
      <c r="I17" s="301">
        <f t="shared" ca="1" si="3"/>
        <v>19</v>
      </c>
      <c r="J17" s="302"/>
    </row>
    <row r="18" spans="1:10" s="61" customFormat="1" ht="16.8">
      <c r="A18" s="292" t="s">
        <v>37</v>
      </c>
      <c r="B18" s="258">
        <v>0</v>
      </c>
      <c r="C18" s="293" t="s">
        <v>149</v>
      </c>
      <c r="D18" s="294" t="str">
        <f>VLOOKUP(C18,'Personal File'!$A$10:$C$15,3,FALSE)</f>
        <v>+2</v>
      </c>
      <c r="E18" s="295" t="str">
        <f t="shared" si="0"/>
        <v>Cha (+2)</v>
      </c>
      <c r="F18" s="263" t="s">
        <v>51</v>
      </c>
      <c r="G18" s="263">
        <f t="shared" si="1"/>
        <v>2</v>
      </c>
      <c r="H18" s="245">
        <f t="shared" ca="1" si="4"/>
        <v>7</v>
      </c>
      <c r="I18" s="263">
        <f t="shared" ca="1" si="3"/>
        <v>9</v>
      </c>
      <c r="J18" s="246"/>
    </row>
    <row r="19" spans="1:10" s="61" customFormat="1" ht="16.8">
      <c r="A19" s="292" t="s">
        <v>10</v>
      </c>
      <c r="B19" s="258">
        <v>0</v>
      </c>
      <c r="C19" s="293" t="s">
        <v>149</v>
      </c>
      <c r="D19" s="294" t="str">
        <f>VLOOKUP(C19,'Personal File'!$A$10:$C$15,3,FALSE)</f>
        <v>+2</v>
      </c>
      <c r="E19" s="295" t="str">
        <f t="shared" si="0"/>
        <v>Cha (+2)</v>
      </c>
      <c r="F19" s="263" t="s">
        <v>51</v>
      </c>
      <c r="G19" s="263">
        <f t="shared" si="1"/>
        <v>2</v>
      </c>
      <c r="H19" s="245">
        <f t="shared" ca="1" si="4"/>
        <v>10</v>
      </c>
      <c r="I19" s="263">
        <f t="shared" ca="1" si="3"/>
        <v>12</v>
      </c>
      <c r="J19" s="246"/>
    </row>
    <row r="20" spans="1:10" s="61" customFormat="1" ht="16.8">
      <c r="A20" s="322" t="s">
        <v>38</v>
      </c>
      <c r="B20" s="268">
        <v>4</v>
      </c>
      <c r="C20" s="315" t="s">
        <v>151</v>
      </c>
      <c r="D20" s="316">
        <f>VLOOKUP(C20,'Personal File'!$A$10:$C$15,3,FALSE)</f>
        <v>-1</v>
      </c>
      <c r="E20" s="317" t="str">
        <f t="shared" si="0"/>
        <v>Wis (-1)</v>
      </c>
      <c r="F20" s="272" t="s">
        <v>230</v>
      </c>
      <c r="G20" s="272">
        <f t="shared" si="1"/>
        <v>5</v>
      </c>
      <c r="H20" s="245">
        <f t="shared" ca="1" si="4"/>
        <v>2</v>
      </c>
      <c r="I20" s="272">
        <f t="shared" ca="1" si="3"/>
        <v>7</v>
      </c>
      <c r="J20" s="273"/>
    </row>
    <row r="21" spans="1:10" s="61" customFormat="1" ht="16.8">
      <c r="A21" s="247" t="s">
        <v>39</v>
      </c>
      <c r="B21" s="258">
        <v>0</v>
      </c>
      <c r="C21" s="264" t="s">
        <v>152</v>
      </c>
      <c r="D21" s="265" t="str">
        <f>VLOOKUP(C21,'Personal File'!$A$10:$C$15,3,FALSE)</f>
        <v>+2</v>
      </c>
      <c r="E21" s="266" t="str">
        <f t="shared" si="0"/>
        <v>Dex (+2)</v>
      </c>
      <c r="F21" s="263">
        <f>Martial!$D$19</f>
        <v>-1</v>
      </c>
      <c r="G21" s="263">
        <f t="shared" si="1"/>
        <v>1</v>
      </c>
      <c r="H21" s="245">
        <f t="shared" ca="1" si="4"/>
        <v>15</v>
      </c>
      <c r="I21" s="263">
        <f t="shared" ca="1" si="3"/>
        <v>16</v>
      </c>
      <c r="J21" s="246"/>
    </row>
    <row r="22" spans="1:10" s="61" customFormat="1" ht="16.8">
      <c r="A22" s="267" t="s">
        <v>40</v>
      </c>
      <c r="B22" s="268">
        <v>2</v>
      </c>
      <c r="C22" s="269" t="s">
        <v>149</v>
      </c>
      <c r="D22" s="270" t="str">
        <f>VLOOKUP(C22,'Personal File'!$A$10:$C$15,3,FALSE)</f>
        <v>+2</v>
      </c>
      <c r="E22" s="271" t="str">
        <f t="shared" si="0"/>
        <v>Cha (+2)</v>
      </c>
      <c r="F22" s="272" t="s">
        <v>51</v>
      </c>
      <c r="G22" s="272">
        <f t="shared" si="1"/>
        <v>4</v>
      </c>
      <c r="H22" s="245">
        <f t="shared" ca="1" si="4"/>
        <v>13</v>
      </c>
      <c r="I22" s="272">
        <f t="shared" ca="1" si="3"/>
        <v>17</v>
      </c>
      <c r="J22" s="273"/>
    </row>
    <row r="23" spans="1:10" s="61" customFormat="1" ht="16.8">
      <c r="A23" s="370" t="s">
        <v>41</v>
      </c>
      <c r="B23" s="268">
        <v>5</v>
      </c>
      <c r="C23" s="371" t="s">
        <v>153</v>
      </c>
      <c r="D23" s="372" t="str">
        <f>VLOOKUP(C23,'Personal File'!$A$10:$C$15,3,FALSE)</f>
        <v>+4</v>
      </c>
      <c r="E23" s="373" t="str">
        <f t="shared" si="0"/>
        <v>Str (+4)</v>
      </c>
      <c r="F23" s="272">
        <f>Martial!$D$19</f>
        <v>-1</v>
      </c>
      <c r="G23" s="272">
        <f t="shared" si="1"/>
        <v>8</v>
      </c>
      <c r="H23" s="245">
        <f t="shared" ca="1" si="4"/>
        <v>17</v>
      </c>
      <c r="I23" s="272">
        <f t="shared" ca="1" si="3"/>
        <v>25</v>
      </c>
      <c r="J23" s="273"/>
    </row>
    <row r="24" spans="1:10" s="61" customFormat="1" ht="16.8">
      <c r="A24" s="303" t="s">
        <v>119</v>
      </c>
      <c r="B24" s="279">
        <v>1</v>
      </c>
      <c r="C24" s="304" t="s">
        <v>150</v>
      </c>
      <c r="D24" s="305" t="str">
        <f>VLOOKUP(C24,'Personal File'!$A$10:$C$15,3,FALSE)</f>
        <v>+2</v>
      </c>
      <c r="E24" s="306" t="str">
        <f t="shared" si="0"/>
        <v>Int (+2)</v>
      </c>
      <c r="F24" s="272" t="s">
        <v>51</v>
      </c>
      <c r="G24" s="283">
        <f t="shared" si="1"/>
        <v>3</v>
      </c>
      <c r="H24" s="245">
        <f t="shared" ca="1" si="4"/>
        <v>8</v>
      </c>
      <c r="I24" s="283">
        <f t="shared" ca="1" si="3"/>
        <v>11</v>
      </c>
      <c r="J24" s="284"/>
    </row>
    <row r="25" spans="1:10" s="61" customFormat="1" ht="16.8">
      <c r="A25" s="303" t="s">
        <v>305</v>
      </c>
      <c r="B25" s="279">
        <v>1</v>
      </c>
      <c r="C25" s="304" t="s">
        <v>150</v>
      </c>
      <c r="D25" s="305" t="str">
        <f>VLOOKUP(C25,'Personal File'!$A$10:$C$15,3,FALSE)</f>
        <v>+2</v>
      </c>
      <c r="E25" s="306" t="str">
        <f t="shared" ref="E25" si="7">CONCATENATE(LEFT(C25,3)," (",D25,")")</f>
        <v>Int (+2)</v>
      </c>
      <c r="F25" s="272" t="s">
        <v>51</v>
      </c>
      <c r="G25" s="283">
        <f t="shared" ref="G25" si="8">B25+D25+F25</f>
        <v>3</v>
      </c>
      <c r="H25" s="245">
        <f t="shared" ca="1" si="4"/>
        <v>17</v>
      </c>
      <c r="I25" s="283">
        <f t="shared" ref="I25" ca="1" si="9">SUM(G25:H25)</f>
        <v>20</v>
      </c>
      <c r="J25" s="284"/>
    </row>
    <row r="26" spans="1:10" s="61" customFormat="1" ht="16.8">
      <c r="A26" s="303" t="s">
        <v>117</v>
      </c>
      <c r="B26" s="279">
        <v>1</v>
      </c>
      <c r="C26" s="304" t="s">
        <v>150</v>
      </c>
      <c r="D26" s="305" t="str">
        <f>VLOOKUP(C26,'Personal File'!$A$10:$C$15,3,FALSE)</f>
        <v>+2</v>
      </c>
      <c r="E26" s="306" t="str">
        <f t="shared" si="0"/>
        <v>Int (+2)</v>
      </c>
      <c r="F26" s="272" t="s">
        <v>51</v>
      </c>
      <c r="G26" s="283">
        <f t="shared" ref="G26" si="10">B26+D26+F26</f>
        <v>3</v>
      </c>
      <c r="H26" s="245">
        <f t="shared" ca="1" si="4"/>
        <v>10</v>
      </c>
      <c r="I26" s="283">
        <f t="shared" ref="I26" ca="1" si="11">SUM(G26:H26)</f>
        <v>13</v>
      </c>
      <c r="J26" s="284"/>
    </row>
    <row r="27" spans="1:10" s="61" customFormat="1" ht="16.8">
      <c r="A27" s="307" t="s">
        <v>42</v>
      </c>
      <c r="B27" s="258">
        <v>0</v>
      </c>
      <c r="C27" s="308" t="s">
        <v>151</v>
      </c>
      <c r="D27" s="309">
        <f>VLOOKUP(C27,'Personal File'!$A$10:$C$15,3,FALSE)</f>
        <v>-1</v>
      </c>
      <c r="E27" s="310" t="str">
        <f t="shared" si="0"/>
        <v>Wis (-1)</v>
      </c>
      <c r="F27" s="263" t="s">
        <v>51</v>
      </c>
      <c r="G27" s="263">
        <f t="shared" si="1"/>
        <v>-1</v>
      </c>
      <c r="H27" s="245">
        <f t="shared" ca="1" si="4"/>
        <v>12</v>
      </c>
      <c r="I27" s="263">
        <f t="shared" ca="1" si="3"/>
        <v>11</v>
      </c>
      <c r="J27" s="246"/>
    </row>
    <row r="28" spans="1:10" s="61" customFormat="1" ht="16.8">
      <c r="A28" s="247" t="s">
        <v>11</v>
      </c>
      <c r="B28" s="258">
        <v>0</v>
      </c>
      <c r="C28" s="264" t="s">
        <v>152</v>
      </c>
      <c r="D28" s="265" t="str">
        <f>VLOOKUP(C28,'Personal File'!$A$10:$C$15,3,FALSE)</f>
        <v>+2</v>
      </c>
      <c r="E28" s="266" t="str">
        <f t="shared" si="0"/>
        <v>Dex (+2)</v>
      </c>
      <c r="F28" s="263">
        <f>Martial!$D$19</f>
        <v>-1</v>
      </c>
      <c r="G28" s="263">
        <f t="shared" si="1"/>
        <v>1</v>
      </c>
      <c r="H28" s="245">
        <f t="shared" ca="1" si="4"/>
        <v>6</v>
      </c>
      <c r="I28" s="263">
        <f t="shared" ca="1" si="3"/>
        <v>7</v>
      </c>
      <c r="J28" s="246"/>
    </row>
    <row r="29" spans="1:10" s="61" customFormat="1" ht="16.8">
      <c r="A29" s="311" t="s">
        <v>43</v>
      </c>
      <c r="B29" s="286">
        <v>0</v>
      </c>
      <c r="C29" s="312" t="s">
        <v>152</v>
      </c>
      <c r="D29" s="313" t="str">
        <f>VLOOKUP(C29,'Personal File'!$A$10:$C$15,3,FALSE)</f>
        <v>+2</v>
      </c>
      <c r="E29" s="314" t="str">
        <f t="shared" si="0"/>
        <v>Dex (+2)</v>
      </c>
      <c r="F29" s="290" t="s">
        <v>51</v>
      </c>
      <c r="G29" s="290">
        <f t="shared" si="1"/>
        <v>2</v>
      </c>
      <c r="H29" s="245">
        <f t="shared" ca="1" si="4"/>
        <v>8</v>
      </c>
      <c r="I29" s="290">
        <f t="shared" ca="1" si="3"/>
        <v>10</v>
      </c>
      <c r="J29" s="291"/>
    </row>
    <row r="30" spans="1:10" ht="16.8">
      <c r="A30" s="292" t="s">
        <v>118</v>
      </c>
      <c r="B30" s="258">
        <v>0</v>
      </c>
      <c r="C30" s="293" t="s">
        <v>149</v>
      </c>
      <c r="D30" s="294" t="str">
        <f>VLOOKUP(C30,'Personal File'!$A$10:$C$15,3,FALSE)</f>
        <v>+2</v>
      </c>
      <c r="E30" s="295" t="str">
        <f t="shared" si="0"/>
        <v>Cha (+2)</v>
      </c>
      <c r="F30" s="263" t="s">
        <v>51</v>
      </c>
      <c r="G30" s="263">
        <f t="shared" si="1"/>
        <v>2</v>
      </c>
      <c r="H30" s="245">
        <f t="shared" ca="1" si="4"/>
        <v>15</v>
      </c>
      <c r="I30" s="263">
        <f t="shared" ca="1" si="3"/>
        <v>17</v>
      </c>
      <c r="J30" s="246"/>
    </row>
    <row r="31" spans="1:10" ht="16.8">
      <c r="A31" s="292" t="s">
        <v>186</v>
      </c>
      <c r="B31" s="258">
        <v>0</v>
      </c>
      <c r="C31" s="308" t="s">
        <v>151</v>
      </c>
      <c r="D31" s="309">
        <f>VLOOKUP(C31,'Personal File'!$A$10:$C$15,3,FALSE)</f>
        <v>-1</v>
      </c>
      <c r="E31" s="310" t="str">
        <f t="shared" si="0"/>
        <v>Wis (-1)</v>
      </c>
      <c r="F31" s="263" t="s">
        <v>51</v>
      </c>
      <c r="G31" s="263">
        <f t="shared" si="1"/>
        <v>-1</v>
      </c>
      <c r="H31" s="245">
        <f t="shared" ca="1" si="4"/>
        <v>4</v>
      </c>
      <c r="I31" s="263">
        <f t="shared" ref="I31" ca="1" si="12">SUM(G31:H31)</f>
        <v>3</v>
      </c>
      <c r="J31" s="246"/>
    </row>
    <row r="32" spans="1:10" ht="16.8">
      <c r="A32" s="247" t="s">
        <v>12</v>
      </c>
      <c r="B32" s="258">
        <v>0</v>
      </c>
      <c r="C32" s="264" t="s">
        <v>152</v>
      </c>
      <c r="D32" s="265" t="str">
        <f>VLOOKUP(C32,'Personal File'!$A$10:$C$15,3,FALSE)</f>
        <v>+2</v>
      </c>
      <c r="E32" s="266" t="str">
        <f t="shared" si="0"/>
        <v>Dex (+2)</v>
      </c>
      <c r="F32" s="263" t="s">
        <v>51</v>
      </c>
      <c r="G32" s="263">
        <f t="shared" si="1"/>
        <v>2</v>
      </c>
      <c r="H32" s="245">
        <f t="shared" ca="1" si="4"/>
        <v>6</v>
      </c>
      <c r="I32" s="263">
        <f t="shared" ca="1" si="3"/>
        <v>8</v>
      </c>
      <c r="J32" s="246"/>
    </row>
    <row r="33" spans="1:10" ht="16.8">
      <c r="A33" s="257" t="s">
        <v>13</v>
      </c>
      <c r="B33" s="258">
        <v>0</v>
      </c>
      <c r="C33" s="259" t="s">
        <v>150</v>
      </c>
      <c r="D33" s="260" t="str">
        <f>VLOOKUP(C33,'Personal File'!$A$10:$C$15,3,FALSE)</f>
        <v>+2</v>
      </c>
      <c r="E33" s="261" t="str">
        <f t="shared" si="0"/>
        <v>Int (+2)</v>
      </c>
      <c r="F33" s="263" t="s">
        <v>51</v>
      </c>
      <c r="G33" s="263">
        <f t="shared" si="1"/>
        <v>2</v>
      </c>
      <c r="H33" s="245">
        <f t="shared" ca="1" si="4"/>
        <v>16</v>
      </c>
      <c r="I33" s="263">
        <f t="shared" ca="1" si="3"/>
        <v>18</v>
      </c>
      <c r="J33" s="246"/>
    </row>
    <row r="34" spans="1:10" ht="16.8">
      <c r="A34" s="322" t="s">
        <v>44</v>
      </c>
      <c r="B34" s="268">
        <v>7</v>
      </c>
      <c r="C34" s="315" t="s">
        <v>151</v>
      </c>
      <c r="D34" s="316">
        <f>VLOOKUP(C34,'Personal File'!$A$10:$C$15,3,FALSE)</f>
        <v>-1</v>
      </c>
      <c r="E34" s="317" t="str">
        <f t="shared" si="0"/>
        <v>Wis (-1)</v>
      </c>
      <c r="F34" s="272" t="s">
        <v>51</v>
      </c>
      <c r="G34" s="272">
        <f t="shared" si="1"/>
        <v>6</v>
      </c>
      <c r="H34" s="245">
        <f t="shared" ca="1" si="4"/>
        <v>10</v>
      </c>
      <c r="I34" s="272">
        <f t="shared" ca="1" si="3"/>
        <v>16</v>
      </c>
      <c r="J34" s="273"/>
    </row>
    <row r="35" spans="1:10" ht="16.8">
      <c r="A35" s="311" t="s">
        <v>82</v>
      </c>
      <c r="B35" s="286">
        <v>0</v>
      </c>
      <c r="C35" s="312" t="s">
        <v>152</v>
      </c>
      <c r="D35" s="313" t="str">
        <f>VLOOKUP(C35,'Personal File'!$A$10:$C$15,3,FALSE)</f>
        <v>+2</v>
      </c>
      <c r="E35" s="314" t="str">
        <f t="shared" si="0"/>
        <v>Dex (+2)</v>
      </c>
      <c r="F35" s="290">
        <f>Martial!$D$19</f>
        <v>-1</v>
      </c>
      <c r="G35" s="290">
        <f t="shared" si="1"/>
        <v>1</v>
      </c>
      <c r="H35" s="245">
        <f t="shared" ca="1" si="4"/>
        <v>14</v>
      </c>
      <c r="I35" s="290">
        <f t="shared" ref="I35:I36" ca="1" si="13">SUM(G35:H35)</f>
        <v>15</v>
      </c>
      <c r="J35" s="291"/>
    </row>
    <row r="36" spans="1:10" ht="16.8">
      <c r="A36" s="318" t="s">
        <v>267</v>
      </c>
      <c r="B36" s="268">
        <v>1</v>
      </c>
      <c r="C36" s="319" t="s">
        <v>150</v>
      </c>
      <c r="D36" s="320" t="str">
        <f>VLOOKUP(C36,'Personal File'!$A$10:$C$15,3,FALSE)</f>
        <v>+2</v>
      </c>
      <c r="E36" s="321" t="str">
        <f t="shared" si="0"/>
        <v>Int (+2)</v>
      </c>
      <c r="F36" s="272" t="s">
        <v>51</v>
      </c>
      <c r="G36" s="408">
        <f t="shared" si="1"/>
        <v>3</v>
      </c>
      <c r="H36" s="245">
        <f t="shared" ca="1" si="4"/>
        <v>17</v>
      </c>
      <c r="I36" s="408">
        <f t="shared" ca="1" si="13"/>
        <v>20</v>
      </c>
      <c r="J36" s="273" t="s">
        <v>253</v>
      </c>
    </row>
    <row r="37" spans="1:10" ht="16.8">
      <c r="A37" s="318" t="s">
        <v>45</v>
      </c>
      <c r="B37" s="268">
        <v>1</v>
      </c>
      <c r="C37" s="319" t="s">
        <v>150</v>
      </c>
      <c r="D37" s="320" t="str">
        <f>VLOOKUP(C37,'Personal File'!$A$10:$C$15,3,FALSE)</f>
        <v>+2</v>
      </c>
      <c r="E37" s="321" t="str">
        <f t="shared" si="0"/>
        <v>Int (+2)</v>
      </c>
      <c r="F37" s="272" t="s">
        <v>51</v>
      </c>
      <c r="G37" s="272">
        <f t="shared" si="1"/>
        <v>3</v>
      </c>
      <c r="H37" s="245">
        <f t="shared" ca="1" si="4"/>
        <v>2</v>
      </c>
      <c r="I37" s="272">
        <f t="shared" ca="1" si="3"/>
        <v>5</v>
      </c>
      <c r="J37" s="273"/>
    </row>
    <row r="38" spans="1:10" ht="16.8">
      <c r="A38" s="307" t="s">
        <v>46</v>
      </c>
      <c r="B38" s="258">
        <v>0</v>
      </c>
      <c r="C38" s="308" t="s">
        <v>151</v>
      </c>
      <c r="D38" s="309">
        <f>VLOOKUP(C38,'Personal File'!$A$10:$C$15,3,FALSE)</f>
        <v>-1</v>
      </c>
      <c r="E38" s="310" t="str">
        <f t="shared" si="0"/>
        <v>Wis (-1)</v>
      </c>
      <c r="F38" s="263" t="s">
        <v>230</v>
      </c>
      <c r="G38" s="263">
        <f t="shared" si="1"/>
        <v>1</v>
      </c>
      <c r="H38" s="245">
        <f t="shared" ca="1" si="4"/>
        <v>13</v>
      </c>
      <c r="I38" s="263">
        <f t="shared" ca="1" si="3"/>
        <v>14</v>
      </c>
      <c r="J38" s="246"/>
    </row>
    <row r="39" spans="1:10" ht="16.8">
      <c r="A39" s="307" t="s">
        <v>83</v>
      </c>
      <c r="B39" s="258">
        <v>0</v>
      </c>
      <c r="C39" s="308" t="s">
        <v>151</v>
      </c>
      <c r="D39" s="309">
        <f>VLOOKUP(C39,'Personal File'!$A$10:$C$15,3,FALSE)</f>
        <v>-1</v>
      </c>
      <c r="E39" s="310" t="str">
        <f t="shared" si="0"/>
        <v>Wis (-1)</v>
      </c>
      <c r="F39" s="263" t="s">
        <v>51</v>
      </c>
      <c r="G39" s="263">
        <f t="shared" si="1"/>
        <v>-1</v>
      </c>
      <c r="H39" s="245">
        <f t="shared" ca="1" si="4"/>
        <v>2</v>
      </c>
      <c r="I39" s="263">
        <f t="shared" ca="1" si="3"/>
        <v>1</v>
      </c>
      <c r="J39" s="246"/>
    </row>
    <row r="40" spans="1:10" ht="16.8">
      <c r="A40" s="274" t="s">
        <v>14</v>
      </c>
      <c r="B40" s="258">
        <v>0</v>
      </c>
      <c r="C40" s="275" t="s">
        <v>153</v>
      </c>
      <c r="D40" s="276" t="str">
        <f>VLOOKUP(C40,'Personal File'!$A$10:$C$15,3,FALSE)</f>
        <v>+4</v>
      </c>
      <c r="E40" s="277" t="str">
        <f t="shared" si="0"/>
        <v>Str (+4)</v>
      </c>
      <c r="F40" s="263" t="s">
        <v>51</v>
      </c>
      <c r="G40" s="263">
        <f t="shared" si="1"/>
        <v>4</v>
      </c>
      <c r="H40" s="245">
        <f t="shared" ca="1" si="4"/>
        <v>15</v>
      </c>
      <c r="I40" s="263">
        <f t="shared" ca="1" si="3"/>
        <v>19</v>
      </c>
      <c r="J40" s="246"/>
    </row>
    <row r="41" spans="1:10" ht="16.8">
      <c r="A41" s="404" t="s">
        <v>47</v>
      </c>
      <c r="B41" s="268">
        <v>1</v>
      </c>
      <c r="C41" s="405" t="s">
        <v>152</v>
      </c>
      <c r="D41" s="406" t="str">
        <f>VLOOKUP(C41,'Personal File'!$A$10:$C$15,3,FALSE)</f>
        <v>+2</v>
      </c>
      <c r="E41" s="407" t="str">
        <f t="shared" si="0"/>
        <v>Dex (+2)</v>
      </c>
      <c r="F41" s="411">
        <f>Martial!$D$19+2</f>
        <v>1</v>
      </c>
      <c r="G41" s="408">
        <f t="shared" si="1"/>
        <v>4</v>
      </c>
      <c r="H41" s="245">
        <f t="shared" ca="1" si="4"/>
        <v>15</v>
      </c>
      <c r="I41" s="408">
        <f t="shared" ref="I41:I42" ca="1" si="14">SUM(G41:H41)</f>
        <v>19</v>
      </c>
      <c r="J41" s="273" t="s">
        <v>253</v>
      </c>
    </row>
    <row r="42" spans="1:10" ht="16.8">
      <c r="A42" s="323" t="s">
        <v>48</v>
      </c>
      <c r="B42" s="286">
        <v>0</v>
      </c>
      <c r="C42" s="324" t="s">
        <v>149</v>
      </c>
      <c r="D42" s="325" t="str">
        <f>VLOOKUP(C42,'Personal File'!$A$10:$C$15,3,FALSE)</f>
        <v>+2</v>
      </c>
      <c r="E42" s="326" t="str">
        <f t="shared" si="0"/>
        <v>Cha (+2)</v>
      </c>
      <c r="F42" s="290" t="s">
        <v>51</v>
      </c>
      <c r="G42" s="290">
        <f t="shared" si="1"/>
        <v>2</v>
      </c>
      <c r="H42" s="245">
        <f t="shared" ca="1" si="4"/>
        <v>8</v>
      </c>
      <c r="I42" s="290">
        <f t="shared" ca="1" si="14"/>
        <v>10</v>
      </c>
      <c r="J42" s="291"/>
    </row>
    <row r="43" spans="1:10" ht="17.399999999999999" thickBot="1">
      <c r="A43" s="327" t="s">
        <v>49</v>
      </c>
      <c r="B43" s="328">
        <v>0</v>
      </c>
      <c r="C43" s="329" t="s">
        <v>152</v>
      </c>
      <c r="D43" s="330" t="str">
        <f>VLOOKUP(C43,'Personal File'!$A$10:$C$15,3,FALSE)</f>
        <v>+2</v>
      </c>
      <c r="E43" s="331" t="str">
        <f t="shared" si="0"/>
        <v>Dex (+2)</v>
      </c>
      <c r="F43" s="332" t="s">
        <v>51</v>
      </c>
      <c r="G43" s="332">
        <f t="shared" si="1"/>
        <v>2</v>
      </c>
      <c r="H43" s="333">
        <f t="shared" ca="1" si="4"/>
        <v>2</v>
      </c>
      <c r="I43" s="332">
        <f t="shared" ca="1" si="3"/>
        <v>4</v>
      </c>
      <c r="J43" s="334"/>
    </row>
    <row r="44" spans="1:10" ht="16.2" thickTop="1">
      <c r="B44" s="228">
        <f>SUM(B6:B43,B41,B36)</f>
        <v>42</v>
      </c>
      <c r="E44" s="228">
        <f>SUM(E45:E50)</f>
        <v>42</v>
      </c>
      <c r="F44" s="335" t="s">
        <v>52</v>
      </c>
    </row>
    <row r="45" spans="1:10">
      <c r="B45" s="228"/>
      <c r="E45" s="226">
        <f>4*(2+'Personal File'!$C$13)</f>
        <v>16</v>
      </c>
      <c r="F45" s="227" t="s">
        <v>177</v>
      </c>
    </row>
    <row r="46" spans="1:10">
      <c r="B46" s="228"/>
      <c r="E46" s="226">
        <f>2+'Personal File'!$C$13</f>
        <v>4</v>
      </c>
      <c r="F46" s="227" t="s">
        <v>264</v>
      </c>
    </row>
    <row r="47" spans="1:10">
      <c r="B47" s="228"/>
      <c r="E47" s="226">
        <f>2+'Personal File'!$C$13</f>
        <v>4</v>
      </c>
      <c r="F47" s="227" t="s">
        <v>266</v>
      </c>
    </row>
    <row r="48" spans="1:10">
      <c r="B48" s="228"/>
      <c r="E48" s="226">
        <f>2+'Personal File'!$C$13</f>
        <v>4</v>
      </c>
      <c r="F48" s="227" t="s">
        <v>293</v>
      </c>
    </row>
    <row r="49" spans="2:6">
      <c r="B49" s="228"/>
      <c r="E49" s="226">
        <f>4+'Personal File'!$C$13</f>
        <v>6</v>
      </c>
      <c r="F49" s="227" t="s">
        <v>304</v>
      </c>
    </row>
    <row r="50" spans="2:6">
      <c r="E50" s="228">
        <f>3+SUM('Personal File'!$E$3:$E$4)</f>
        <v>8</v>
      </c>
      <c r="F50" s="227" t="s">
        <v>120</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
  <sheetViews>
    <sheetView showGridLines="0" zoomScaleNormal="100" workbookViewId="0">
      <pane ySplit="2" topLeftCell="A3" activePane="bottomLeft" state="frozen"/>
      <selection pane="bottomLeft" activeCell="A3" sqref="A3"/>
    </sheetView>
  </sheetViews>
  <sheetFormatPr defaultColWidth="13" defaultRowHeight="15.6"/>
  <cols>
    <col min="1" max="1" width="19.09765625" style="56" bestFit="1" customWidth="1"/>
    <col min="2" max="2" width="6.19921875" style="56" bestFit="1" customWidth="1"/>
    <col min="3" max="3" width="13.59765625" style="57" bestFit="1" customWidth="1"/>
    <col min="4" max="4" width="12.69921875" style="65" bestFit="1" customWidth="1"/>
    <col min="5" max="5" width="8.09765625" style="57" bestFit="1" customWidth="1"/>
    <col min="6" max="6" width="12.59765625" style="57" bestFit="1" customWidth="1"/>
    <col min="7" max="7" width="9.796875" style="56" bestFit="1" customWidth="1"/>
    <col min="8" max="8" width="17.8984375" style="14" bestFit="1" customWidth="1"/>
    <col min="9" max="9" width="5.5" style="14" bestFit="1" customWidth="1"/>
    <col min="10" max="16384" width="13" style="14"/>
  </cols>
  <sheetData>
    <row r="1" spans="1:9" ht="23.4" thickBot="1">
      <c r="A1" s="198" t="s">
        <v>167</v>
      </c>
      <c r="B1" s="58"/>
      <c r="C1" s="58"/>
      <c r="D1" s="59"/>
      <c r="E1" s="58"/>
      <c r="F1" s="58"/>
      <c r="G1" s="58"/>
      <c r="H1" s="58"/>
    </row>
    <row r="2" spans="1:9" s="3" customFormat="1" ht="16.8">
      <c r="A2" s="199" t="s">
        <v>69</v>
      </c>
      <c r="B2" s="200" t="s">
        <v>0</v>
      </c>
      <c r="C2" s="202" t="s">
        <v>71</v>
      </c>
      <c r="D2" s="202" t="s">
        <v>87</v>
      </c>
      <c r="E2" s="201" t="s">
        <v>88</v>
      </c>
      <c r="F2" s="201" t="s">
        <v>54</v>
      </c>
      <c r="G2" s="201" t="s">
        <v>17</v>
      </c>
      <c r="H2" s="201" t="s">
        <v>141</v>
      </c>
      <c r="I2" s="203" t="s">
        <v>142</v>
      </c>
    </row>
    <row r="3" spans="1:9" s="3" customFormat="1" ht="16.8">
      <c r="A3" s="204" t="s">
        <v>249</v>
      </c>
      <c r="B3" s="66">
        <v>0</v>
      </c>
      <c r="C3" s="400" t="s">
        <v>250</v>
      </c>
      <c r="D3" s="401" t="s">
        <v>89</v>
      </c>
      <c r="E3" s="402" t="s">
        <v>90</v>
      </c>
      <c r="F3" s="402" t="s">
        <v>251</v>
      </c>
      <c r="G3" s="402" t="s">
        <v>67</v>
      </c>
      <c r="H3" s="402" t="s">
        <v>252</v>
      </c>
      <c r="I3" s="403">
        <v>9</v>
      </c>
    </row>
    <row r="4" spans="1:9" s="3" customFormat="1" ht="16.8">
      <c r="A4" s="204" t="s">
        <v>95</v>
      </c>
      <c r="B4" s="66">
        <v>0</v>
      </c>
      <c r="C4" s="6" t="s">
        <v>231</v>
      </c>
      <c r="D4" s="1" t="s">
        <v>89</v>
      </c>
      <c r="E4" s="167" t="s">
        <v>90</v>
      </c>
      <c r="F4" s="4" t="s">
        <v>61</v>
      </c>
      <c r="G4" s="4" t="s">
        <v>65</v>
      </c>
      <c r="H4" s="4" t="s">
        <v>140</v>
      </c>
      <c r="I4" s="69">
        <v>216</v>
      </c>
    </row>
    <row r="5" spans="1:9" s="3" customFormat="1" ht="16.8">
      <c r="A5" s="204" t="s">
        <v>96</v>
      </c>
      <c r="B5" s="66">
        <v>0</v>
      </c>
      <c r="C5" s="6" t="s">
        <v>80</v>
      </c>
      <c r="D5" s="1" t="s">
        <v>89</v>
      </c>
      <c r="E5" s="167" t="s">
        <v>90</v>
      </c>
      <c r="F5" s="4" t="s">
        <v>61</v>
      </c>
      <c r="G5" s="4" t="s">
        <v>62</v>
      </c>
      <c r="H5" s="4" t="s">
        <v>140</v>
      </c>
      <c r="I5" s="168">
        <v>238</v>
      </c>
    </row>
    <row r="6" spans="1:9" s="3" customFormat="1" ht="16.8">
      <c r="A6" s="204" t="s">
        <v>94</v>
      </c>
      <c r="B6" s="66">
        <v>0</v>
      </c>
      <c r="C6" s="6" t="s">
        <v>68</v>
      </c>
      <c r="D6" s="1" t="s">
        <v>115</v>
      </c>
      <c r="E6" s="167" t="s">
        <v>90</v>
      </c>
      <c r="F6" s="4" t="s">
        <v>61</v>
      </c>
      <c r="G6" s="4" t="s">
        <v>67</v>
      </c>
      <c r="H6" s="4" t="s">
        <v>140</v>
      </c>
      <c r="I6" s="69">
        <v>248</v>
      </c>
    </row>
    <row r="7" spans="1:9" s="3" customFormat="1" ht="16.8">
      <c r="A7" s="204" t="s">
        <v>281</v>
      </c>
      <c r="B7" s="66">
        <v>0</v>
      </c>
      <c r="C7" s="6" t="s">
        <v>250</v>
      </c>
      <c r="D7" s="1" t="s">
        <v>89</v>
      </c>
      <c r="E7" s="167" t="s">
        <v>90</v>
      </c>
      <c r="F7" s="4" t="s">
        <v>222</v>
      </c>
      <c r="G7" s="4" t="s">
        <v>65</v>
      </c>
      <c r="H7" s="4" t="s">
        <v>140</v>
      </c>
      <c r="I7" s="69">
        <v>253</v>
      </c>
    </row>
    <row r="8" spans="1:9" s="3" customFormat="1" ht="16.8">
      <c r="A8" s="205" t="s">
        <v>97</v>
      </c>
      <c r="B8" s="67">
        <v>0</v>
      </c>
      <c r="C8" s="68" t="s">
        <v>63</v>
      </c>
      <c r="D8" s="5" t="s">
        <v>93</v>
      </c>
      <c r="E8" s="169" t="s">
        <v>90</v>
      </c>
      <c r="F8" s="7" t="s">
        <v>66</v>
      </c>
      <c r="G8" s="7" t="s">
        <v>67</v>
      </c>
      <c r="H8" s="7" t="s">
        <v>140</v>
      </c>
      <c r="I8" s="70">
        <v>269</v>
      </c>
    </row>
    <row r="9" spans="1:9" ht="16.8">
      <c r="A9" s="204" t="s">
        <v>81</v>
      </c>
      <c r="B9" s="66">
        <v>1</v>
      </c>
      <c r="C9" s="6" t="s">
        <v>231</v>
      </c>
      <c r="D9" s="1" t="s">
        <v>89</v>
      </c>
      <c r="E9" s="167" t="s">
        <v>90</v>
      </c>
      <c r="F9" s="4" t="s">
        <v>61</v>
      </c>
      <c r="G9" s="4" t="s">
        <v>65</v>
      </c>
      <c r="H9" s="4" t="s">
        <v>140</v>
      </c>
      <c r="I9" s="69">
        <v>216</v>
      </c>
    </row>
    <row r="10" spans="1:9" ht="16.8">
      <c r="A10" s="204" t="s">
        <v>114</v>
      </c>
      <c r="B10" s="66">
        <v>1</v>
      </c>
      <c r="C10" s="6" t="s">
        <v>68</v>
      </c>
      <c r="D10" s="1" t="s">
        <v>91</v>
      </c>
      <c r="E10" s="167" t="s">
        <v>90</v>
      </c>
      <c r="F10" s="4" t="s">
        <v>66</v>
      </c>
      <c r="G10" s="4" t="s">
        <v>62</v>
      </c>
      <c r="H10" s="4" t="s">
        <v>140</v>
      </c>
      <c r="I10" s="168">
        <v>224</v>
      </c>
    </row>
    <row r="11" spans="1:9" ht="16.8">
      <c r="A11" s="204" t="s">
        <v>116</v>
      </c>
      <c r="B11" s="66">
        <v>1</v>
      </c>
      <c r="C11" s="6" t="s">
        <v>60</v>
      </c>
      <c r="D11" s="1" t="s">
        <v>92</v>
      </c>
      <c r="E11" s="167" t="s">
        <v>90</v>
      </c>
      <c r="F11" s="4" t="s">
        <v>61</v>
      </c>
      <c r="G11" s="4" t="s">
        <v>64</v>
      </c>
      <c r="H11" s="4" t="s">
        <v>140</v>
      </c>
      <c r="I11" s="168">
        <v>266</v>
      </c>
    </row>
    <row r="12" spans="1:9" ht="16.8">
      <c r="A12" s="205" t="s">
        <v>279</v>
      </c>
      <c r="B12" s="67">
        <v>1</v>
      </c>
      <c r="C12" s="68" t="s">
        <v>60</v>
      </c>
      <c r="D12" s="5" t="s">
        <v>91</v>
      </c>
      <c r="E12" s="169" t="s">
        <v>90</v>
      </c>
      <c r="F12" s="7" t="s">
        <v>61</v>
      </c>
      <c r="G12" s="7" t="s">
        <v>65</v>
      </c>
      <c r="H12" s="7" t="s">
        <v>280</v>
      </c>
      <c r="I12" s="439">
        <v>177</v>
      </c>
    </row>
    <row r="13" spans="1:9" ht="16.8">
      <c r="A13" s="204" t="s">
        <v>282</v>
      </c>
      <c r="B13" s="66">
        <v>2</v>
      </c>
      <c r="C13" s="6" t="s">
        <v>250</v>
      </c>
      <c r="D13" s="1" t="s">
        <v>92</v>
      </c>
      <c r="E13" s="167" t="s">
        <v>90</v>
      </c>
      <c r="F13" s="4" t="s">
        <v>61</v>
      </c>
      <c r="G13" s="4" t="s">
        <v>64</v>
      </c>
      <c r="H13" s="4" t="s">
        <v>140</v>
      </c>
      <c r="I13" s="168">
        <v>207</v>
      </c>
    </row>
    <row r="14" spans="1:9" ht="16.8">
      <c r="A14" s="204" t="s">
        <v>283</v>
      </c>
      <c r="B14" s="66">
        <v>2</v>
      </c>
      <c r="C14" s="6" t="s">
        <v>231</v>
      </c>
      <c r="D14" s="1" t="s">
        <v>89</v>
      </c>
      <c r="E14" s="167" t="s">
        <v>90</v>
      </c>
      <c r="F14" s="4" t="s">
        <v>61</v>
      </c>
      <c r="G14" s="4" t="s">
        <v>65</v>
      </c>
      <c r="H14" s="4" t="s">
        <v>140</v>
      </c>
      <c r="I14" s="168">
        <v>272</v>
      </c>
    </row>
    <row r="15" spans="1:9" ht="17.399999999999999" thickBot="1">
      <c r="A15" s="206" t="s">
        <v>284</v>
      </c>
      <c r="B15" s="146">
        <v>2</v>
      </c>
      <c r="C15" s="147" t="s">
        <v>285</v>
      </c>
      <c r="D15" s="148" t="s">
        <v>89</v>
      </c>
      <c r="E15" s="170" t="s">
        <v>90</v>
      </c>
      <c r="F15" s="149" t="s">
        <v>286</v>
      </c>
      <c r="G15" s="149" t="s">
        <v>64</v>
      </c>
      <c r="H15" s="149" t="s">
        <v>140</v>
      </c>
      <c r="I15" s="438">
        <v>279</v>
      </c>
    </row>
    <row r="16" spans="1:9" ht="16.2" thickTop="1"/>
  </sheetData>
  <sortState xmlns:xlrd2="http://schemas.microsoft.com/office/spreadsheetml/2017/richdata2" ref="A3:I15">
    <sortCondition ref="B3:B15"/>
    <sortCondition ref="A3:A1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5"/>
  <sheetViews>
    <sheetView showGridLines="0" workbookViewId="0"/>
  </sheetViews>
  <sheetFormatPr defaultColWidth="13" defaultRowHeight="16.8"/>
  <cols>
    <col min="1" max="1" width="17.5" style="51" bestFit="1" customWidth="1"/>
    <col min="2" max="2" width="3.59765625" style="51" bestFit="1" customWidth="1"/>
    <col min="3" max="4" width="4.19921875" style="51" customWidth="1"/>
    <col min="5" max="5" width="3.69921875" style="51" bestFit="1" customWidth="1"/>
    <col min="6" max="8" width="3.59765625" style="51" bestFit="1" customWidth="1"/>
    <col min="9" max="10" width="3.59765625" style="51" customWidth="1"/>
    <col min="11" max="11" width="3.59765625" style="51" bestFit="1" customWidth="1"/>
    <col min="12" max="12" width="4.69921875" style="51" customWidth="1"/>
    <col min="13" max="13" width="37.09765625" style="51" bestFit="1" customWidth="1"/>
    <col min="14" max="14" width="4.69921875" style="51" customWidth="1"/>
    <col min="15" max="15" width="39.3984375" style="51" bestFit="1" customWidth="1"/>
    <col min="16" max="16384" width="13" style="51"/>
  </cols>
  <sheetData>
    <row r="1" spans="1:15" ht="24" thickTop="1" thickBot="1">
      <c r="A1" s="157"/>
      <c r="B1" s="337" t="s">
        <v>104</v>
      </c>
      <c r="C1" s="58"/>
      <c r="D1" s="58"/>
      <c r="E1" s="338"/>
      <c r="F1" s="58"/>
      <c r="G1" s="58"/>
      <c r="H1" s="58"/>
      <c r="I1" s="58"/>
      <c r="J1" s="58"/>
      <c r="K1" s="338"/>
      <c r="M1" s="73" t="s">
        <v>109</v>
      </c>
      <c r="O1" s="463" t="s">
        <v>269</v>
      </c>
    </row>
    <row r="2" spans="1:15" ht="17.399999999999999" thickTop="1">
      <c r="A2" s="157"/>
      <c r="B2" s="71" t="s">
        <v>105</v>
      </c>
      <c r="C2" s="339"/>
      <c r="D2" s="339"/>
      <c r="E2" s="339"/>
      <c r="F2" s="339"/>
      <c r="G2" s="339"/>
      <c r="H2" s="339"/>
      <c r="I2" s="339"/>
      <c r="J2" s="339"/>
      <c r="K2" s="340"/>
      <c r="M2" s="74" t="s">
        <v>179</v>
      </c>
      <c r="O2" s="464" t="s">
        <v>270</v>
      </c>
    </row>
    <row r="3" spans="1:15" ht="17.399999999999999" thickBot="1">
      <c r="A3" s="157"/>
      <c r="B3" s="341" t="s">
        <v>106</v>
      </c>
      <c r="C3" s="342" t="s">
        <v>98</v>
      </c>
      <c r="D3" s="342" t="s">
        <v>99</v>
      </c>
      <c r="E3" s="342" t="s">
        <v>100</v>
      </c>
      <c r="F3" s="342" t="s">
        <v>101</v>
      </c>
      <c r="G3" s="342" t="s">
        <v>102</v>
      </c>
      <c r="H3" s="342" t="s">
        <v>103</v>
      </c>
      <c r="I3" s="342" t="s">
        <v>107</v>
      </c>
      <c r="J3" s="342" t="s">
        <v>182</v>
      </c>
      <c r="K3" s="343" t="s">
        <v>183</v>
      </c>
      <c r="M3" s="225" t="s">
        <v>242</v>
      </c>
      <c r="O3" s="465"/>
    </row>
    <row r="4" spans="1:15" ht="18" thickTop="1" thickBot="1">
      <c r="A4" s="344" t="s">
        <v>181</v>
      </c>
      <c r="B4" s="345">
        <v>6</v>
      </c>
      <c r="C4" s="346">
        <v>6</v>
      </c>
      <c r="D4" s="346">
        <v>3</v>
      </c>
      <c r="E4" s="353">
        <v>0</v>
      </c>
      <c r="F4" s="353">
        <v>0</v>
      </c>
      <c r="G4" s="353">
        <v>0</v>
      </c>
      <c r="H4" s="353">
        <v>0</v>
      </c>
      <c r="I4" s="353">
        <v>0</v>
      </c>
      <c r="J4" s="353">
        <v>0</v>
      </c>
      <c r="K4" s="354">
        <v>0</v>
      </c>
      <c r="M4" s="75" t="s">
        <v>178</v>
      </c>
    </row>
    <row r="5" spans="1:15" ht="24" thickTop="1" thickBot="1">
      <c r="A5" s="347" t="s">
        <v>180</v>
      </c>
      <c r="B5" s="348">
        <v>0</v>
      </c>
      <c r="C5" s="139">
        <v>1</v>
      </c>
      <c r="D5" s="139">
        <v>1</v>
      </c>
      <c r="E5" s="355">
        <v>0</v>
      </c>
      <c r="F5" s="355">
        <v>0</v>
      </c>
      <c r="G5" s="355">
        <v>0</v>
      </c>
      <c r="H5" s="355">
        <v>0</v>
      </c>
      <c r="I5" s="355">
        <v>0</v>
      </c>
      <c r="J5" s="355">
        <v>0</v>
      </c>
      <c r="K5" s="356">
        <v>0</v>
      </c>
      <c r="M5" s="224" t="s">
        <v>271</v>
      </c>
      <c r="O5" s="460" t="s">
        <v>306</v>
      </c>
    </row>
    <row r="6" spans="1:15" ht="18" thickTop="1" thickBot="1">
      <c r="A6" s="349" t="s">
        <v>108</v>
      </c>
      <c r="B6" s="350">
        <f t="shared" ref="B6:H6" si="0">SUM(B4:B5)</f>
        <v>6</v>
      </c>
      <c r="C6" s="351">
        <f t="shared" si="0"/>
        <v>7</v>
      </c>
      <c r="D6" s="351">
        <f t="shared" ref="D6" si="1">SUM(D4:D5)</f>
        <v>4</v>
      </c>
      <c r="E6" s="358">
        <f t="shared" si="0"/>
        <v>0</v>
      </c>
      <c r="F6" s="358">
        <f t="shared" si="0"/>
        <v>0</v>
      </c>
      <c r="G6" s="358">
        <f t="shared" si="0"/>
        <v>0</v>
      </c>
      <c r="H6" s="358">
        <f t="shared" si="0"/>
        <v>0</v>
      </c>
      <c r="I6" s="358">
        <f t="shared" ref="I6:J6" si="2">SUM(I4:I5)</f>
        <v>0</v>
      </c>
      <c r="J6" s="358">
        <f t="shared" si="2"/>
        <v>0</v>
      </c>
      <c r="K6" s="357">
        <f>SUM(K5:K5)</f>
        <v>0</v>
      </c>
      <c r="M6" s="24"/>
      <c r="O6" s="461" t="s">
        <v>309</v>
      </c>
    </row>
    <row r="7" spans="1:15" ht="24" thickTop="1" thickBot="1">
      <c r="A7" s="364" t="s">
        <v>184</v>
      </c>
      <c r="B7" s="365">
        <f>10+LEFT(B3,1)+'Personal File'!$C$15</f>
        <v>12</v>
      </c>
      <c r="C7" s="365">
        <f>10+LEFT(C3,1)+'Personal File'!$C$15</f>
        <v>13</v>
      </c>
      <c r="D7" s="365">
        <f>10+LEFT(D3,1)+'Personal File'!$C$15</f>
        <v>14</v>
      </c>
      <c r="E7" s="367">
        <f>10+LEFT(E3,1)+'Personal File'!$C$15</f>
        <v>15</v>
      </c>
      <c r="F7" s="367">
        <f>10+LEFT(F3,1)+'Personal File'!$C$15</f>
        <v>16</v>
      </c>
      <c r="G7" s="367">
        <f>10+LEFT(G3,1)+'Personal File'!$C$15</f>
        <v>17</v>
      </c>
      <c r="H7" s="367">
        <f>10+LEFT(H3,1)+'Personal File'!$C$15</f>
        <v>18</v>
      </c>
      <c r="I7" s="367">
        <f>10+LEFT(I3,1)+'Personal File'!$C$15</f>
        <v>19</v>
      </c>
      <c r="J7" s="367">
        <f>10+LEFT(J3,1)+'Personal File'!$C$15</f>
        <v>20</v>
      </c>
      <c r="K7" s="368">
        <f>10+LEFT(K3,1)+'Personal File'!$C$15</f>
        <v>21</v>
      </c>
      <c r="M7" s="196" t="s">
        <v>84</v>
      </c>
      <c r="O7" s="461" t="s">
        <v>311</v>
      </c>
    </row>
    <row r="8" spans="1:15" ht="17.399999999999999" thickBot="1">
      <c r="A8" s="349" t="s">
        <v>185</v>
      </c>
      <c r="B8" s="350">
        <v>1</v>
      </c>
      <c r="C8" s="350">
        <v>3</v>
      </c>
      <c r="D8" s="350">
        <v>1</v>
      </c>
      <c r="E8" s="369" t="s">
        <v>128</v>
      </c>
      <c r="F8" s="369" t="s">
        <v>128</v>
      </c>
      <c r="G8" s="369" t="s">
        <v>128</v>
      </c>
      <c r="H8" s="369" t="s">
        <v>128</v>
      </c>
      <c r="I8" s="369" t="s">
        <v>128</v>
      </c>
      <c r="J8" s="369" t="s">
        <v>128</v>
      </c>
      <c r="K8" s="366" t="s">
        <v>128</v>
      </c>
      <c r="M8" s="76" t="s">
        <v>85</v>
      </c>
      <c r="O8" s="461" t="s">
        <v>310</v>
      </c>
    </row>
    <row r="9" spans="1:15" ht="17.399999999999999" thickTop="1">
      <c r="M9" s="470" t="s">
        <v>325</v>
      </c>
      <c r="O9" s="461" t="s">
        <v>312</v>
      </c>
    </row>
    <row r="10" spans="1:15" ht="17.399999999999999" thickBot="1">
      <c r="A10" s="24"/>
      <c r="C10" s="17" t="s">
        <v>139</v>
      </c>
      <c r="D10" s="18">
        <f>'Personal File'!E3</f>
        <v>4</v>
      </c>
      <c r="M10" s="471" t="s">
        <v>265</v>
      </c>
      <c r="O10" s="461" t="s">
        <v>313</v>
      </c>
    </row>
    <row r="11" spans="1:15" ht="18" thickTop="1" thickBot="1">
      <c r="C11" s="17" t="s">
        <v>316</v>
      </c>
      <c r="D11" s="18">
        <v>3</v>
      </c>
      <c r="M11" s="24"/>
      <c r="O11" s="461" t="s">
        <v>314</v>
      </c>
    </row>
    <row r="12" spans="1:15" ht="24" thickTop="1" thickBot="1">
      <c r="C12" s="17"/>
      <c r="D12" s="18"/>
      <c r="M12" s="197" t="s">
        <v>70</v>
      </c>
      <c r="O12" s="461" t="s">
        <v>315</v>
      </c>
    </row>
    <row r="13" spans="1:15" ht="23.4" thickBot="1">
      <c r="A13" s="412" t="s">
        <v>307</v>
      </c>
      <c r="B13" s="413"/>
      <c r="C13" s="413"/>
      <c r="D13" s="413"/>
      <c r="E13" s="413"/>
      <c r="F13" s="413"/>
      <c r="G13" s="413"/>
      <c r="H13" s="413"/>
      <c r="I13" s="413"/>
      <c r="J13" s="413"/>
      <c r="M13" s="77" t="s">
        <v>268</v>
      </c>
      <c r="O13" s="462" t="s">
        <v>308</v>
      </c>
    </row>
    <row r="14" spans="1:15" ht="18" thickTop="1" thickBot="1">
      <c r="A14" s="414" t="s">
        <v>296</v>
      </c>
      <c r="B14" s="415" t="s">
        <v>106</v>
      </c>
      <c r="C14" s="415" t="s">
        <v>98</v>
      </c>
      <c r="D14" s="416" t="s">
        <v>99</v>
      </c>
      <c r="E14" s="416" t="s">
        <v>100</v>
      </c>
      <c r="F14" s="416" t="s">
        <v>101</v>
      </c>
      <c r="G14" s="416" t="s">
        <v>102</v>
      </c>
      <c r="H14" s="416" t="s">
        <v>103</v>
      </c>
      <c r="I14" s="416" t="s">
        <v>107</v>
      </c>
      <c r="J14" s="416" t="s">
        <v>182</v>
      </c>
      <c r="K14" s="417" t="s">
        <v>183</v>
      </c>
    </row>
    <row r="15" spans="1:15" ht="24" thickTop="1" thickBot="1">
      <c r="A15" s="418">
        <v>1</v>
      </c>
      <c r="B15" s="432" t="s">
        <v>227</v>
      </c>
      <c r="C15" s="432">
        <v>3</v>
      </c>
      <c r="D15" s="419"/>
      <c r="E15" s="419"/>
      <c r="F15" s="419"/>
      <c r="G15" s="419"/>
      <c r="H15" s="419"/>
      <c r="I15" s="419"/>
      <c r="J15" s="419"/>
      <c r="K15" s="420"/>
      <c r="N15" s="107" t="s">
        <v>110</v>
      </c>
      <c r="O15" s="466" t="s">
        <v>317</v>
      </c>
    </row>
    <row r="16" spans="1:15">
      <c r="A16" s="421">
        <v>2</v>
      </c>
      <c r="B16" s="422">
        <v>5</v>
      </c>
      <c r="C16" s="422">
        <v>3</v>
      </c>
      <c r="D16" s="423"/>
      <c r="E16" s="423"/>
      <c r="F16" s="423"/>
      <c r="G16" s="423"/>
      <c r="H16" s="423"/>
      <c r="I16" s="423"/>
      <c r="J16" s="423"/>
      <c r="K16" s="424"/>
      <c r="N16" s="379"/>
      <c r="O16" s="458"/>
    </row>
    <row r="17" spans="1:15">
      <c r="A17" s="421">
        <v>3</v>
      </c>
      <c r="B17" s="422">
        <v>5</v>
      </c>
      <c r="C17" s="422">
        <v>4</v>
      </c>
      <c r="D17" s="423"/>
      <c r="E17" s="423"/>
      <c r="F17" s="423"/>
      <c r="G17" s="423"/>
      <c r="H17" s="423"/>
      <c r="I17" s="423"/>
      <c r="J17" s="423"/>
      <c r="K17" s="424"/>
      <c r="N17" s="379"/>
      <c r="O17" s="458"/>
    </row>
    <row r="18" spans="1:15">
      <c r="A18" s="426">
        <v>4</v>
      </c>
      <c r="B18" s="427">
        <v>6</v>
      </c>
      <c r="C18" s="427">
        <v>4</v>
      </c>
      <c r="D18" s="427">
        <v>3</v>
      </c>
      <c r="E18" s="423"/>
      <c r="F18" s="423"/>
      <c r="G18" s="423"/>
      <c r="H18" s="423"/>
      <c r="I18" s="423"/>
      <c r="J18" s="423"/>
      <c r="K18" s="424"/>
      <c r="N18" s="379"/>
      <c r="O18" s="458"/>
    </row>
    <row r="19" spans="1:15">
      <c r="A19" s="421">
        <v>5</v>
      </c>
      <c r="B19" s="422">
        <v>6</v>
      </c>
      <c r="C19" s="422">
        <v>5</v>
      </c>
      <c r="D19" s="425">
        <v>3</v>
      </c>
      <c r="E19" s="423"/>
      <c r="F19" s="423"/>
      <c r="G19" s="423"/>
      <c r="H19" s="423"/>
      <c r="I19" s="423"/>
      <c r="J19" s="423"/>
      <c r="K19" s="424"/>
      <c r="N19" s="379"/>
      <c r="O19" s="458"/>
    </row>
    <row r="20" spans="1:15">
      <c r="A20" s="421">
        <v>6</v>
      </c>
      <c r="B20" s="422">
        <v>7</v>
      </c>
      <c r="C20" s="422">
        <v>5</v>
      </c>
      <c r="D20" s="425">
        <v>4</v>
      </c>
      <c r="E20" s="425">
        <v>3</v>
      </c>
      <c r="F20" s="423"/>
      <c r="G20" s="423"/>
      <c r="H20" s="423"/>
      <c r="I20" s="423"/>
      <c r="J20" s="423"/>
      <c r="K20" s="424"/>
      <c r="N20" s="379"/>
      <c r="O20" s="458"/>
    </row>
    <row r="21" spans="1:15" ht="17.399999999999999" thickBot="1">
      <c r="A21" s="421">
        <v>7</v>
      </c>
      <c r="B21" s="422">
        <v>7</v>
      </c>
      <c r="C21" s="422">
        <v>6</v>
      </c>
      <c r="D21" s="425">
        <v>4</v>
      </c>
      <c r="E21" s="425">
        <v>3</v>
      </c>
      <c r="F21" s="423"/>
      <c r="G21" s="423"/>
      <c r="H21" s="423"/>
      <c r="I21" s="423"/>
      <c r="J21" s="423"/>
      <c r="K21" s="424"/>
      <c r="N21" s="379"/>
      <c r="O21" s="459"/>
    </row>
    <row r="22" spans="1:15" ht="17.399999999999999" thickTop="1">
      <c r="A22" s="421">
        <v>8</v>
      </c>
      <c r="B22" s="422">
        <v>8</v>
      </c>
      <c r="C22" s="422">
        <v>6</v>
      </c>
      <c r="D22" s="425">
        <v>5</v>
      </c>
      <c r="E22" s="425">
        <v>4</v>
      </c>
      <c r="F22" s="425">
        <v>3</v>
      </c>
      <c r="G22" s="423"/>
      <c r="H22" s="423"/>
      <c r="I22" s="423"/>
      <c r="J22" s="423"/>
      <c r="K22" s="424"/>
    </row>
    <row r="23" spans="1:15">
      <c r="A23" s="421">
        <v>9</v>
      </c>
      <c r="B23" s="422">
        <v>8</v>
      </c>
      <c r="C23" s="422">
        <v>6</v>
      </c>
      <c r="D23" s="425">
        <v>5</v>
      </c>
      <c r="E23" s="425">
        <v>4</v>
      </c>
      <c r="F23" s="425">
        <v>3</v>
      </c>
      <c r="G23" s="423"/>
      <c r="H23" s="423"/>
      <c r="I23" s="423"/>
      <c r="J23" s="423"/>
      <c r="K23" s="424"/>
    </row>
    <row r="24" spans="1:15">
      <c r="A24" s="421">
        <v>10</v>
      </c>
      <c r="B24" s="422">
        <v>9</v>
      </c>
      <c r="C24" s="422">
        <v>6</v>
      </c>
      <c r="D24" s="425">
        <v>6</v>
      </c>
      <c r="E24" s="425">
        <v>5</v>
      </c>
      <c r="F24" s="425">
        <v>4</v>
      </c>
      <c r="G24" s="425">
        <v>3</v>
      </c>
      <c r="H24" s="423"/>
      <c r="I24" s="423"/>
      <c r="J24" s="423"/>
      <c r="K24" s="424"/>
    </row>
    <row r="25" spans="1:15" s="352" customFormat="1">
      <c r="A25" s="421">
        <v>11</v>
      </c>
      <c r="B25" s="422">
        <v>9</v>
      </c>
      <c r="C25" s="422">
        <v>6</v>
      </c>
      <c r="D25" s="425">
        <v>6</v>
      </c>
      <c r="E25" s="425">
        <v>5</v>
      </c>
      <c r="F25" s="425">
        <v>4</v>
      </c>
      <c r="G25" s="425">
        <v>3</v>
      </c>
      <c r="H25" s="423"/>
      <c r="I25" s="423"/>
      <c r="J25" s="423"/>
      <c r="K25" s="424"/>
      <c r="L25" s="51"/>
    </row>
    <row r="26" spans="1:15">
      <c r="A26" s="421">
        <v>12</v>
      </c>
      <c r="B26" s="422">
        <v>9</v>
      </c>
      <c r="C26" s="422">
        <v>6</v>
      </c>
      <c r="D26" s="425">
        <v>6</v>
      </c>
      <c r="E26" s="425">
        <v>6</v>
      </c>
      <c r="F26" s="425">
        <v>5</v>
      </c>
      <c r="G26" s="425">
        <v>4</v>
      </c>
      <c r="H26" s="425">
        <v>3</v>
      </c>
      <c r="I26" s="423"/>
      <c r="J26" s="423"/>
      <c r="K26" s="424"/>
      <c r="L26" s="352"/>
    </row>
    <row r="27" spans="1:15">
      <c r="A27" s="421">
        <v>13</v>
      </c>
      <c r="B27" s="422">
        <v>9</v>
      </c>
      <c r="C27" s="422">
        <v>6</v>
      </c>
      <c r="D27" s="425">
        <v>6</v>
      </c>
      <c r="E27" s="425">
        <v>6</v>
      </c>
      <c r="F27" s="425">
        <v>5</v>
      </c>
      <c r="G27" s="425">
        <v>4</v>
      </c>
      <c r="H27" s="425">
        <v>3</v>
      </c>
      <c r="I27" s="423"/>
      <c r="J27" s="423"/>
      <c r="K27" s="424"/>
    </row>
    <row r="28" spans="1:15">
      <c r="A28" s="421">
        <v>14</v>
      </c>
      <c r="B28" s="422">
        <v>9</v>
      </c>
      <c r="C28" s="422">
        <v>6</v>
      </c>
      <c r="D28" s="425">
        <v>6</v>
      </c>
      <c r="E28" s="425">
        <v>6</v>
      </c>
      <c r="F28" s="425">
        <v>6</v>
      </c>
      <c r="G28" s="425">
        <v>5</v>
      </c>
      <c r="H28" s="425">
        <v>4</v>
      </c>
      <c r="I28" s="425">
        <v>3</v>
      </c>
      <c r="J28" s="423"/>
      <c r="K28" s="424"/>
    </row>
    <row r="29" spans="1:15">
      <c r="A29" s="421">
        <v>15</v>
      </c>
      <c r="B29" s="422">
        <v>9</v>
      </c>
      <c r="C29" s="422">
        <v>6</v>
      </c>
      <c r="D29" s="425">
        <v>6</v>
      </c>
      <c r="E29" s="425">
        <v>6</v>
      </c>
      <c r="F29" s="425">
        <v>6</v>
      </c>
      <c r="G29" s="425">
        <v>5</v>
      </c>
      <c r="H29" s="425">
        <v>4</v>
      </c>
      <c r="I29" s="425">
        <v>3</v>
      </c>
      <c r="J29" s="423"/>
      <c r="K29" s="424"/>
    </row>
    <row r="30" spans="1:15">
      <c r="A30" s="421">
        <v>16</v>
      </c>
      <c r="B30" s="422">
        <v>9</v>
      </c>
      <c r="C30" s="422">
        <v>6</v>
      </c>
      <c r="D30" s="425">
        <v>6</v>
      </c>
      <c r="E30" s="425">
        <v>6</v>
      </c>
      <c r="F30" s="425">
        <v>6</v>
      </c>
      <c r="G30" s="425">
        <v>6</v>
      </c>
      <c r="H30" s="425">
        <v>5</v>
      </c>
      <c r="I30" s="425">
        <v>4</v>
      </c>
      <c r="J30" s="425">
        <v>3</v>
      </c>
      <c r="K30" s="424"/>
    </row>
    <row r="31" spans="1:15">
      <c r="A31" s="421">
        <v>17</v>
      </c>
      <c r="B31" s="422">
        <v>9</v>
      </c>
      <c r="C31" s="422">
        <v>6</v>
      </c>
      <c r="D31" s="425">
        <v>6</v>
      </c>
      <c r="E31" s="425">
        <v>6</v>
      </c>
      <c r="F31" s="425">
        <v>6</v>
      </c>
      <c r="G31" s="425">
        <v>6</v>
      </c>
      <c r="H31" s="425">
        <v>5</v>
      </c>
      <c r="I31" s="425">
        <v>4</v>
      </c>
      <c r="J31" s="425">
        <v>3</v>
      </c>
      <c r="K31" s="424"/>
    </row>
    <row r="32" spans="1:15">
      <c r="A32" s="433">
        <v>18</v>
      </c>
      <c r="B32" s="434">
        <v>9</v>
      </c>
      <c r="C32" s="434">
        <v>6</v>
      </c>
      <c r="D32" s="435">
        <v>6</v>
      </c>
      <c r="E32" s="435">
        <v>6</v>
      </c>
      <c r="F32" s="435">
        <v>6</v>
      </c>
      <c r="G32" s="435">
        <v>6</v>
      </c>
      <c r="H32" s="435">
        <v>6</v>
      </c>
      <c r="I32" s="435">
        <v>5</v>
      </c>
      <c r="J32" s="435">
        <v>4</v>
      </c>
      <c r="K32" s="436">
        <v>3</v>
      </c>
    </row>
    <row r="33" spans="1:11">
      <c r="A33" s="433">
        <v>19</v>
      </c>
      <c r="B33" s="434">
        <v>9</v>
      </c>
      <c r="C33" s="434">
        <v>6</v>
      </c>
      <c r="D33" s="435">
        <v>6</v>
      </c>
      <c r="E33" s="435">
        <v>6</v>
      </c>
      <c r="F33" s="435">
        <v>6</v>
      </c>
      <c r="G33" s="435">
        <v>6</v>
      </c>
      <c r="H33" s="435">
        <v>6</v>
      </c>
      <c r="I33" s="435">
        <v>5</v>
      </c>
      <c r="J33" s="435">
        <v>4</v>
      </c>
      <c r="K33" s="436">
        <v>3</v>
      </c>
    </row>
    <row r="34" spans="1:11" ht="17.399999999999999" thickBot="1">
      <c r="A34" s="428">
        <v>20</v>
      </c>
      <c r="B34" s="437" t="s">
        <v>272</v>
      </c>
      <c r="C34" s="429">
        <v>6</v>
      </c>
      <c r="D34" s="430">
        <v>6</v>
      </c>
      <c r="E34" s="430">
        <v>6</v>
      </c>
      <c r="F34" s="430">
        <v>6</v>
      </c>
      <c r="G34" s="430">
        <v>6</v>
      </c>
      <c r="H34" s="430">
        <v>6</v>
      </c>
      <c r="I34" s="430">
        <v>6</v>
      </c>
      <c r="J34" s="430">
        <v>5</v>
      </c>
      <c r="K34" s="431">
        <v>4</v>
      </c>
    </row>
    <row r="35" spans="1:11" ht="17.399999999999999" thickTop="1"/>
  </sheetData>
  <conditionalFormatting sqref="N16">
    <cfRule type="cellIs" dxfId="11" priority="2" operator="equal">
      <formula>20</formula>
    </cfRule>
  </conditionalFormatting>
  <conditionalFormatting sqref="N17:N21">
    <cfRule type="cellIs" dxfId="10" priority="1" operator="equal">
      <formula>20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9"/>
  <sheetViews>
    <sheetView showGridLines="0" workbookViewId="0"/>
  </sheetViews>
  <sheetFormatPr defaultColWidth="13" defaultRowHeight="15.6"/>
  <cols>
    <col min="1" max="1" width="25.5" style="79" bestFit="1" customWidth="1"/>
    <col min="2" max="2" width="9.296875" style="79" bestFit="1" customWidth="1"/>
    <col min="3" max="3" width="4.296875" style="79" bestFit="1" customWidth="1"/>
    <col min="4" max="4" width="6.296875" style="79" bestFit="1" customWidth="1"/>
    <col min="5" max="5" width="8.09765625" style="79" bestFit="1" customWidth="1"/>
    <col min="6" max="6" width="9.8984375" style="79" bestFit="1" customWidth="1"/>
    <col min="7" max="7" width="4.3984375" style="79" bestFit="1" customWidth="1"/>
    <col min="8" max="8" width="4.69921875" style="79" bestFit="1" customWidth="1"/>
    <col min="9" max="9" width="5.69921875" style="79" bestFit="1" customWidth="1"/>
    <col min="10" max="10" width="6.296875" style="79" bestFit="1" customWidth="1"/>
    <col min="11" max="11" width="12.796875" style="79" bestFit="1" customWidth="1"/>
    <col min="12" max="12" width="1.3984375" style="14" customWidth="1"/>
    <col min="13" max="13" width="5.796875" style="14" bestFit="1" customWidth="1"/>
    <col min="14" max="16384" width="13" style="14"/>
  </cols>
  <sheetData>
    <row r="1" spans="1:13" ht="23.4" thickBot="1">
      <c r="A1" s="72" t="s">
        <v>15</v>
      </c>
      <c r="B1" s="72"/>
      <c r="C1" s="72"/>
      <c r="D1" s="72"/>
      <c r="E1" s="72"/>
      <c r="F1" s="72"/>
      <c r="G1" s="72"/>
      <c r="H1" s="72"/>
      <c r="I1" s="72"/>
      <c r="J1" s="72"/>
      <c r="K1" s="72"/>
    </row>
    <row r="2" spans="1:13" ht="16.8" thickTop="1" thickBot="1">
      <c r="A2" s="103" t="s">
        <v>1</v>
      </c>
      <c r="B2" s="104" t="s">
        <v>2</v>
      </c>
      <c r="C2" s="104" t="s">
        <v>19</v>
      </c>
      <c r="D2" s="104" t="s">
        <v>20</v>
      </c>
      <c r="E2" s="105" t="s">
        <v>53</v>
      </c>
      <c r="F2" s="104" t="s">
        <v>16</v>
      </c>
      <c r="G2" s="104" t="s">
        <v>21</v>
      </c>
      <c r="H2" s="106" t="s">
        <v>86</v>
      </c>
      <c r="I2" s="107" t="s">
        <v>110</v>
      </c>
      <c r="J2" s="106" t="s">
        <v>77</v>
      </c>
      <c r="K2" s="108" t="s">
        <v>75</v>
      </c>
      <c r="L2" s="157"/>
      <c r="M2" s="136" t="s">
        <v>123</v>
      </c>
    </row>
    <row r="3" spans="1:13">
      <c r="A3" s="375" t="s">
        <v>273</v>
      </c>
      <c r="B3" s="410" t="s">
        <v>263</v>
      </c>
      <c r="C3" s="410" t="str">
        <f>'Personal File'!$C$10</f>
        <v>+4</v>
      </c>
      <c r="D3" s="376">
        <f t="shared" ref="D3" si="0">1+1</f>
        <v>2</v>
      </c>
      <c r="E3" s="377" t="s">
        <v>127</v>
      </c>
      <c r="F3" s="376" t="s">
        <v>187</v>
      </c>
      <c r="G3" s="378">
        <v>6</v>
      </c>
      <c r="H3" s="376" t="str">
        <f>CONCATENATE("+",'Personal File'!$B$8+'Personal File'!$C$10+D3)</f>
        <v>+10</v>
      </c>
      <c r="I3" s="379">
        <f t="shared" ref="I3:I9" ca="1" si="1">RANDBETWEEN(1,20)</f>
        <v>2</v>
      </c>
      <c r="J3" s="380">
        <f t="shared" ref="J3" ca="1" si="2">I3+H3</f>
        <v>12</v>
      </c>
      <c r="K3" s="381"/>
      <c r="L3" s="157"/>
      <c r="M3" s="161">
        <v>335</v>
      </c>
    </row>
    <row r="4" spans="1:13">
      <c r="A4" s="375" t="s">
        <v>190</v>
      </c>
      <c r="B4" s="376" t="s">
        <v>124</v>
      </c>
      <c r="C4" s="376" t="str">
        <f>'Personal File'!$C$10</f>
        <v>+4</v>
      </c>
      <c r="D4" s="376">
        <v>0</v>
      </c>
      <c r="E4" s="377" t="s">
        <v>129</v>
      </c>
      <c r="F4" s="376" t="s">
        <v>225</v>
      </c>
      <c r="G4" s="378">
        <v>6</v>
      </c>
      <c r="H4" s="376" t="str">
        <f>CONCATENATE("+",'Personal File'!$B$8+'Personal File'!$C$10+D4)</f>
        <v>+8</v>
      </c>
      <c r="I4" s="379">
        <f t="shared" ca="1" si="1"/>
        <v>2</v>
      </c>
      <c r="J4" s="380">
        <f t="shared" ref="J4" ca="1" si="3">I4+H4</f>
        <v>10</v>
      </c>
      <c r="K4" s="381"/>
      <c r="L4" s="157"/>
      <c r="M4" s="161">
        <v>8</v>
      </c>
    </row>
    <row r="5" spans="1:13">
      <c r="A5" s="375" t="s">
        <v>191</v>
      </c>
      <c r="B5" s="376" t="s">
        <v>223</v>
      </c>
      <c r="C5" s="376" t="str">
        <f>'Personal File'!$C$10</f>
        <v>+4</v>
      </c>
      <c r="D5" s="376">
        <v>0</v>
      </c>
      <c r="E5" s="377" t="s">
        <v>127</v>
      </c>
      <c r="F5" s="376" t="s">
        <v>224</v>
      </c>
      <c r="G5" s="378">
        <v>1</v>
      </c>
      <c r="H5" s="376" t="str">
        <f>CONCATENATE("+",'Personal File'!$B$8+'Personal File'!$C$10+D5)</f>
        <v>+8</v>
      </c>
      <c r="I5" s="379">
        <f t="shared" ca="1" si="1"/>
        <v>19</v>
      </c>
      <c r="J5" s="380">
        <f t="shared" ref="J5" ca="1" si="4">I5+H5</f>
        <v>27</v>
      </c>
      <c r="K5" s="381"/>
      <c r="L5" s="157"/>
      <c r="M5" s="161">
        <v>2</v>
      </c>
    </row>
    <row r="6" spans="1:13">
      <c r="A6" s="375" t="s">
        <v>192</v>
      </c>
      <c r="B6" s="376" t="s">
        <v>223</v>
      </c>
      <c r="C6" s="376" t="str">
        <f>'Personal File'!$C$10</f>
        <v>+4</v>
      </c>
      <c r="D6" s="376">
        <v>0</v>
      </c>
      <c r="E6" s="377" t="s">
        <v>129</v>
      </c>
      <c r="F6" s="376" t="s">
        <v>226</v>
      </c>
      <c r="G6" s="378">
        <v>1</v>
      </c>
      <c r="H6" s="376" t="str">
        <f>CONCATENATE("+",'Personal File'!$B$8+'Personal File'!$C$10+D6)</f>
        <v>+8</v>
      </c>
      <c r="I6" s="379">
        <f t="shared" ca="1" si="1"/>
        <v>20</v>
      </c>
      <c r="J6" s="380">
        <f t="shared" ref="J6" ca="1" si="5">I6+H6</f>
        <v>28</v>
      </c>
      <c r="K6" s="381" t="s">
        <v>194</v>
      </c>
      <c r="L6" s="157"/>
      <c r="M6" s="161">
        <v>10</v>
      </c>
    </row>
    <row r="7" spans="1:13">
      <c r="A7" s="375" t="s">
        <v>193</v>
      </c>
      <c r="B7" s="376" t="s">
        <v>223</v>
      </c>
      <c r="C7" s="376" t="str">
        <f>'Personal File'!$C$10</f>
        <v>+4</v>
      </c>
      <c r="D7" s="376">
        <v>0</v>
      </c>
      <c r="E7" s="377" t="s">
        <v>129</v>
      </c>
      <c r="F7" s="376" t="s">
        <v>226</v>
      </c>
      <c r="G7" s="378">
        <v>1</v>
      </c>
      <c r="H7" s="376" t="str">
        <f>CONCATENATE("+",'Personal File'!$B$8+'Personal File'!$C$10+D7)</f>
        <v>+8</v>
      </c>
      <c r="I7" s="379">
        <f t="shared" ca="1" si="1"/>
        <v>15</v>
      </c>
      <c r="J7" s="380">
        <f t="shared" ref="J7" ca="1" si="6">I7+H7</f>
        <v>23</v>
      </c>
      <c r="K7" s="381" t="s">
        <v>195</v>
      </c>
      <c r="L7" s="157"/>
      <c r="M7" s="161">
        <v>25</v>
      </c>
    </row>
    <row r="8" spans="1:13">
      <c r="A8" s="177" t="s">
        <v>132</v>
      </c>
      <c r="B8" s="139" t="s">
        <v>133</v>
      </c>
      <c r="C8" s="222" t="str">
        <f>'Personal File'!$C$10</f>
        <v>+4</v>
      </c>
      <c r="D8" s="359" t="s">
        <v>51</v>
      </c>
      <c r="E8" s="359" t="s">
        <v>129</v>
      </c>
      <c r="F8" s="99" t="s">
        <v>134</v>
      </c>
      <c r="G8" s="360">
        <v>0</v>
      </c>
      <c r="H8" s="185" t="str">
        <f>CONCATENATE("+",'Personal File'!$B$8+'Personal File'!$C$10+D8)</f>
        <v>+8</v>
      </c>
      <c r="I8" s="156">
        <f t="shared" ca="1" si="1"/>
        <v>17</v>
      </c>
      <c r="J8" s="186">
        <f t="shared" ref="J8:J9" ca="1" si="7">I8+H8</f>
        <v>25</v>
      </c>
      <c r="K8" s="361"/>
      <c r="M8" s="160" t="s">
        <v>128</v>
      </c>
    </row>
    <row r="9" spans="1:13" ht="16.2" thickBot="1">
      <c r="A9" s="181"/>
      <c r="B9" s="182"/>
      <c r="C9" s="182"/>
      <c r="D9" s="182"/>
      <c r="E9" s="183"/>
      <c r="F9" s="182"/>
      <c r="G9" s="184"/>
      <c r="H9" s="182"/>
      <c r="I9" s="123">
        <f t="shared" ca="1" si="1"/>
        <v>20</v>
      </c>
      <c r="J9" s="187">
        <f t="shared" ca="1" si="7"/>
        <v>20</v>
      </c>
      <c r="K9" s="188"/>
      <c r="M9" s="189" t="s">
        <v>128</v>
      </c>
    </row>
    <row r="10" spans="1:13" ht="6" customHeight="1" thickTop="1" thickBot="1"/>
    <row r="11" spans="1:13" ht="16.8" thickTop="1" thickBot="1">
      <c r="A11" s="103" t="s">
        <v>4</v>
      </c>
      <c r="B11" s="104" t="s">
        <v>5</v>
      </c>
      <c r="C11" s="104" t="s">
        <v>19</v>
      </c>
      <c r="D11" s="104" t="s">
        <v>20</v>
      </c>
      <c r="E11" s="105" t="s">
        <v>53</v>
      </c>
      <c r="F11" s="104" t="s">
        <v>6</v>
      </c>
      <c r="G11" s="104" t="s">
        <v>21</v>
      </c>
      <c r="H11" s="106" t="s">
        <v>86</v>
      </c>
      <c r="I11" s="107" t="s">
        <v>110</v>
      </c>
      <c r="J11" s="106" t="s">
        <v>77</v>
      </c>
      <c r="K11" s="108" t="s">
        <v>75</v>
      </c>
      <c r="L11" s="157"/>
      <c r="M11" s="136" t="s">
        <v>123</v>
      </c>
    </row>
    <row r="12" spans="1:13">
      <c r="A12" s="171" t="s">
        <v>143</v>
      </c>
      <c r="B12" s="172" t="s">
        <v>128</v>
      </c>
      <c r="C12" s="172" t="s">
        <v>128</v>
      </c>
      <c r="D12" s="172">
        <v>0</v>
      </c>
      <c r="E12" s="173" t="s">
        <v>128</v>
      </c>
      <c r="F12" s="172" t="s">
        <v>128</v>
      </c>
      <c r="G12" s="172" t="s">
        <v>128</v>
      </c>
      <c r="H12" s="172" t="str">
        <f>CONCATENATE("+",Feats!$D$10+D12)</f>
        <v>+4</v>
      </c>
      <c r="I12" s="156">
        <f ca="1">RANDBETWEEN(1,20)</f>
        <v>13</v>
      </c>
      <c r="J12" s="176">
        <f ca="1">I12+H12</f>
        <v>17</v>
      </c>
      <c r="K12" s="174"/>
      <c r="L12" s="157"/>
      <c r="M12" s="175" t="s">
        <v>128</v>
      </c>
    </row>
    <row r="13" spans="1:13">
      <c r="A13" s="177" t="s">
        <v>274</v>
      </c>
      <c r="B13" s="139" t="s">
        <v>124</v>
      </c>
      <c r="C13" s="178" t="s">
        <v>51</v>
      </c>
      <c r="D13" s="178" t="s">
        <v>275</v>
      </c>
      <c r="E13" s="139" t="s">
        <v>127</v>
      </c>
      <c r="F13" s="178" t="s">
        <v>135</v>
      </c>
      <c r="G13" s="179">
        <v>4</v>
      </c>
      <c r="H13" s="141" t="str">
        <f>CONCATENATE("+",'Personal File'!$B$8+'Personal File'!$C$11+D13)</f>
        <v>+7</v>
      </c>
      <c r="I13" s="156">
        <f ca="1">RANDBETWEEN(1,20)</f>
        <v>19</v>
      </c>
      <c r="J13" s="145">
        <f ca="1">I13+H13</f>
        <v>26</v>
      </c>
      <c r="K13" s="180"/>
      <c r="L13" s="157"/>
      <c r="M13" s="159">
        <v>335</v>
      </c>
    </row>
    <row r="14" spans="1:13">
      <c r="A14" s="177" t="s">
        <v>198</v>
      </c>
      <c r="B14" s="440" t="s">
        <v>287</v>
      </c>
      <c r="C14" s="178" t="s">
        <v>51</v>
      </c>
      <c r="D14" s="178" t="s">
        <v>51</v>
      </c>
      <c r="E14" s="139">
        <v>20</v>
      </c>
      <c r="F14" s="178" t="s">
        <v>222</v>
      </c>
      <c r="G14" s="179">
        <v>1</v>
      </c>
      <c r="H14" s="141" t="str">
        <f>CONCATENATE("+",'Personal File'!$B$8+'Personal File'!$C$11+D14)</f>
        <v>+6</v>
      </c>
      <c r="I14" s="156">
        <f ca="1">RANDBETWEEN(1,20)</f>
        <v>7</v>
      </c>
      <c r="J14" s="145">
        <f ca="1">I14+H14</f>
        <v>13</v>
      </c>
      <c r="K14" s="180"/>
      <c r="L14" s="157"/>
      <c r="M14" s="159">
        <v>10</v>
      </c>
    </row>
    <row r="15" spans="1:13">
      <c r="A15" s="177" t="s">
        <v>199</v>
      </c>
      <c r="B15" s="441" t="s">
        <v>287</v>
      </c>
      <c r="C15" s="178" t="s">
        <v>51</v>
      </c>
      <c r="D15" s="178" t="s">
        <v>51</v>
      </c>
      <c r="E15" s="139">
        <v>20</v>
      </c>
      <c r="F15" s="178" t="s">
        <v>222</v>
      </c>
      <c r="G15" s="179">
        <v>1</v>
      </c>
      <c r="H15" s="141" t="str">
        <f>CONCATENATE("+",'Personal File'!$B$8+'Personal File'!$C$11+D15)</f>
        <v>+6</v>
      </c>
      <c r="I15" s="156">
        <f ca="1">RANDBETWEEN(1,20)</f>
        <v>16</v>
      </c>
      <c r="J15" s="145">
        <f ca="1">I15+H15</f>
        <v>22</v>
      </c>
      <c r="K15" s="180"/>
      <c r="L15" s="157"/>
      <c r="M15" s="159">
        <v>20</v>
      </c>
    </row>
    <row r="16" spans="1:13" ht="16.2" thickBot="1">
      <c r="A16" s="382" t="s">
        <v>144</v>
      </c>
      <c r="B16" s="182" t="s">
        <v>128</v>
      </c>
      <c r="C16" s="182" t="s">
        <v>128</v>
      </c>
      <c r="D16" s="182">
        <v>0</v>
      </c>
      <c r="E16" s="183" t="s">
        <v>128</v>
      </c>
      <c r="F16" s="182" t="s">
        <v>128</v>
      </c>
      <c r="G16" s="182" t="s">
        <v>128</v>
      </c>
      <c r="H16" s="182" t="str">
        <f>CONCATENATE("+",'Personal File'!$B$8+'Personal File'!$C$11+D16)</f>
        <v>+6</v>
      </c>
      <c r="I16" s="123">
        <f ca="1">RANDBETWEEN(1,20)</f>
        <v>18</v>
      </c>
      <c r="J16" s="187">
        <f ca="1">I16+H16</f>
        <v>24</v>
      </c>
      <c r="K16" s="383"/>
      <c r="L16" s="157"/>
      <c r="M16" s="384" t="s">
        <v>128</v>
      </c>
    </row>
    <row r="17" spans="1:13" ht="6" customHeight="1" thickTop="1" thickBot="1">
      <c r="D17" s="109"/>
      <c r="E17" s="109"/>
      <c r="G17" s="102"/>
      <c r="H17" s="102"/>
      <c r="I17" s="102"/>
      <c r="J17" s="102"/>
      <c r="L17" s="157"/>
    </row>
    <row r="18" spans="1:13" ht="16.8" thickTop="1" thickBot="1">
      <c r="A18" s="103" t="s">
        <v>58</v>
      </c>
      <c r="B18" s="104" t="s">
        <v>9</v>
      </c>
      <c r="C18" s="104" t="s">
        <v>24</v>
      </c>
      <c r="D18" s="104" t="s">
        <v>77</v>
      </c>
      <c r="E18" s="104" t="s">
        <v>78</v>
      </c>
      <c r="F18" s="104" t="s">
        <v>79</v>
      </c>
      <c r="G18" s="104" t="s">
        <v>21</v>
      </c>
      <c r="H18" s="110" t="s">
        <v>75</v>
      </c>
      <c r="I18" s="111"/>
      <c r="J18" s="111"/>
      <c r="K18" s="112"/>
      <c r="L18" s="157"/>
      <c r="M18" s="136" t="s">
        <v>123</v>
      </c>
    </row>
    <row r="19" spans="1:13">
      <c r="A19" s="84" t="s">
        <v>288</v>
      </c>
      <c r="B19" s="126">
        <f>4+1</f>
        <v>5</v>
      </c>
      <c r="C19" s="125">
        <v>5</v>
      </c>
      <c r="D19" s="126">
        <v>-1</v>
      </c>
      <c r="E19" s="127">
        <v>0.2</v>
      </c>
      <c r="F19" s="125" t="s">
        <v>112</v>
      </c>
      <c r="G19" s="128">
        <v>25</v>
      </c>
      <c r="H19" s="129"/>
      <c r="I19" s="113"/>
      <c r="J19" s="113"/>
      <c r="K19" s="114"/>
      <c r="M19" s="159">
        <v>2750</v>
      </c>
    </row>
    <row r="20" spans="1:13">
      <c r="A20" s="143" t="s">
        <v>297</v>
      </c>
      <c r="B20" s="190">
        <v>2</v>
      </c>
      <c r="C20" s="190" t="s">
        <v>128</v>
      </c>
      <c r="D20" s="144">
        <v>0</v>
      </c>
      <c r="E20" s="192">
        <v>0.05</v>
      </c>
      <c r="F20" s="144" t="s">
        <v>128</v>
      </c>
      <c r="G20" s="141">
        <v>5</v>
      </c>
      <c r="H20" s="140"/>
      <c r="I20" s="138"/>
      <c r="J20" s="138"/>
      <c r="K20" s="194"/>
      <c r="M20" s="161">
        <v>1165</v>
      </c>
    </row>
    <row r="21" spans="1:13" ht="16.2" thickBot="1">
      <c r="A21" s="91"/>
      <c r="B21" s="122"/>
      <c r="C21" s="191"/>
      <c r="D21" s="122"/>
      <c r="E21" s="193"/>
      <c r="F21" s="191"/>
      <c r="G21" s="124"/>
      <c r="H21" s="130"/>
      <c r="I21" s="115"/>
      <c r="J21" s="115"/>
      <c r="K21" s="195"/>
      <c r="M21" s="162"/>
    </row>
    <row r="22" spans="1:13" ht="6.75" customHeight="1" thickTop="1" thickBot="1"/>
    <row r="23" spans="1:13" ht="16.8" thickTop="1" thickBot="1">
      <c r="D23" s="116" t="s">
        <v>59</v>
      </c>
      <c r="E23" s="117"/>
      <c r="F23" s="110" t="s">
        <v>3</v>
      </c>
      <c r="G23" s="104" t="s">
        <v>21</v>
      </c>
      <c r="H23" s="106" t="s">
        <v>86</v>
      </c>
      <c r="I23" s="110" t="s">
        <v>75</v>
      </c>
      <c r="J23" s="111"/>
      <c r="K23" s="112"/>
      <c r="M23" s="136" t="s">
        <v>123</v>
      </c>
    </row>
    <row r="24" spans="1:13" ht="16.2" thickBot="1">
      <c r="D24" s="118" t="s">
        <v>121</v>
      </c>
      <c r="E24" s="131"/>
      <c r="F24" s="132">
        <v>10</v>
      </c>
      <c r="G24" s="133">
        <f>F24/10</f>
        <v>1</v>
      </c>
      <c r="H24" s="134" t="s">
        <v>122</v>
      </c>
      <c r="I24" s="135"/>
      <c r="J24" s="119"/>
      <c r="K24" s="120"/>
      <c r="M24" s="374">
        <f>F24/10</f>
        <v>1</v>
      </c>
    </row>
    <row r="25" spans="1:13" ht="16.8" thickTop="1" thickBot="1"/>
    <row r="26" spans="1:13" ht="16.8" thickTop="1" thickBot="1">
      <c r="D26" s="116" t="s">
        <v>146</v>
      </c>
      <c r="E26" s="111"/>
      <c r="F26" s="111"/>
      <c r="G26" s="111"/>
      <c r="H26" s="207" t="s">
        <v>3</v>
      </c>
      <c r="I26" s="207" t="s">
        <v>0</v>
      </c>
      <c r="J26" s="207" t="s">
        <v>147</v>
      </c>
      <c r="K26" s="112" t="s">
        <v>75</v>
      </c>
      <c r="L26" s="157"/>
      <c r="M26" s="208" t="s">
        <v>123</v>
      </c>
    </row>
    <row r="27" spans="1:13">
      <c r="D27" s="210" t="s">
        <v>276</v>
      </c>
      <c r="E27" s="211"/>
      <c r="F27" s="211"/>
      <c r="G27" s="212"/>
      <c r="H27" s="213">
        <v>1</v>
      </c>
      <c r="I27" s="144">
        <v>1</v>
      </c>
      <c r="J27" s="144">
        <v>1</v>
      </c>
      <c r="K27" s="214"/>
      <c r="L27" s="157"/>
      <c r="M27" s="209">
        <f t="shared" ref="M27:M28" si="8">25*H27*I27*J27</f>
        <v>25</v>
      </c>
    </row>
    <row r="28" spans="1:13" ht="16.2" thickBot="1">
      <c r="D28" s="215" t="s">
        <v>298</v>
      </c>
      <c r="E28" s="216"/>
      <c r="F28" s="216"/>
      <c r="G28" s="217"/>
      <c r="H28" s="218">
        <v>1</v>
      </c>
      <c r="I28" s="219">
        <v>1</v>
      </c>
      <c r="J28" s="219">
        <v>1</v>
      </c>
      <c r="K28" s="220"/>
      <c r="L28" s="157"/>
      <c r="M28" s="221">
        <f t="shared" si="8"/>
        <v>25</v>
      </c>
    </row>
    <row r="29" spans="1:13" ht="16.2" thickTop="1"/>
  </sheetData>
  <phoneticPr fontId="0" type="noConversion"/>
  <conditionalFormatting sqref="I8:I9 I12:I13 I16 I3">
    <cfRule type="cellIs" dxfId="9" priority="23" operator="equal">
      <formula>20</formula>
    </cfRule>
  </conditionalFormatting>
  <conditionalFormatting sqref="I9 I13">
    <cfRule type="cellIs" dxfId="8" priority="22" operator="equal">
      <formula>19</formula>
    </cfRule>
  </conditionalFormatting>
  <conditionalFormatting sqref="I5">
    <cfRule type="cellIs" dxfId="7" priority="9" operator="equal">
      <formula>20</formula>
    </cfRule>
  </conditionalFormatting>
  <conditionalFormatting sqref="I6">
    <cfRule type="cellIs" dxfId="6" priority="8" operator="equal">
      <formula>20</formula>
    </cfRule>
  </conditionalFormatting>
  <conditionalFormatting sqref="I7">
    <cfRule type="cellIs" dxfId="5" priority="7" operator="equal">
      <formula>20</formula>
    </cfRule>
  </conditionalFormatting>
  <conditionalFormatting sqref="I14">
    <cfRule type="cellIs" dxfId="4" priority="6" operator="equal">
      <formula>20</formula>
    </cfRule>
  </conditionalFormatting>
  <conditionalFormatting sqref="I14">
    <cfRule type="cellIs" dxfId="3" priority="5" operator="equal">
      <formula>19</formula>
    </cfRule>
  </conditionalFormatting>
  <conditionalFormatting sqref="I15">
    <cfRule type="cellIs" dxfId="2" priority="4" operator="equal">
      <formula>20</formula>
    </cfRule>
  </conditionalFormatting>
  <conditionalFormatting sqref="I15">
    <cfRule type="cellIs" dxfId="1" priority="3" operator="equal">
      <formula>19</formula>
    </cfRule>
  </conditionalFormatting>
  <conditionalFormatting sqref="I4">
    <cfRule type="cellIs" dxfId="0" priority="1" operator="equal">
      <formula>20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showGridLines="0" workbookViewId="0"/>
  </sheetViews>
  <sheetFormatPr defaultColWidth="7.8984375" defaultRowHeight="15.6"/>
  <cols>
    <col min="1" max="1" width="28.796875" style="79" bestFit="1" customWidth="1"/>
    <col min="2" max="2" width="4.69921875" style="79" bestFit="1" customWidth="1"/>
    <col min="3" max="3" width="5.3984375" style="102" bestFit="1" customWidth="1"/>
    <col min="4" max="5" width="18.09765625" style="14" customWidth="1"/>
    <col min="6" max="6" width="1.19921875" style="79" customWidth="1"/>
    <col min="7" max="7" width="9.796875" style="14" bestFit="1" customWidth="1"/>
    <col min="8" max="16384" width="7.8984375" style="14"/>
  </cols>
  <sheetData>
    <row r="1" spans="1:7" ht="23.4" thickBot="1">
      <c r="A1" s="72" t="s">
        <v>72</v>
      </c>
      <c r="B1" s="72"/>
      <c r="C1" s="78"/>
      <c r="D1" s="72"/>
      <c r="E1" s="72"/>
    </row>
    <row r="2" spans="1:7" s="79" customFormat="1" ht="16.8" thickTop="1" thickBot="1">
      <c r="A2" s="80" t="s">
        <v>73</v>
      </c>
      <c r="B2" s="80" t="s">
        <v>3</v>
      </c>
      <c r="C2" s="81" t="s">
        <v>21</v>
      </c>
      <c r="D2" s="82" t="s">
        <v>74</v>
      </c>
      <c r="E2" s="83" t="s">
        <v>75</v>
      </c>
      <c r="G2" s="137" t="s">
        <v>123</v>
      </c>
    </row>
    <row r="3" spans="1:7">
      <c r="A3" s="84" t="s">
        <v>197</v>
      </c>
      <c r="B3" s="98">
        <v>1</v>
      </c>
      <c r="C3" s="154">
        <v>2</v>
      </c>
      <c r="D3" s="85"/>
      <c r="E3" s="86"/>
      <c r="G3" s="150">
        <v>2</v>
      </c>
    </row>
    <row r="4" spans="1:7">
      <c r="A4" s="375" t="s">
        <v>302</v>
      </c>
      <c r="B4" s="450">
        <v>1</v>
      </c>
      <c r="C4" s="451">
        <v>1</v>
      </c>
      <c r="D4" s="452"/>
      <c r="E4" s="453"/>
      <c r="G4" s="150">
        <v>1000</v>
      </c>
    </row>
    <row r="5" spans="1:7">
      <c r="A5" s="375" t="s">
        <v>303</v>
      </c>
      <c r="B5" s="450">
        <v>1</v>
      </c>
      <c r="C5" s="451">
        <v>0</v>
      </c>
      <c r="D5" s="456"/>
      <c r="E5" s="453"/>
      <c r="G5" s="150">
        <v>500</v>
      </c>
    </row>
    <row r="6" spans="1:7">
      <c r="A6" s="375" t="s">
        <v>324</v>
      </c>
      <c r="B6" s="450">
        <v>4</v>
      </c>
      <c r="C6" s="451">
        <v>0</v>
      </c>
      <c r="D6" s="456" t="s">
        <v>323</v>
      </c>
      <c r="E6" s="453"/>
      <c r="G6" s="150">
        <f>B6*8</f>
        <v>32</v>
      </c>
    </row>
    <row r="7" spans="1:7">
      <c r="A7" s="87" t="s">
        <v>125</v>
      </c>
      <c r="B7" s="442">
        <v>1</v>
      </c>
      <c r="C7" s="88">
        <v>2</v>
      </c>
      <c r="D7" s="89"/>
      <c r="E7" s="90"/>
      <c r="G7" s="232">
        <v>5</v>
      </c>
    </row>
    <row r="8" spans="1:7">
      <c r="A8" s="87" t="s">
        <v>216</v>
      </c>
      <c r="B8" s="442">
        <v>1</v>
      </c>
      <c r="C8" s="88" t="s">
        <v>217</v>
      </c>
      <c r="D8" s="89"/>
      <c r="E8" s="90"/>
      <c r="G8" s="232" t="s">
        <v>131</v>
      </c>
    </row>
    <row r="9" spans="1:7" ht="16.2" thickBot="1">
      <c r="A9" s="91" t="s">
        <v>196</v>
      </c>
      <c r="B9" s="166">
        <v>1</v>
      </c>
      <c r="C9" s="93">
        <v>1</v>
      </c>
      <c r="D9" s="94"/>
      <c r="E9" s="95"/>
      <c r="G9" s="151">
        <v>25</v>
      </c>
    </row>
    <row r="10" spans="1:7" ht="24" thickTop="1" thickBot="1">
      <c r="A10" s="72" t="s">
        <v>76</v>
      </c>
      <c r="B10" s="72"/>
      <c r="C10" s="96"/>
      <c r="D10" s="72"/>
      <c r="E10" s="97"/>
      <c r="G10" s="152"/>
    </row>
    <row r="11" spans="1:7" ht="16.8" thickTop="1" thickBot="1">
      <c r="A11" s="80" t="s">
        <v>73</v>
      </c>
      <c r="B11" s="80" t="s">
        <v>3</v>
      </c>
      <c r="C11" s="81" t="s">
        <v>21</v>
      </c>
      <c r="D11" s="82" t="s">
        <v>74</v>
      </c>
      <c r="E11" s="83" t="s">
        <v>75</v>
      </c>
      <c r="G11" s="153" t="s">
        <v>123</v>
      </c>
    </row>
    <row r="12" spans="1:7">
      <c r="A12" s="87" t="s">
        <v>202</v>
      </c>
      <c r="B12" s="99">
        <v>0</v>
      </c>
      <c r="C12" s="409">
        <f>B12/100</f>
        <v>0</v>
      </c>
      <c r="D12" s="89"/>
      <c r="E12" s="90"/>
      <c r="G12" s="150">
        <f>B12</f>
        <v>0</v>
      </c>
    </row>
    <row r="13" spans="1:7">
      <c r="A13" s="229" t="s">
        <v>203</v>
      </c>
      <c r="B13" s="230">
        <v>4</v>
      </c>
      <c r="C13" s="88">
        <f>B13/10</f>
        <v>0.4</v>
      </c>
      <c r="D13" s="231"/>
      <c r="E13" s="155"/>
      <c r="G13" s="232">
        <f>8*B13</f>
        <v>32</v>
      </c>
    </row>
    <row r="14" spans="1:7">
      <c r="A14" s="229" t="s">
        <v>205</v>
      </c>
      <c r="B14" s="230">
        <v>2</v>
      </c>
      <c r="C14" s="88">
        <f>B14/10</f>
        <v>0.2</v>
      </c>
      <c r="D14" s="231"/>
      <c r="E14" s="155"/>
      <c r="G14" s="232">
        <f>50*B14</f>
        <v>100</v>
      </c>
    </row>
    <row r="15" spans="1:7">
      <c r="A15" s="229" t="s">
        <v>204</v>
      </c>
      <c r="B15" s="230">
        <v>4</v>
      </c>
      <c r="C15" s="88">
        <v>0</v>
      </c>
      <c r="D15" s="231"/>
      <c r="E15" s="155"/>
      <c r="G15" s="232">
        <v>0</v>
      </c>
    </row>
    <row r="16" spans="1:7">
      <c r="A16" s="229" t="s">
        <v>200</v>
      </c>
      <c r="B16" s="230">
        <v>1</v>
      </c>
      <c r="C16" s="88">
        <v>3</v>
      </c>
      <c r="D16" s="231" t="s">
        <v>201</v>
      </c>
      <c r="E16" s="155"/>
      <c r="G16" s="232">
        <v>15</v>
      </c>
    </row>
    <row r="17" spans="1:7">
      <c r="A17" s="229" t="s">
        <v>255</v>
      </c>
      <c r="B17" s="230">
        <v>1</v>
      </c>
      <c r="C17" s="88">
        <v>1</v>
      </c>
      <c r="D17" s="231"/>
      <c r="E17" s="155"/>
      <c r="G17" s="232">
        <v>110</v>
      </c>
    </row>
    <row r="18" spans="1:7">
      <c r="A18" s="229" t="s">
        <v>257</v>
      </c>
      <c r="B18" s="230">
        <v>1</v>
      </c>
      <c r="C18" s="88">
        <v>1</v>
      </c>
      <c r="D18" s="231"/>
      <c r="E18" s="155"/>
      <c r="G18" s="232">
        <v>30</v>
      </c>
    </row>
    <row r="19" spans="1:7">
      <c r="A19" s="229" t="s">
        <v>256</v>
      </c>
      <c r="B19" s="230">
        <v>1</v>
      </c>
      <c r="C19" s="88">
        <v>4</v>
      </c>
      <c r="D19" s="231"/>
      <c r="E19" s="155"/>
      <c r="G19" s="232">
        <v>50</v>
      </c>
    </row>
    <row r="20" spans="1:7">
      <c r="A20" s="229" t="s">
        <v>277</v>
      </c>
      <c r="B20" s="230">
        <v>1</v>
      </c>
      <c r="C20" s="88">
        <v>5</v>
      </c>
      <c r="D20" s="231" t="s">
        <v>278</v>
      </c>
      <c r="E20" s="155"/>
      <c r="G20" s="232">
        <v>10</v>
      </c>
    </row>
    <row r="21" spans="1:7">
      <c r="A21" s="229" t="s">
        <v>289</v>
      </c>
      <c r="B21" s="230">
        <v>1</v>
      </c>
      <c r="C21" s="88">
        <v>4</v>
      </c>
      <c r="D21" s="231" t="s">
        <v>290</v>
      </c>
      <c r="E21" s="155"/>
      <c r="G21" s="232">
        <v>1</v>
      </c>
    </row>
    <row r="22" spans="1:7">
      <c r="A22" s="229" t="s">
        <v>294</v>
      </c>
      <c r="B22" s="230">
        <v>1</v>
      </c>
      <c r="C22" s="88">
        <v>5</v>
      </c>
      <c r="D22" s="231"/>
      <c r="E22" s="155"/>
      <c r="G22" s="232">
        <v>80</v>
      </c>
    </row>
    <row r="23" spans="1:7">
      <c r="A23" s="229" t="s">
        <v>295</v>
      </c>
      <c r="B23" s="230">
        <v>1</v>
      </c>
      <c r="C23" s="88">
        <v>1</v>
      </c>
      <c r="D23" s="231"/>
      <c r="E23" s="155"/>
      <c r="G23" s="232">
        <v>50</v>
      </c>
    </row>
    <row r="24" spans="1:7">
      <c r="A24" s="229" t="s">
        <v>291</v>
      </c>
      <c r="B24" s="230">
        <v>1</v>
      </c>
      <c r="C24" s="88">
        <v>1</v>
      </c>
      <c r="D24" s="231"/>
      <c r="E24" s="155"/>
      <c r="G24" s="232">
        <v>25</v>
      </c>
    </row>
    <row r="25" spans="1:7">
      <c r="A25" s="229" t="s">
        <v>292</v>
      </c>
      <c r="B25" s="230">
        <v>1</v>
      </c>
      <c r="C25" s="88">
        <v>2</v>
      </c>
      <c r="D25" s="231"/>
      <c r="E25" s="155"/>
      <c r="G25" s="232">
        <v>15</v>
      </c>
    </row>
    <row r="26" spans="1:7">
      <c r="A26" s="229" t="s">
        <v>326</v>
      </c>
      <c r="B26" s="230">
        <v>1</v>
      </c>
      <c r="C26" s="88">
        <v>0.5</v>
      </c>
      <c r="D26" s="231"/>
      <c r="E26" s="155"/>
      <c r="G26" s="232">
        <v>20</v>
      </c>
    </row>
    <row r="27" spans="1:7">
      <c r="A27" s="229" t="s">
        <v>322</v>
      </c>
      <c r="B27" s="230">
        <v>1</v>
      </c>
      <c r="C27" s="88">
        <v>0</v>
      </c>
      <c r="D27" s="231"/>
      <c r="E27" s="155"/>
      <c r="G27" s="232">
        <v>1</v>
      </c>
    </row>
    <row r="28" spans="1:7">
      <c r="A28" s="229" t="s">
        <v>327</v>
      </c>
      <c r="B28" s="230">
        <v>1</v>
      </c>
      <c r="C28" s="88">
        <v>0.5</v>
      </c>
      <c r="D28" s="231"/>
      <c r="E28" s="155"/>
      <c r="G28" s="443">
        <f>B28/10</f>
        <v>0.1</v>
      </c>
    </row>
    <row r="29" spans="1:7">
      <c r="A29" s="229" t="s">
        <v>208</v>
      </c>
      <c r="B29" s="230">
        <v>1</v>
      </c>
      <c r="C29" s="88">
        <v>4</v>
      </c>
      <c r="D29" s="231"/>
      <c r="E29" s="155"/>
      <c r="G29" s="232">
        <v>1</v>
      </c>
    </row>
    <row r="30" spans="1:7">
      <c r="A30" s="229" t="s">
        <v>211</v>
      </c>
      <c r="B30" s="230">
        <v>5</v>
      </c>
      <c r="C30" s="88">
        <f>B30</f>
        <v>5</v>
      </c>
      <c r="D30" s="231"/>
      <c r="E30" s="155"/>
      <c r="G30" s="443">
        <f>B30/10</f>
        <v>0.5</v>
      </c>
    </row>
    <row r="31" spans="1:7">
      <c r="A31" s="229" t="s">
        <v>258</v>
      </c>
      <c r="B31" s="230">
        <v>5</v>
      </c>
      <c r="C31" s="88">
        <v>0</v>
      </c>
      <c r="D31" s="231"/>
      <c r="E31" s="155"/>
      <c r="G31" s="232">
        <f>B31</f>
        <v>5</v>
      </c>
    </row>
    <row r="32" spans="1:7" ht="16.2" thickBot="1">
      <c r="A32" s="91" t="s">
        <v>254</v>
      </c>
      <c r="B32" s="92">
        <v>2</v>
      </c>
      <c r="C32" s="101">
        <v>1</v>
      </c>
      <c r="D32" s="94"/>
      <c r="E32" s="95"/>
      <c r="G32" s="151">
        <f>25*B32</f>
        <v>50</v>
      </c>
    </row>
    <row r="33" spans="1:7" ht="22.8" thickTop="1" thickBot="1">
      <c r="A33" s="448" t="s">
        <v>300</v>
      </c>
      <c r="B33" s="447"/>
      <c r="C33" s="447"/>
      <c r="D33" s="448"/>
      <c r="E33" s="447"/>
      <c r="F33" s="391"/>
      <c r="G33" s="391">
        <v>2000</v>
      </c>
    </row>
    <row r="34" spans="1:7" ht="16.8" thickTop="1" thickBot="1">
      <c r="A34" s="80" t="s">
        <v>73</v>
      </c>
      <c r="B34" s="80" t="s">
        <v>3</v>
      </c>
      <c r="C34" s="81" t="s">
        <v>21</v>
      </c>
      <c r="D34" s="82" t="s">
        <v>74</v>
      </c>
      <c r="E34" s="83" t="s">
        <v>75</v>
      </c>
      <c r="G34" s="153" t="s">
        <v>123</v>
      </c>
    </row>
    <row r="35" spans="1:7">
      <c r="A35" s="229" t="s">
        <v>259</v>
      </c>
      <c r="B35" s="99">
        <v>1</v>
      </c>
      <c r="C35" s="100">
        <v>5</v>
      </c>
      <c r="D35" s="444"/>
      <c r="E35" s="90"/>
      <c r="G35" s="232">
        <v>10</v>
      </c>
    </row>
    <row r="36" spans="1:7">
      <c r="A36" s="229" t="s">
        <v>318</v>
      </c>
      <c r="B36" s="99">
        <v>1</v>
      </c>
      <c r="C36" s="100">
        <v>20</v>
      </c>
      <c r="D36" s="444"/>
      <c r="E36" s="90"/>
      <c r="G36" s="232">
        <v>10</v>
      </c>
    </row>
    <row r="37" spans="1:7">
      <c r="A37" s="229" t="s">
        <v>319</v>
      </c>
      <c r="B37" s="99">
        <v>1</v>
      </c>
      <c r="C37" s="100">
        <v>5</v>
      </c>
      <c r="D37" s="444"/>
      <c r="E37" s="90"/>
      <c r="G37" s="232">
        <v>4</v>
      </c>
    </row>
    <row r="38" spans="1:7">
      <c r="A38" s="229" t="s">
        <v>320</v>
      </c>
      <c r="B38" s="99">
        <v>1</v>
      </c>
      <c r="C38" s="100">
        <v>5</v>
      </c>
      <c r="D38" s="444"/>
      <c r="E38" s="90"/>
      <c r="G38" s="232">
        <v>2</v>
      </c>
    </row>
    <row r="39" spans="1:7">
      <c r="A39" s="229" t="s">
        <v>321</v>
      </c>
      <c r="B39" s="99">
        <v>1</v>
      </c>
      <c r="C39" s="100">
        <v>2</v>
      </c>
      <c r="D39" s="444"/>
      <c r="E39" s="90"/>
      <c r="G39" s="443">
        <v>0.5</v>
      </c>
    </row>
    <row r="40" spans="1:7">
      <c r="A40" s="229" t="s">
        <v>260</v>
      </c>
      <c r="B40" s="99">
        <v>1</v>
      </c>
      <c r="C40" s="100">
        <v>1</v>
      </c>
      <c r="D40" s="444"/>
      <c r="E40" s="90"/>
      <c r="G40" s="232">
        <v>1</v>
      </c>
    </row>
    <row r="41" spans="1:7">
      <c r="A41" s="229" t="s">
        <v>261</v>
      </c>
      <c r="B41" s="99">
        <v>1</v>
      </c>
      <c r="C41" s="100">
        <v>1</v>
      </c>
      <c r="D41" s="444"/>
      <c r="E41" s="90"/>
      <c r="G41" s="445">
        <f>6*0.05</f>
        <v>0.30000000000000004</v>
      </c>
    </row>
    <row r="42" spans="1:7">
      <c r="A42" s="229" t="s">
        <v>206</v>
      </c>
      <c r="B42" s="99">
        <v>1</v>
      </c>
      <c r="C42" s="100">
        <v>5</v>
      </c>
      <c r="D42" s="444"/>
      <c r="E42" s="90"/>
      <c r="G42" s="232">
        <v>1</v>
      </c>
    </row>
    <row r="43" spans="1:7">
      <c r="A43" s="229" t="s">
        <v>262</v>
      </c>
      <c r="B43" s="99">
        <v>20</v>
      </c>
      <c r="C43" s="409">
        <f>B43/1000</f>
        <v>0.02</v>
      </c>
      <c r="D43" s="444"/>
      <c r="E43" s="90"/>
      <c r="G43" s="445">
        <f>0.5*B43</f>
        <v>10</v>
      </c>
    </row>
    <row r="44" spans="1:7">
      <c r="A44" s="229" t="s">
        <v>207</v>
      </c>
      <c r="B44" s="99">
        <v>1</v>
      </c>
      <c r="C44" s="100">
        <v>3</v>
      </c>
      <c r="D44" s="444"/>
      <c r="E44" s="90"/>
      <c r="G44" s="232">
        <v>0.5</v>
      </c>
    </row>
    <row r="45" spans="1:7">
      <c r="A45" s="229" t="s">
        <v>209</v>
      </c>
      <c r="B45" s="99">
        <v>1</v>
      </c>
      <c r="C45" s="100">
        <v>5</v>
      </c>
      <c r="D45" s="444"/>
      <c r="E45" s="90"/>
      <c r="G45" s="232">
        <v>55</v>
      </c>
    </row>
    <row r="46" spans="1:7">
      <c r="A46" s="229" t="s">
        <v>210</v>
      </c>
      <c r="B46" s="99">
        <v>10</v>
      </c>
      <c r="C46" s="100">
        <f>B46</f>
        <v>10</v>
      </c>
      <c r="D46" s="444"/>
      <c r="E46" s="90"/>
      <c r="G46" s="232">
        <f>B46</f>
        <v>10</v>
      </c>
    </row>
    <row r="47" spans="1:7">
      <c r="A47" s="229" t="s">
        <v>211</v>
      </c>
      <c r="B47" s="230">
        <v>5</v>
      </c>
      <c r="C47" s="88">
        <f>B47</f>
        <v>5</v>
      </c>
      <c r="D47" s="231"/>
      <c r="E47" s="155"/>
      <c r="G47" s="443">
        <f>B47/10</f>
        <v>0.5</v>
      </c>
    </row>
    <row r="48" spans="1:7">
      <c r="A48" s="229" t="s">
        <v>212</v>
      </c>
      <c r="B48" s="99">
        <v>1</v>
      </c>
      <c r="C48" s="100">
        <v>0</v>
      </c>
      <c r="D48" s="444"/>
      <c r="E48" s="90"/>
      <c r="G48" s="443">
        <v>0.1</v>
      </c>
    </row>
    <row r="49" spans="1:7">
      <c r="A49" s="229" t="s">
        <v>213</v>
      </c>
      <c r="B49" s="99">
        <v>1</v>
      </c>
      <c r="C49" s="100">
        <v>10</v>
      </c>
      <c r="D49" s="444"/>
      <c r="E49" s="90"/>
      <c r="G49" s="232">
        <v>5</v>
      </c>
    </row>
    <row r="50" spans="1:7">
      <c r="A50" s="229" t="s">
        <v>214</v>
      </c>
      <c r="B50" s="230">
        <v>1</v>
      </c>
      <c r="C50" s="88">
        <v>10</v>
      </c>
      <c r="D50" s="231"/>
      <c r="E50" s="155"/>
      <c r="G50" s="232">
        <v>1</v>
      </c>
    </row>
    <row r="51" spans="1:7">
      <c r="A51" s="229" t="s">
        <v>215</v>
      </c>
      <c r="B51" s="230">
        <v>1</v>
      </c>
      <c r="C51" s="88">
        <v>8</v>
      </c>
      <c r="D51" s="231"/>
      <c r="E51" s="155"/>
      <c r="G51" s="232">
        <v>2</v>
      </c>
    </row>
    <row r="52" spans="1:7">
      <c r="A52" s="229" t="s">
        <v>218</v>
      </c>
      <c r="B52" s="230">
        <v>1</v>
      </c>
      <c r="C52" s="88">
        <v>4</v>
      </c>
      <c r="D52" s="231"/>
      <c r="E52" s="155"/>
      <c r="G52" s="232">
        <v>1</v>
      </c>
    </row>
    <row r="53" spans="1:7">
      <c r="A53" s="229" t="s">
        <v>130</v>
      </c>
      <c r="B53" s="230">
        <v>1</v>
      </c>
      <c r="C53" s="88">
        <v>5</v>
      </c>
      <c r="D53" s="231" t="s">
        <v>219</v>
      </c>
      <c r="E53" s="155"/>
      <c r="G53" s="232">
        <v>2</v>
      </c>
    </row>
    <row r="54" spans="1:7">
      <c r="A54" s="229" t="s">
        <v>130</v>
      </c>
      <c r="B54" s="230">
        <v>1</v>
      </c>
      <c r="C54" s="88">
        <v>5</v>
      </c>
      <c r="D54" s="231" t="s">
        <v>220</v>
      </c>
      <c r="E54" s="155"/>
      <c r="G54" s="232">
        <v>2</v>
      </c>
    </row>
    <row r="55" spans="1:7" ht="16.2" thickBot="1">
      <c r="A55" s="91" t="s">
        <v>221</v>
      </c>
      <c r="B55" s="92">
        <v>5</v>
      </c>
      <c r="C55" s="101">
        <f>B55</f>
        <v>5</v>
      </c>
      <c r="D55" s="94"/>
      <c r="E55" s="95"/>
      <c r="G55" s="385">
        <f>B55/2</f>
        <v>2.5</v>
      </c>
    </row>
    <row r="56" spans="1:7" ht="16.8" thickTop="1" thickBot="1">
      <c r="A56" s="386" t="s">
        <v>301</v>
      </c>
      <c r="B56" s="449">
        <f>C56/250</f>
        <v>0.45608000000000004</v>
      </c>
      <c r="C56" s="81">
        <f>SUM(C35:C55)</f>
        <v>114.02000000000001</v>
      </c>
    </row>
    <row r="57" spans="1:7">
      <c r="E57" s="56" t="s">
        <v>126</v>
      </c>
      <c r="G57" s="446">
        <f>SUM(G3:G55,Martial!M3:M28)</f>
        <v>8991</v>
      </c>
    </row>
    <row r="58" spans="1:7">
      <c r="E58" s="56" t="s">
        <v>299</v>
      </c>
      <c r="G58" s="446">
        <v>9000</v>
      </c>
    </row>
  </sheetData>
  <sortState xmlns:xlrd2="http://schemas.microsoft.com/office/spreadsheetml/2017/richdata2" ref="A10:G16">
    <sortCondition ref="A10:A16"/>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FCB99-6710-4D22-8090-E7CCA0E119F4}">
  <dimension ref="A1:C17"/>
  <sheetViews>
    <sheetView showGridLines="0" workbookViewId="0"/>
  </sheetViews>
  <sheetFormatPr defaultColWidth="9" defaultRowHeight="15.6"/>
  <cols>
    <col min="1" max="1" width="62.796875" style="19" bestFit="1" customWidth="1"/>
    <col min="2" max="2" width="9.5" style="399" customWidth="1"/>
    <col min="3" max="3" width="6.3984375" style="19" customWidth="1"/>
    <col min="4" max="16384" width="9" style="19"/>
  </cols>
  <sheetData>
    <row r="1" spans="1:3">
      <c r="A1" s="387" t="s">
        <v>233</v>
      </c>
      <c r="B1" s="388" t="str">
        <f>'Personal File'!A1</f>
        <v>Elsabet</v>
      </c>
      <c r="C1" s="389" t="s">
        <v>234</v>
      </c>
    </row>
    <row r="2" spans="1:3">
      <c r="A2" s="390" t="s">
        <v>243</v>
      </c>
      <c r="B2" s="391" t="s">
        <v>248</v>
      </c>
      <c r="C2" s="392">
        <v>0.16</v>
      </c>
    </row>
    <row r="3" spans="1:3">
      <c r="A3" s="390" t="s">
        <v>244</v>
      </c>
      <c r="B3" s="391" t="s">
        <v>248</v>
      </c>
      <c r="C3" s="392">
        <v>0.16</v>
      </c>
    </row>
    <row r="4" spans="1:3">
      <c r="A4" s="390" t="s">
        <v>245</v>
      </c>
      <c r="B4" s="391" t="s">
        <v>235</v>
      </c>
      <c r="C4" s="392">
        <v>0.2</v>
      </c>
    </row>
    <row r="5" spans="1:3">
      <c r="A5" s="390" t="s">
        <v>246</v>
      </c>
      <c r="B5" s="391" t="s">
        <v>235</v>
      </c>
      <c r="C5" s="392">
        <v>0.2</v>
      </c>
    </row>
    <row r="6" spans="1:3">
      <c r="A6" s="390" t="s">
        <v>247</v>
      </c>
      <c r="B6" s="391" t="s">
        <v>235</v>
      </c>
      <c r="C6" s="392">
        <v>0.2</v>
      </c>
    </row>
    <row r="7" spans="1:3">
      <c r="A7" s="387" t="s">
        <v>52</v>
      </c>
      <c r="B7" s="388"/>
      <c r="C7" s="389">
        <f>SUM(C2:C6)</f>
        <v>0.91999999999999993</v>
      </c>
    </row>
    <row r="8" spans="1:3">
      <c r="A8" s="387"/>
      <c r="B8" s="388"/>
      <c r="C8" s="389"/>
    </row>
    <row r="9" spans="1:3">
      <c r="A9" s="387" t="s">
        <v>236</v>
      </c>
      <c r="B9" s="393">
        <v>0</v>
      </c>
      <c r="C9" s="394"/>
    </row>
    <row r="10" spans="1:3">
      <c r="A10" s="387" t="s">
        <v>237</v>
      </c>
      <c r="B10" s="393">
        <v>5000</v>
      </c>
      <c r="C10" s="394"/>
    </row>
    <row r="11" spans="1:3">
      <c r="A11" s="387" t="s">
        <v>238</v>
      </c>
      <c r="B11" s="393">
        <f>IF(B9=0,B10*C7,(B10*C7*(1-(B9/4))))</f>
        <v>4600</v>
      </c>
      <c r="C11" s="394"/>
    </row>
    <row r="12" spans="1:3">
      <c r="A12" s="387" t="s">
        <v>239</v>
      </c>
      <c r="B12" s="395">
        <v>0</v>
      </c>
      <c r="C12" s="396"/>
    </row>
    <row r="13" spans="1:3">
      <c r="A13" s="387" t="s">
        <v>52</v>
      </c>
      <c r="B13" s="397">
        <f>SUM(B11:B12)</f>
        <v>4600</v>
      </c>
      <c r="C13" s="394"/>
    </row>
    <row r="14" spans="1:3">
      <c r="A14" s="387" t="s">
        <v>240</v>
      </c>
      <c r="B14" s="393">
        <v>9999</v>
      </c>
      <c r="C14" s="394"/>
    </row>
    <row r="15" spans="1:3">
      <c r="A15" s="387" t="s">
        <v>241</v>
      </c>
      <c r="B15" s="397">
        <f>SUM(B13:B14)</f>
        <v>14599</v>
      </c>
      <c r="C15" s="394"/>
    </row>
    <row r="17" spans="1:1">
      <c r="A17" s="398"/>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Spells</vt:lpstr>
      <vt:lpstr>Feats</vt:lpstr>
      <vt:lpstr>Martial</vt:lpstr>
      <vt:lpstr>Equipment</vt:lpstr>
      <vt:lpstr>XP Awards</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2020-03-31T22:23:56Z</dcterms:modified>
</cp:coreProperties>
</file>