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A\Jue\FoL\PCs\"/>
    </mc:Choice>
  </mc:AlternateContent>
  <xr:revisionPtr revIDLastSave="0" documentId="13_ncr:1_{F61E73A9-7ABF-4CE2-A56F-7CA3F7947B09}" xr6:coauthVersionLast="46" xr6:coauthVersionMax="46"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9" r:id="rId3"/>
    <sheet name="Spells" sheetId="18" r:id="rId4"/>
    <sheet name="Spellcasting" sheetId="30" r:id="rId5"/>
    <sheet name="Feats" sheetId="26" r:id="rId6"/>
    <sheet name="Martial" sheetId="6" r:id="rId7"/>
    <sheet name="Equipment" sheetId="19" r:id="rId8"/>
    <sheet name="XP Awards" sheetId="28" r:id="rId9"/>
  </sheets>
  <externalReferences>
    <externalReference r:id="rId10"/>
  </externalReferences>
  <definedNames>
    <definedName name="NoShade">'[1]Spell Sheet'!$FH$1</definedName>
    <definedName name="OLE_LINK1" localSheetId="5">Feats!#REF!</definedName>
    <definedName name="OLE_LINK1" localSheetId="4">Spellcasting!#REF!</definedName>
    <definedName name="_xlnm.Print_Area" localSheetId="7">Equipment!#REF!</definedName>
    <definedName name="_xlnm.Print_Area" localSheetId="5">Feats!#REF!</definedName>
    <definedName name="_xlnm.Print_Area" localSheetId="2">Invocations!$A$1:$H$5</definedName>
    <definedName name="_xlnm.Print_Area" localSheetId="6">Martial!#REF!</definedName>
    <definedName name="_xlnm.Print_Area" localSheetId="0">'Personal File'!$A$1:$H$64</definedName>
    <definedName name="_xlnm.Print_Area" localSheetId="1">Skills!$A$1:$K$29</definedName>
    <definedName name="_xlnm.Print_Area" localSheetId="4">Spellcasting!#REF!</definedName>
    <definedName name="_xlnm.Print_Area" localSheetId="3">Spells!$A$1:$H$11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4" l="1"/>
  <c r="B9" i="4"/>
  <c r="B11" i="4"/>
  <c r="I3" i="6" l="1"/>
  <c r="I8" i="6"/>
  <c r="G36" i="19" l="1"/>
  <c r="D11" i="30" l="1"/>
  <c r="B12" i="4" l="1"/>
  <c r="H42" i="15" l="1"/>
  <c r="E2" i="26" l="1"/>
  <c r="E51" i="15"/>
  <c r="B5" i="15"/>
  <c r="G16" i="6" l="1"/>
  <c r="D3" i="6" l="1"/>
  <c r="M34" i="6" l="1"/>
  <c r="M33" i="6"/>
  <c r="M32" i="6"/>
  <c r="I4" i="6" l="1"/>
  <c r="M16" i="6" l="1"/>
  <c r="M15" i="6"/>
  <c r="M38" i="6" l="1"/>
  <c r="M37" i="6"/>
  <c r="M36" i="6"/>
  <c r="M27" i="6"/>
  <c r="G27" i="6"/>
  <c r="G44" i="19" l="1"/>
  <c r="C44" i="19" l="1"/>
  <c r="G14" i="19" l="1"/>
  <c r="C13" i="19"/>
  <c r="C14" i="19"/>
  <c r="A4" i="26" l="1"/>
  <c r="D9" i="26" l="1"/>
  <c r="D10" i="26"/>
  <c r="D11" i="26"/>
  <c r="D12" i="26"/>
  <c r="D13" i="26"/>
  <c r="E13" i="26" l="1"/>
  <c r="E12" i="26"/>
  <c r="E10" i="26"/>
  <c r="E9" i="26"/>
  <c r="E11" i="26"/>
  <c r="E52" i="15"/>
  <c r="F13" i="15"/>
  <c r="I17" i="6"/>
  <c r="M35" i="6" l="1"/>
  <c r="D10" i="30" l="1"/>
  <c r="H13" i="6" s="1"/>
  <c r="K6" i="30"/>
  <c r="J6" i="30"/>
  <c r="I6" i="30"/>
  <c r="H6" i="30"/>
  <c r="G6" i="30"/>
  <c r="F6" i="30"/>
  <c r="E6" i="30"/>
  <c r="D6" i="30"/>
  <c r="C6" i="30"/>
  <c r="B6" i="30"/>
  <c r="M1" i="30"/>
  <c r="B4" i="15" l="1"/>
  <c r="B3" i="15"/>
  <c r="H8" i="15" l="1"/>
  <c r="G7" i="19" l="1"/>
  <c r="G32" i="19"/>
  <c r="G52" i="19"/>
  <c r="C52" i="19"/>
  <c r="H41"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F5" i="15"/>
  <c r="M31" i="6" l="1"/>
  <c r="M39" i="6"/>
  <c r="F9" i="15" l="1"/>
  <c r="G56" i="19" l="1"/>
  <c r="C56" i="19"/>
  <c r="G34" i="19"/>
  <c r="C34" i="19"/>
  <c r="B21" i="6" l="1"/>
  <c r="B44" i="15" l="1"/>
  <c r="F41" i="15" l="1"/>
  <c r="G50" i="19" l="1"/>
  <c r="I5" i="6"/>
  <c r="G35" i="19"/>
  <c r="C7" i="28" l="1"/>
  <c r="B11" i="28" s="1"/>
  <c r="B13" i="28" s="1"/>
  <c r="B15" i="28" s="1"/>
  <c r="B1" i="28" l="1"/>
  <c r="F28" i="15" l="1"/>
  <c r="F35" i="15"/>
  <c r="F23" i="15"/>
  <c r="F21" i="15"/>
  <c r="F16" i="15"/>
  <c r="F7" i="15"/>
  <c r="G64" i="19" l="1"/>
  <c r="C64" i="19"/>
  <c r="G55" i="19"/>
  <c r="C55" i="19"/>
  <c r="C65" i="19"/>
  <c r="B65" i="19" s="1"/>
  <c r="G17" i="19"/>
  <c r="G18" i="19"/>
  <c r="G66" i="19" s="1"/>
  <c r="C18" i="19"/>
  <c r="C17" i="19"/>
  <c r="G13" i="19"/>
  <c r="I16" i="6"/>
  <c r="I15" i="6"/>
  <c r="I7" i="6"/>
  <c r="I6" i="6"/>
  <c r="E12" i="4" l="1"/>
  <c r="H3" i="15"/>
  <c r="H4" i="15"/>
  <c r="H5" i="15"/>
  <c r="I14" i="6" l="1"/>
  <c r="I18" i="6" l="1"/>
  <c r="I13" i="6"/>
  <c r="I10" i="6"/>
  <c r="J13" i="6" l="1"/>
  <c r="I9" i="6" l="1"/>
  <c r="C16" i="4" l="1"/>
  <c r="C15" i="4"/>
  <c r="C14" i="4"/>
  <c r="C13" i="4"/>
  <c r="E13" i="4" s="1"/>
  <c r="C12" i="4"/>
  <c r="H10" i="6" s="1"/>
  <c r="C11" i="4"/>
  <c r="C4" i="6" l="1"/>
  <c r="H3" i="6"/>
  <c r="J3" i="6" s="1"/>
  <c r="H4" i="6"/>
  <c r="J4" i="6" s="1"/>
  <c r="H5" i="6"/>
  <c r="J5" i="6" s="1"/>
  <c r="H6" i="6"/>
  <c r="J6" i="6" s="1"/>
  <c r="H7" i="6"/>
  <c r="J7" i="6" s="1"/>
  <c r="H9" i="6"/>
  <c r="J9" i="6" s="1"/>
  <c r="H8" i="6"/>
  <c r="J8" i="6" s="1"/>
  <c r="C8" i="6"/>
  <c r="H16" i="6"/>
  <c r="J16" i="6" s="1"/>
  <c r="H17" i="6"/>
  <c r="J17" i="6" s="1"/>
  <c r="E50" i="15"/>
  <c r="D25" i="15"/>
  <c r="E49" i="15"/>
  <c r="E48" i="15"/>
  <c r="E47" i="15"/>
  <c r="E46" i="15"/>
  <c r="P5" i="30"/>
  <c r="G7" i="30"/>
  <c r="P4" i="30"/>
  <c r="F7" i="30"/>
  <c r="P3" i="30"/>
  <c r="E7" i="30"/>
  <c r="D7" i="30"/>
  <c r="K7" i="30"/>
  <c r="C7" i="30"/>
  <c r="B7" i="30"/>
  <c r="I7" i="30"/>
  <c r="H7" i="30"/>
  <c r="J7" i="30"/>
  <c r="C3" i="6"/>
  <c r="C5" i="6"/>
  <c r="C7" i="6"/>
  <c r="C6" i="6"/>
  <c r="B10" i="4"/>
  <c r="H15" i="6"/>
  <c r="J15" i="6" s="1"/>
  <c r="E16" i="4"/>
  <c r="E15" i="4" s="1"/>
  <c r="D3" i="15"/>
  <c r="D10" i="15"/>
  <c r="E10" i="15" s="1"/>
  <c r="D4" i="15"/>
  <c r="D21" i="15"/>
  <c r="E21" i="15" s="1"/>
  <c r="D35" i="15"/>
  <c r="E35" i="15" s="1"/>
  <c r="D7" i="15"/>
  <c r="E7" i="15" s="1"/>
  <c r="D28" i="15"/>
  <c r="E28" i="15" s="1"/>
  <c r="D41" i="15"/>
  <c r="E41" i="15" s="1"/>
  <c r="D29" i="15"/>
  <c r="E29" i="15" s="1"/>
  <c r="D43" i="15"/>
  <c r="E43" i="15" s="1"/>
  <c r="D16" i="15"/>
  <c r="E16" i="15" s="1"/>
  <c r="D32" i="15"/>
  <c r="E32" i="15" s="1"/>
  <c r="D8" i="15"/>
  <c r="E8" i="15" s="1"/>
  <c r="D22" i="15"/>
  <c r="E22" i="15" s="1"/>
  <c r="D18" i="15"/>
  <c r="E18" i="15" s="1"/>
  <c r="D15" i="15"/>
  <c r="E15" i="15" s="1"/>
  <c r="D13" i="15"/>
  <c r="E13" i="15" s="1"/>
  <c r="D19" i="15"/>
  <c r="E19" i="15" s="1"/>
  <c r="D30" i="15"/>
  <c r="E30" i="15" s="1"/>
  <c r="D42" i="15"/>
  <c r="E42" i="15" s="1"/>
  <c r="J10" i="6"/>
  <c r="D34" i="15"/>
  <c r="E34" i="15" s="1"/>
  <c r="D5" i="15"/>
  <c r="D31" i="15"/>
  <c r="E31" i="15" s="1"/>
  <c r="D20" i="15"/>
  <c r="E20" i="15" s="1"/>
  <c r="D39" i="15"/>
  <c r="E39" i="15" s="1"/>
  <c r="D27" i="15"/>
  <c r="E27" i="15" s="1"/>
  <c r="D38" i="15"/>
  <c r="E38" i="15" s="1"/>
  <c r="D23" i="15"/>
  <c r="E23" i="15" s="1"/>
  <c r="D40" i="15"/>
  <c r="E40" i="15" s="1"/>
  <c r="D9" i="15"/>
  <c r="E9" i="15" s="1"/>
  <c r="E45" i="15"/>
  <c r="D6" i="15"/>
  <c r="E6" i="15" s="1"/>
  <c r="D14" i="15"/>
  <c r="E14" i="15" s="1"/>
  <c r="D26" i="15"/>
  <c r="E26" i="15" s="1"/>
  <c r="D11" i="15"/>
  <c r="E11" i="15" s="1"/>
  <c r="D24" i="15"/>
  <c r="E24" i="15" s="1"/>
  <c r="D17" i="15"/>
  <c r="E17" i="15" s="1"/>
  <c r="D37" i="15"/>
  <c r="E37" i="15" s="1"/>
  <c r="D12" i="15"/>
  <c r="E12" i="15" s="1"/>
  <c r="D36" i="15"/>
  <c r="E36" i="15" s="1"/>
  <c r="D33" i="15"/>
  <c r="E33" i="15" s="1"/>
  <c r="C9" i="6"/>
  <c r="H14" i="6"/>
  <c r="J14" i="6" s="1"/>
  <c r="H18" i="6"/>
  <c r="J18" i="6" s="1"/>
  <c r="H43" i="15"/>
  <c r="H6" i="15"/>
  <c r="E25" i="15" l="1"/>
  <c r="G25" i="15"/>
  <c r="I25" i="15" s="1"/>
  <c r="E3" i="15"/>
  <c r="G3" i="15"/>
  <c r="I3" i="15" s="1"/>
  <c r="E4" i="15"/>
  <c r="G4" i="15"/>
  <c r="I4" i="15" s="1"/>
  <c r="E44" i="15"/>
  <c r="E5" i="15"/>
  <c r="G5" i="15"/>
  <c r="I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F9F071BE-64E9-4879-8C80-9D8FE6D282C5}">
      <text>
        <r>
          <rPr>
            <i/>
            <sz val="12"/>
            <color indexed="81"/>
            <rFont val="Times New Roman"/>
            <family val="1"/>
          </rPr>
          <t>divine favor +1
bane -1
haste +1</t>
        </r>
      </text>
    </comment>
    <comment ref="E9" authorId="0" shapeId="0" xr:uid="{81AC56B1-451D-49E3-AC58-FC737D4BB7C4}">
      <text>
        <r>
          <rPr>
            <b/>
            <sz val="12"/>
            <color indexed="81"/>
            <rFont val="Times New Roman"/>
            <family val="1"/>
          </rPr>
          <t>Extreme Leap (Skill Trick)</t>
        </r>
        <r>
          <rPr>
            <sz val="12"/>
            <color indexed="81"/>
            <rFont val="Times New Roman"/>
            <family val="1"/>
          </rPr>
          <t xml:space="preserve">
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C10" authorId="0" shapeId="0" xr:uid="{23C0A8AD-8B24-4DB4-98ED-1E592103C21C}">
      <text>
        <r>
          <rPr>
            <sz val="12"/>
            <color indexed="81"/>
            <rFont val="Times New Roman"/>
            <family val="1"/>
          </rPr>
          <t>Blooded +2</t>
        </r>
      </text>
    </comment>
    <comment ref="E10" authorId="0" shapeId="0" xr:uid="{1007607B-C2D1-43EF-B937-28BD8F66EF8B}">
      <text>
        <r>
          <rPr>
            <sz val="12"/>
            <color indexed="81"/>
            <rFont val="Times New Roman"/>
            <family val="1"/>
          </rPr>
          <t>Next level at 36,000 XPs</t>
        </r>
      </text>
    </comment>
    <comment ref="B11" authorId="0" shapeId="0" xr:uid="{23F6553F-6567-4A45-A0E8-EDCC3FD3CB9C}">
      <text>
        <r>
          <rPr>
            <i/>
            <sz val="12"/>
            <color indexed="81"/>
            <rFont val="Times New Roman"/>
            <family val="1"/>
          </rPr>
          <t>bull’s strength +4
enlarge person +2
Brute Gauntlets +4, 6, or 8
Fatigue -2</t>
        </r>
      </text>
    </comment>
    <comment ref="E11" authorId="0" shapeId="0" xr:uid="{3324F809-5ADA-43FE-9A0F-B1F163200CC0}">
      <text>
        <r>
          <rPr>
            <sz val="12"/>
            <color indexed="81"/>
            <rFont val="Times New Roman"/>
            <family val="1"/>
          </rPr>
          <t>See PHB 162</t>
        </r>
      </text>
    </comment>
    <comment ref="B12" authorId="0" shapeId="0" xr:uid="{D5394AA1-02C5-43C0-8B4C-219D314E776F}">
      <text>
        <r>
          <rPr>
            <i/>
            <sz val="12"/>
            <color indexed="81"/>
            <rFont val="Times New Roman"/>
            <family val="1"/>
          </rPr>
          <t>enlarge person -2
Fatigue -2</t>
        </r>
      </text>
    </comment>
    <comment ref="E12" authorId="0" shapeId="0" xr:uid="{26CD1242-8118-49FE-A240-0D13C5069AD8}">
      <text>
        <r>
          <rPr>
            <sz val="12"/>
            <color indexed="81"/>
            <rFont val="Times New Roman"/>
            <family val="1"/>
          </rPr>
          <t>Haversack is 5 lbs.</t>
        </r>
      </text>
    </comment>
    <comment ref="E13" authorId="0" shapeId="0" xr:uid="{00000000-0006-0000-0000-000004000000}">
      <text>
        <r>
          <rPr>
            <sz val="12"/>
            <color indexed="81"/>
            <rFont val="Times New Roman"/>
            <family val="1"/>
          </rPr>
          <t>[(4 * 8 Favored Soul) * 75%]
+[(1 * 10 Crusader) * 75%]
+[(2 * 6 Warlock) * 75%]
+ (7 * 1 Con)</t>
        </r>
      </text>
    </comment>
    <comment ref="E14" authorId="0" shapeId="0" xr:uid="{9400A056-C2BB-4FE5-823B-AEE1C062D298}">
      <text>
        <r>
          <rPr>
            <i/>
            <sz val="12"/>
            <color indexed="81"/>
            <rFont val="Times New Roman"/>
            <family val="1"/>
          </rPr>
          <t>+1 haste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8CF1BD1-2079-40BD-B440-C41AA81BC586}">
      <text>
        <r>
          <rPr>
            <sz val="12"/>
            <color indexed="81"/>
            <rFont val="Times New Roman"/>
            <family val="1"/>
          </rPr>
          <t>Cloak of Resistance +1</t>
        </r>
      </text>
    </comment>
    <comment ref="F4" authorId="0" shapeId="0" xr:uid="{84F31A42-137A-4671-B7F4-42F99AFEE29E}">
      <text>
        <r>
          <rPr>
            <sz val="12"/>
            <color indexed="81"/>
            <rFont val="Times New Roman"/>
            <family val="1"/>
          </rPr>
          <t>Cloak of Resistance +1</t>
        </r>
      </text>
    </comment>
    <comment ref="F5" authorId="0" shapeId="0" xr:uid="{11FFC983-5D43-456B-B24F-8ADA95F998E4}">
      <text>
        <r>
          <rPr>
            <sz val="12"/>
            <color indexed="81"/>
            <rFont val="Times New Roman"/>
            <family val="1"/>
          </rPr>
          <t>Fey heritage +3
Cloak of Resistance +1</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+2
Bluff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2" authorId="0" shapeId="0" xr:uid="{12C10405-5391-4154-835E-91EDF3A6DA4C}">
      <text>
        <r>
          <rPr>
            <sz val="12"/>
            <color indexed="81"/>
            <rFont val="Times New Roman"/>
            <family val="1"/>
          </rPr>
          <t>Bluff +2</t>
        </r>
      </text>
    </comment>
    <comment ref="F23" authorId="0" shapeId="0" xr:uid="{9954535D-0B44-46E5-A949-8F12804A1892}">
      <text>
        <r>
          <rPr>
            <sz val="12"/>
            <color indexed="81"/>
            <rFont val="Times New Roman"/>
            <family val="1"/>
          </rPr>
          <t>Armor penalty</t>
        </r>
      </text>
    </comment>
    <comment ref="F28" authorId="0" shapeId="0" xr:uid="{FEAABE47-FE22-4571-B027-838DB519F77D}">
      <text>
        <r>
          <rPr>
            <sz val="12"/>
            <color indexed="81"/>
            <rFont val="Times New Roman"/>
            <family val="1"/>
          </rPr>
          <t>Armor penalty</t>
        </r>
      </text>
    </comment>
    <comment ref="F35" authorId="0" shapeId="0" xr:uid="{590B8E20-33CF-45A1-9151-6E34B1F8BCD7}">
      <text>
        <r>
          <rPr>
            <sz val="12"/>
            <color indexed="81"/>
            <rFont val="Times New Roman"/>
            <family val="1"/>
          </rPr>
          <t>Armor penalty</t>
        </r>
      </text>
    </comment>
    <comment ref="F38" authorId="0" shapeId="0" xr:uid="{1B300C74-5518-4AD7-8064-C7E1B016C7B1}">
      <text>
        <r>
          <rPr>
            <sz val="12"/>
            <color indexed="81"/>
            <rFont val="Times New Roman"/>
            <family val="1"/>
          </rPr>
          <t>Blooded +2</t>
        </r>
      </text>
    </comment>
    <comment ref="F41"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C2"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A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6" authorId="0" shapeId="0" xr:uid="{E6E34CCE-7A37-411B-8121-CD047B943731}">
      <text>
        <r>
          <rPr>
            <sz val="12"/>
            <color indexed="81"/>
            <rFont val="Times New Roman"/>
            <family val="1"/>
          </rPr>
          <t xml:space="preserve">You share your ancestors’ knack for playing tricks on the minds of others.
</t>
        </r>
        <r>
          <rPr>
            <b/>
            <sz val="12"/>
            <color indexed="81"/>
            <rFont val="Times New Roman"/>
            <family val="1"/>
          </rPr>
          <t xml:space="preserve">Prerequisites:  </t>
        </r>
        <r>
          <rPr>
            <sz val="12"/>
            <color indexed="81"/>
            <rFont val="Times New Roman"/>
            <family val="1"/>
          </rPr>
          <t xml:space="preserve">Nonlawful alignment, Fey Heritage, character level 6th.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 xml:space="preserve">charm monster, deep slumber, </t>
        </r>
        <r>
          <rPr>
            <sz val="12"/>
            <color indexed="81"/>
            <rFont val="Times New Roman"/>
            <family val="1"/>
          </rPr>
          <t xml:space="preserve">and </t>
        </r>
        <r>
          <rPr>
            <i/>
            <sz val="12"/>
            <color indexed="81"/>
            <rFont val="Times New Roman"/>
            <family val="1"/>
          </rPr>
          <t xml:space="preserve">disguise self.  </t>
        </r>
        <r>
          <rPr>
            <sz val="12"/>
            <color indexed="81"/>
            <rFont val="Times New Roman"/>
            <family val="1"/>
          </rPr>
          <t>Your caster level equals your character level.
Complete Mage 43</t>
        </r>
      </text>
    </comment>
    <comment ref="C6" authorId="0" shapeId="0" xr:uid="{BDD4F96A-B18E-494E-BB57-3063FB62DD56}">
      <text>
        <r>
          <rPr>
            <sz val="12"/>
            <color indexed="81"/>
            <rFont val="Times New Roman"/>
            <family val="1"/>
          </rPr>
          <t xml:space="preserve">You can channel the pain of your injuries into a boiling rage that lets you lash out at your enemies with renewed vigor and power.  Each attack that strikes you only pushes you onward to greater glory.
During your turn, you gain a bonus on attack rolls and damage rolls equal to the current value of your delayed damage pool (see steely resolve, above) divided by 5, and rounding down (minimum +1).  You can only gain a maximum bonus on attack rolls and damage rolls of +6 from furious counterstrike.  Use the table below to quickly determine the attack bonus and damage bonus from furious counterstrike, based on the amount of damage in your delayed damage pool.  This ability’s benefits last until the end of your turn.
</t>
        </r>
        <r>
          <rPr>
            <b/>
            <sz val="12"/>
            <color indexed="81"/>
            <rFont val="Times New Roman"/>
            <family val="1"/>
          </rPr>
          <t>Delayed Damage Pool Points         Furious Counterstrike Bonus</t>
        </r>
        <r>
          <rPr>
            <sz val="12"/>
            <color indexed="81"/>
            <rFont val="Times New Roman"/>
            <family val="1"/>
          </rPr>
          <t xml:space="preserve">
1–9                                                 +1
10–14                                             +2
15–19                                             +3
20–24                                             +4
25–29                                             +5
30+                                                 +6
Bo9S 10</t>
        </r>
      </text>
    </comment>
    <comment ref="E6" authorId="0" shapeId="0" xr:uid="{F0EE3B0F-8F71-4BC2-9A74-EF85F7A6F190}">
      <text>
        <r>
          <rPr>
            <sz val="12"/>
            <color indexed="81"/>
            <rFont val="Times New Roman"/>
            <family val="1"/>
          </rPr>
          <t xml:space="preserve">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C9" authorId="0" shapeId="0" xr:uid="{379514A9-4AFB-43EC-9B6D-1B29613FB70F}">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Your throw yourself behind your attack, lending your blow such great weight and force that you leave injuries that even magical defenses cannot mend.  Your devotion to your cause gives you boundless energy that allows you to smash through supernatural defenses. When you land an attack, you hit with such force that damage reduction offers little resistance against you.
When you use this maneuver, you make a melee attack against a single foe.  This attack automatically overcomes the opponent’s damage reduction and deals an extra 2d6 points of damage.
Bo9S 85</t>
        </r>
      </text>
    </comment>
    <comment ref="C10" authorId="0" shapeId="0" xr:uid="{F12F2619-AED0-4B66-8E13-7A105274ADFA}">
      <text>
        <r>
          <rPr>
            <sz val="12"/>
            <color indexed="81"/>
            <rFont val="Times New Roman"/>
            <family val="1"/>
          </rPr>
          <t xml:space="preserve">Devoted Spirit (Counter)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immediate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Instantaneous
With a heroic burst of effort, you thrust your shield between your defenseless ally and your enemy.
As an immediate action, you can grant an AC bonus to an adjacent ally equal to your shield’s AC bonus + 4.  You apply this bonus in response to a single melee or ranged attack that targets your ally.  You can initiate this maneuver after an opponent makes his attack roll, but you must do so before you know whether the attack was a success or a failure.
Bo9S 60</t>
        </r>
      </text>
    </comment>
    <comment ref="C11" authorId="0" shapeId="0" xr:uid="{4ED27929-D713-4854-8707-281A6E63D885}">
      <text>
        <r>
          <rPr>
            <sz val="12"/>
            <color indexed="81"/>
            <rFont val="Times New Roman"/>
            <family val="1"/>
          </rPr>
          <t xml:space="preserve">Stone Dragon (Strike)
</t>
        </r>
        <r>
          <rPr>
            <b/>
            <sz val="12"/>
            <color indexed="81"/>
            <rFont val="Times New Roman"/>
            <family val="1"/>
          </rPr>
          <t xml:space="preserve">Level: </t>
        </r>
        <r>
          <rPr>
            <sz val="12"/>
            <color indexed="81"/>
            <rFont val="Times New Roman"/>
            <family val="1"/>
          </rPr>
          <t xml:space="preserve">Crusader 2, swordsage 2, warblade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 xml:space="preserve">Creature struck
</t>
        </r>
        <r>
          <rPr>
            <b/>
            <sz val="12"/>
            <color indexed="81"/>
            <rFont val="Times New Roman"/>
            <family val="1"/>
          </rPr>
          <t xml:space="preserve">Duration: </t>
        </r>
        <r>
          <rPr>
            <sz val="12"/>
            <color indexed="81"/>
            <rFont val="Times New Roman"/>
            <family val="1"/>
          </rPr>
          <t xml:space="preserve">1 round
</t>
        </r>
        <r>
          <rPr>
            <b/>
            <sz val="12"/>
            <color indexed="81"/>
            <rFont val="Times New Roman"/>
            <family val="1"/>
          </rPr>
          <t xml:space="preserve">Saving Throw: </t>
        </r>
        <r>
          <rPr>
            <sz val="12"/>
            <color indexed="81"/>
            <rFont val="Times New Roman"/>
            <family val="1"/>
          </rPr>
          <t>Fortitude partial
You make a crushing blow that staggers your opponent, leaving it unable to move.  By making a powerful, focused blow, you leave your opponent unable to move.  The crushing weight of your blow forces it to waste a precious moment regaining its footing.
As part of this maneuver, you make a single melee attack.  This attack deals an extra 1d6 points of damage.  If the creature hit is standing on the ground, your attack also drops the target’s speed to 0 feet (for all movement capabilities) for 1 round.  It can otherwise act normally.
A successful Fortitude save (DC 12 + your Str modifier) by the creature struck negates the immobilization, but not the extra damage.
This maneuver functions only against opponents standing on the ground.  A flying creature or a levitating target need not save against the speed reduction effect, but still takes the extra damage.
Bo9S 85</t>
        </r>
      </text>
    </comment>
    <comment ref="C12" authorId="0" shapeId="0" xr:uid="{6D0BEA6F-6800-4091-9A39-F50D47AB1AE2}">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1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Divine energy surrounds your weapon as you strike.  This power washes over you as your weapon finds its mark, mending your wounds and giving you the strength to fight on.
As part of initiating this strike, you must make a successful melee attack against an enemy whose alignment has at least one component different from yours.  This foe must pose a threat to you or your allies in some direct, immediate way.  If your attack hits, you or an ally within 10 feet of you heals 1d6 points of damage + 1 point per initiator level (maximum +5).
Bo9S 58</t>
        </r>
      </text>
    </comment>
    <comment ref="C13" authorId="0" shapeId="0" xr:uid="{5112EB7E-EB97-4A02-883F-5F9B9370BC1E}">
      <text>
        <r>
          <rPr>
            <sz val="12"/>
            <color indexed="81"/>
            <rFont val="Times New Roman"/>
            <family val="1"/>
          </rPr>
          <t xml:space="preserve">White Raven (Strike)
</t>
        </r>
        <r>
          <rPr>
            <b/>
            <sz val="12"/>
            <color indexed="81"/>
            <rFont val="Times New Roman"/>
            <family val="1"/>
          </rPr>
          <t xml:space="preserve">Level: </t>
        </r>
        <r>
          <rPr>
            <sz val="12"/>
            <color indexed="81"/>
            <rFont val="Times New Roman"/>
            <family val="1"/>
          </rPr>
          <t xml:space="preserve">Crusader 2, warblade 2
</t>
        </r>
        <r>
          <rPr>
            <b/>
            <sz val="12"/>
            <color indexed="81"/>
            <rFont val="Times New Roman"/>
            <family val="1"/>
          </rPr>
          <t xml:space="preserve">Prerequisite: </t>
        </r>
        <r>
          <rPr>
            <sz val="12"/>
            <color indexed="81"/>
            <rFont val="Times New Roman"/>
            <family val="1"/>
          </rPr>
          <t xml:space="preserve">One White Raven maneuver
</t>
        </r>
        <r>
          <rPr>
            <b/>
            <sz val="12"/>
            <color indexed="81"/>
            <rFont val="Times New Roman"/>
            <family val="1"/>
          </rPr>
          <t xml:space="preserve">Initiation Action: </t>
        </r>
        <r>
          <rPr>
            <sz val="12"/>
            <color indexed="81"/>
            <rFont val="Times New Roman"/>
            <family val="1"/>
          </rPr>
          <t xml:space="preserve">1 full-round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 lead from the front, charging your enemies so that your allies can follow in your wake.  The White Raven discipline teaches that he who seizes the initiative also seizes victory.  You have learned to lead an attack with a mighty charge, the better to disrupt the enemy and inspire your allies in battle.
As part of this maneuver, you charge an opponent.  You do not provoke attacks of opportunity for moving as part of this charge.  If your charge attack hits, it deals an extra 10 points of damage.
Bo9S 90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AC2D0DD-8608-4B0E-B23B-9CC4F23970E7}">
      <text>
        <r>
          <rPr>
            <sz val="12"/>
            <color indexed="81"/>
            <rFont val="Times New Roman"/>
            <family val="1"/>
          </rPr>
          <t>Weapon Focus +1
Weapon +1
Inspire Courage +2</t>
        </r>
      </text>
    </comment>
    <comment ref="D4" authorId="0" shapeId="0" xr:uid="{68A05890-CE13-4C15-A73B-F7ACAF824D27}">
      <text>
        <r>
          <rPr>
            <sz val="12"/>
            <color indexed="81"/>
            <rFont val="Times New Roman"/>
            <family val="1"/>
          </rPr>
          <t>Inspire Courage +2</t>
        </r>
      </text>
    </comment>
    <comment ref="D5" authorId="0" shapeId="0" xr:uid="{59E08BF5-AC4A-4334-82EC-1582E5D67ACA}">
      <text>
        <r>
          <rPr>
            <sz val="12"/>
            <color indexed="81"/>
            <rFont val="Times New Roman"/>
            <family val="1"/>
          </rPr>
          <t>Inspire Courage +2</t>
        </r>
      </text>
    </comment>
    <comment ref="D6" authorId="0" shapeId="0" xr:uid="{EB8DE98C-884B-403A-BD98-78E007A549E3}">
      <text>
        <r>
          <rPr>
            <sz val="12"/>
            <color indexed="81"/>
            <rFont val="Times New Roman"/>
            <family val="1"/>
          </rPr>
          <t>Inspire Courage +2</t>
        </r>
      </text>
    </comment>
    <comment ref="D7" authorId="0" shapeId="0" xr:uid="{422625F1-6B08-48D1-9B34-F0FFB96D6211}">
      <text>
        <r>
          <rPr>
            <sz val="12"/>
            <color indexed="81"/>
            <rFont val="Times New Roman"/>
            <family val="1"/>
          </rPr>
          <t>Inspire Courage +2</t>
        </r>
      </text>
    </comment>
    <comment ref="D8" authorId="0" shapeId="0" xr:uid="{EFE4BBE2-82C1-40AE-A364-2255B51F6258}">
      <text>
        <r>
          <rPr>
            <sz val="12"/>
            <color indexed="81"/>
            <rFont val="Times New Roman"/>
            <family val="1"/>
          </rPr>
          <t>Inspire Courage +2</t>
        </r>
      </text>
    </comment>
    <comment ref="D9" authorId="0" shapeId="0" xr:uid="{D5EE3F79-9B57-4A16-88A4-91E7DEE299BD}">
      <text>
        <r>
          <rPr>
            <sz val="12"/>
            <color indexed="81"/>
            <rFont val="Times New Roman"/>
            <family val="1"/>
          </rPr>
          <t>Inspire Courage +2</t>
        </r>
      </text>
    </comment>
    <comment ref="D20" authorId="0" shapeId="0" xr:uid="{00000000-0006-0000-0500-000005000000}">
      <text>
        <r>
          <rPr>
            <sz val="12"/>
            <color indexed="81"/>
            <rFont val="Times New Roman"/>
            <family val="1"/>
          </rPr>
          <t>Balance, Climb, Escape Artist, Hide, Jump, Move Silently, Sleight of Hand, Tumble.</t>
        </r>
      </text>
    </comment>
    <comment ref="A21"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 ref="A22" authorId="0" shapeId="0" xr:uid="{34702EEA-4909-42B9-B951-27E1AB3CE73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immediate (mental)
</t>
        </r>
        <r>
          <rPr>
            <b/>
            <sz val="12"/>
            <color indexed="81"/>
            <rFont val="Times New Roman"/>
            <family val="1"/>
          </rPr>
          <t xml:space="preserve">Weight: </t>
        </r>
        <r>
          <rPr>
            <sz val="12"/>
            <color indexed="81"/>
            <rFont val="Times New Roman"/>
            <family val="1"/>
          </rPr>
          <t>1/2 lb.
These matching leather wristbands feel light but strong.
Bracers of opportunity allow you to take advantage of opponents who let down their defenses.
If you have the Combat Refl exes feat, you gain a +2 competence bonus on any attack of opportunity you make (whether the attack of opportunity is granted by the bracers or not).  This is a continuous effect and requires no activation.
When you activate these bracers, you can take an attack of opportunity granted to you by an opponent, even if you have already reached your normal limit of attacks of opportunity in the round.  This ability functions two times per day.
MIC 81</t>
        </r>
      </text>
    </comment>
    <comment ref="A24" authorId="0" shapeId="0" xr:uid="{982973DE-9CA6-4434-97C6-2A77DE64B579}">
      <text>
        <r>
          <rPr>
            <b/>
            <sz val="12"/>
            <color indexed="81"/>
            <rFont val="Times New Roman"/>
            <family val="1"/>
          </rPr>
          <t xml:space="preserve">Price (Item Level): </t>
        </r>
        <r>
          <rPr>
            <sz val="12"/>
            <color indexed="81"/>
            <rFont val="Times New Roman"/>
            <family val="1"/>
          </rPr>
          <t xml:space="preserve">500 gp (3rd) (least), 2,500 gp (7th) (lesser), or 5,000 gp (9th) (greater)
</t>
        </r>
        <r>
          <rPr>
            <b/>
            <sz val="12"/>
            <color indexed="81"/>
            <rFont val="Times New Roman"/>
            <family val="1"/>
          </rPr>
          <t xml:space="preserve">Body Slot: </t>
        </r>
        <r>
          <rPr>
            <sz val="12"/>
            <color indexed="81"/>
            <rFont val="Times New Roman"/>
            <family val="1"/>
          </rPr>
          <t xml:space="preserve">— (shield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 sapphire is cut into a large cabochon.  It contains a small fl int arrowhead in its center.
A crystal of arrow defl ection protects you from ranged weapon attacks.
</t>
        </r>
        <r>
          <rPr>
            <b/>
            <sz val="12"/>
            <color indexed="81"/>
            <rFont val="Times New Roman"/>
            <family val="1"/>
          </rPr>
          <t xml:space="preserve">Least: </t>
        </r>
        <r>
          <rPr>
            <sz val="12"/>
            <color indexed="81"/>
            <rFont val="Times New Roman"/>
            <family val="1"/>
          </rPr>
          <t xml:space="preserve">This augment crystal grants you a +2 bonus to AC against ranged attacks.
</t>
        </r>
        <r>
          <rPr>
            <b/>
            <sz val="12"/>
            <color indexed="81"/>
            <rFont val="Times New Roman"/>
            <family val="1"/>
          </rPr>
          <t xml:space="preserve">Lesser: </t>
        </r>
        <r>
          <rPr>
            <sz val="12"/>
            <color indexed="81"/>
            <rFont val="Times New Roman"/>
            <family val="1"/>
          </rPr>
          <t xml:space="preserve">As the least crystal, except the bonus is +5.
</t>
        </r>
        <r>
          <rPr>
            <b/>
            <sz val="12"/>
            <color indexed="81"/>
            <rFont val="Times New Roman"/>
            <family val="1"/>
          </rPr>
          <t xml:space="preserve">Greater: </t>
        </r>
        <r>
          <rPr>
            <sz val="12"/>
            <color indexed="81"/>
            <rFont val="Times New Roman"/>
            <family val="1"/>
          </rPr>
          <t>As the least crystal, and you can deflect one ranged attack per round as if you had the Deflect Arrows feat.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75DF062-7E61-40CB-8C74-ECC6C73672B2}">
      <text>
        <r>
          <rPr>
            <sz val="12"/>
            <color indexed="81"/>
            <rFont val="Times New Roman"/>
            <family val="1"/>
          </rPr>
          <t>This garment offers magic protection in the form of a +1 Resistance bonus on all saving throws (Fortitude, Reflex, and Will).
DMG 253</t>
        </r>
      </text>
    </comment>
    <comment ref="A4" authorId="0" shapeId="0" xr:uid="{8DD1F9CE-073B-4419-AB1B-0F9D29E9DE9B}">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5" authorId="0" shapeId="0" xr:uid="{66BE915B-4E5C-4FA9-AB44-E8C31A69F386}">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6" authorId="0" shapeId="0" xr:uid="{09D46464-A6D4-4BC3-84D7-79087BBC5F12}">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MIC 71</t>
        </r>
      </text>
    </comment>
    <comment ref="A39"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<sst xmlns="http://schemas.openxmlformats.org/spreadsheetml/2006/main" count="669" uniqueCount="390">
  <si>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</si>
  <si>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</si>
  <si>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</si>
  <si>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</si>
  <si>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</si>
  <si>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</si>
  <si>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</si>
  <si>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</si>
  <si>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</si>
  <si>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</si>
  <si>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</si>
  <si>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</si>
  <si>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</si>
  <si>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</si>
  <si>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</si>
  <si>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</si>
  <si>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</si>
  <si>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</si>
  <si>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</si>
  <si>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</si>
  <si>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</si>
  <si>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</si>
  <si>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</si>
  <si>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</si>
  <si>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</si>
  <si>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</si>
  <si>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</si>
  <si>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</si>
  <si>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</si>
  <si>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</si>
  <si>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</si>
  <si>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</si>
  <si>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</si>
  <si>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</si>
  <si>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</si>
  <si>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</si>
  <si>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</si>
  <si>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</si>
  <si>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</si>
  <si>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</si>
  <si>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</si>
  <si>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</si>
  <si>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</si>
  <si>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</si>
  <si>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</si>
  <si>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</si>
  <si>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</si>
  <si>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</si>
  <si>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</si>
  <si>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</si>
  <si>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</si>
  <si>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</si>
  <si>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</si>
  <si>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</si>
  <si>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</si>
  <si>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</si>
  <si>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</si>
  <si>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</si>
  <si>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</si>
  <si>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</si>
  <si>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</si>
  <si>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</si>
  <si>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</si>
  <si>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</si>
  <si>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</si>
  <si>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</si>
  <si>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</si>
  <si>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</si>
  <si>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</si>
  <si>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</si>
  <si>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</si>
  <si>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</si>
  <si>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</si>
  <si>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</si>
  <si>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</si>
  <si>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</si>
  <si>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</si>
  <si>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</si>
  <si>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</si>
  <si>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</si>
  <si>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</si>
  <si>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</si>
  <si>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</si>
  <si>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</si>
  <si>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</si>
  <si>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</si>
  <si>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</si>
  <si>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</si>
  <si>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</si>
  <si>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</si>
  <si>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</si>
  <si>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</si>
  <si>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</si>
  <si>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</si>
  <si>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</si>
  <si>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</si>
  <si>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</si>
  <si>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</si>
  <si>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</si>
  <si>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</si>
  <si>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</si>
  <si>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</si>
  <si>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</si>
  <si>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</si>
  <si>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 Level</t>
  </si>
  <si>
    <t>0th</t>
  </si>
  <si>
    <t>7th</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</si>
  <si>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</si>
  <si>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</si>
  <si>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</si>
  <si>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</si>
  <si>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</si>
  <si>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</si>
  <si>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</si>
  <si>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</si>
  <si>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</si>
  <si>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</si>
  <si>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</si>
  <si>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</si>
  <si>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</si>
  <si>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</si>
  <si>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</si>
  <si>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</si>
  <si>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</si>
  <si>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</si>
  <si>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</si>
  <si>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</si>
  <si>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</si>
  <si>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</si>
  <si>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</si>
  <si>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</si>
  <si>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</si>
  <si>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</si>
  <si>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</si>
  <si>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</si>
  <si>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</si>
  <si>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</si>
  <si>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</si>
  <si>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</si>
  <si>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</si>
  <si>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</si>
  <si>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</si>
  <si>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</si>
  <si>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</si>
  <si>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</si>
  <si>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</si>
  <si>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</si>
  <si>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</si>
  <si>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</si>
  <si>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</si>
  <si>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</si>
  <si>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</si>
  <si>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</si>
  <si>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</si>
  <si>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</si>
  <si>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</si>
  <si>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</si>
  <si>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</si>
  <si>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</si>
  <si>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</si>
  <si>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</si>
  <si>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</si>
  <si>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</si>
  <si>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</si>
  <si>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</si>
  <si>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</si>
  <si>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</si>
  <si>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</si>
  <si>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</si>
  <si>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</si>
  <si>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</si>
  <si>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</si>
  <si>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</si>
  <si>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</si>
  <si>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</si>
  <si>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</si>
  <si>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Human:  Fey Heritage</t>
  </si>
  <si>
    <t>Charisma Bonus</t>
  </si>
  <si>
    <t>Favored Soul Spells</t>
  </si>
  <si>
    <t>8th</t>
  </si>
  <si>
    <t>9th</t>
  </si>
  <si>
    <t>DC</t>
  </si>
  <si>
    <t>Cast?</t>
  </si>
  <si>
    <t>Profession:  [type]</t>
  </si>
  <si>
    <t>Slashing</t>
  </si>
  <si>
    <t>AC</t>
  </si>
  <si>
    <t>The Dale</t>
  </si>
  <si>
    <t>Morningstar</t>
  </si>
  <si>
    <t>Dagger</t>
  </si>
  <si>
    <t>Right Hand</t>
  </si>
  <si>
    <t>Left Hand</t>
  </si>
  <si>
    <t xml:space="preserve">Silver Holy Symbol of Mayaheine </t>
  </si>
  <si>
    <t>Flask of Acid</t>
  </si>
  <si>
    <t>Flask of Alchemist’s Fire</t>
  </si>
  <si>
    <t>Wizard’s Spellbook</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</si>
  <si>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</si>
  <si>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</si>
  <si>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</si>
  <si>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</si>
  <si>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</si>
  <si>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</si>
  <si>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</si>
  <si>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</si>
  <si>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</si>
  <si>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</si>
  <si>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</si>
  <si>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</si>
  <si>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</si>
  <si>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</si>
  <si>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</si>
  <si>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</si>
  <si>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</si>
  <si>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</si>
  <si>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</si>
  <si>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</si>
  <si>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</si>
  <si>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10’</t>
  </si>
  <si>
    <t>1d4</t>
  </si>
  <si>
    <t>Prc &amp; Bldg</t>
  </si>
  <si>
    <t>Piercing</t>
  </si>
  <si>
    <t>4</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</si>
  <si>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</si>
  <si>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</si>
  <si>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</si>
  <si>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</si>
  <si>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</si>
  <si>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</si>
  <si>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</si>
  <si>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</si>
  <si>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</si>
  <si>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</si>
  <si>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</si>
  <si>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</si>
  <si>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</si>
  <si>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</si>
  <si>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</si>
  <si>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Thoroughness and clarity</t>
  </si>
  <si>
    <t>Level-appropriate use of skills, feats, limitations, and other features</t>
  </si>
  <si>
    <t>Convincing role-playing and character development</t>
  </si>
  <si>
    <t>Consistency with other characters’ actions and setting description</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</si>
  <si>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</si>
  <si>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</si>
  <si>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</si>
  <si>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</si>
  <si>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</si>
  <si>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</si>
  <si>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</si>
  <si>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</si>
  <si>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</si>
  <si>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</si>
  <si>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</si>
  <si>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</si>
  <si>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</si>
  <si>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</si>
  <si>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favored soul 2</t>
  </si>
  <si>
    <t>Simple Weapons, Bastard Sword</t>
  </si>
  <si>
    <t>favored soul 3</t>
  </si>
  <si>
    <t>Speak Language:  Giant</t>
  </si>
  <si>
    <t>Common, Goblin, Sylvan, Giant</t>
  </si>
  <si>
    <t>Favored Soul Features</t>
  </si>
  <si>
    <t>Weapon Focus:  Bastard Sword</t>
  </si>
  <si>
    <t>3rd:  Exotic Proficiency:  Bastard Sword</t>
  </si>
  <si>
    <t>*</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</si>
  <si>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</si>
  <si>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</si>
  <si>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</si>
  <si>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</si>
  <si>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</si>
  <si>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</si>
  <si>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</si>
  <si>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</si>
  <si>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</si>
  <si>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</si>
  <si>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</si>
  <si>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</si>
  <si>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</si>
  <si>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</si>
  <si>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Chain Shirt +1 of Easy Travel</t>
  </si>
  <si>
    <t>Grappling Hook</t>
  </si>
  <si>
    <t>Attached to Silk Rope</t>
  </si>
  <si>
    <t>Hourglass</t>
  </si>
  <si>
    <t>Manacles</t>
  </si>
  <si>
    <t>favored soul 4</t>
  </si>
  <si>
    <t>Climber’s Kit</t>
  </si>
  <si>
    <t>Healer’s Kit</t>
  </si>
  <si>
    <t>Favored Soul Level</t>
  </si>
  <si>
    <t>Buckler +1</t>
  </si>
  <si>
    <r>
      <t xml:space="preserve">Scroll of </t>
    </r>
    <r>
      <rPr>
        <i/>
        <sz val="12"/>
        <rFont val="Times New Roman"/>
        <family val="1"/>
      </rPr>
      <t>Magic Weapon</t>
    </r>
  </si>
  <si>
    <t>Soft Equity Ceiling:</t>
  </si>
  <si>
    <t>Heward’s Handy Haversack</t>
  </si>
  <si>
    <t>% Full:</t>
  </si>
  <si>
    <t>Cloak of Resistance</t>
  </si>
  <si>
    <t>Brute Gauntlets</t>
  </si>
  <si>
    <t>crusader 1</t>
  </si>
  <si>
    <t>Knowledge:  History</t>
  </si>
  <si>
    <t>Crusader Features</t>
  </si>
  <si>
    <t>Known Favored Soul Spells</t>
  </si>
  <si>
    <t>Stance:  Leading the Charge (White Raven)</t>
  </si>
  <si>
    <t>Initiator Level:</t>
  </si>
  <si>
    <t>Current Maneuvers</t>
  </si>
  <si>
    <t>Tent</t>
  </si>
  <si>
    <t>Fishing Net</t>
  </si>
  <si>
    <t>Crowbar</t>
  </si>
  <si>
    <t>Hammer</t>
  </si>
  <si>
    <t>Bell</t>
  </si>
  <si>
    <t>4 different tones</t>
  </si>
  <si>
    <t>Signal Whistles, Engraved</t>
  </si>
  <si>
    <t>Alll Armor, Martial Weapons</t>
  </si>
  <si>
    <t>Smokestick</t>
  </si>
  <si>
    <t>Piton</t>
  </si>
  <si>
    <t>Warlock</t>
  </si>
  <si>
    <t>warlock 1</t>
  </si>
  <si>
    <t>Invocations</t>
  </si>
  <si>
    <t>Grade</t>
  </si>
  <si>
    <t>ESP</t>
  </si>
  <si>
    <t>Properties</t>
  </si>
  <si>
    <t>Eldritch Blast</t>
  </si>
  <si>
    <t>n/a</t>
  </si>
  <si>
    <t>60’</t>
  </si>
  <si>
    <t>1d6, x2 on 20</t>
  </si>
  <si>
    <t>Least</t>
  </si>
  <si>
    <t>24 hours</t>
  </si>
  <si>
    <t>Call of the Beast</t>
  </si>
  <si>
    <t>+2 to act in character</t>
  </si>
  <si>
    <t>6th:  Fey Presence</t>
  </si>
  <si>
    <t>SF</t>
  </si>
  <si>
    <t>q</t>
  </si>
  <si>
    <t>Charm Monster</t>
  </si>
  <si>
    <t>Deep Slumber</t>
  </si>
  <si>
    <t>Disguise Self</t>
  </si>
  <si>
    <t>Favored Soul Spells per Day</t>
  </si>
  <si>
    <t>Bastard Sword +1, 1-handed</t>
  </si>
  <si>
    <t>Anklet of Translocation</t>
  </si>
  <si>
    <t>Crystal of Arrow Deflection, Least</t>
  </si>
  <si>
    <t>MIC p. 25</t>
  </si>
  <si>
    <r>
      <t xml:space="preserve">Potion of </t>
    </r>
    <r>
      <rPr>
        <i/>
        <sz val="12"/>
        <rFont val="Times New Roman"/>
        <family val="1"/>
      </rPr>
      <t>Enlarge Person</t>
    </r>
  </si>
  <si>
    <t>Small Mammal Treats</t>
  </si>
  <si>
    <t>Speak with Animals &amp; Wild Empathy</t>
  </si>
  <si>
    <t>60’ max.</t>
  </si>
  <si>
    <t>Furious Counterstrike</t>
  </si>
  <si>
    <t>Steely Resolve 5</t>
  </si>
  <si>
    <t>Foehammer</t>
  </si>
  <si>
    <t>Shield Block</t>
  </si>
  <si>
    <t>Stone Vise</t>
  </si>
  <si>
    <t>Crusader’s Strike</t>
  </si>
  <si>
    <t>Battle Leader’s Charge</t>
  </si>
  <si>
    <t>Maneuvers</t>
  </si>
  <si>
    <t>Cold Iron Spiked Knuckles</t>
  </si>
  <si>
    <t>Silver Spiked Knuckles</t>
  </si>
  <si>
    <t>Total Spells</t>
  </si>
  <si>
    <t>1d10+1</t>
  </si>
  <si>
    <t>Platinum Coins</t>
  </si>
  <si>
    <t>Shawl</t>
  </si>
  <si>
    <t>Mintary weaving</t>
  </si>
  <si>
    <t>Birdseed Bowl</t>
  </si>
  <si>
    <t>MW Candles</t>
  </si>
  <si>
    <t>Last twice as long</t>
  </si>
  <si>
    <t>Prc &amp; Slsh</t>
  </si>
  <si>
    <t>Attention to spelling &amp; punctuation; consistent use of past tense, third person</t>
  </si>
  <si>
    <r>
      <t xml:space="preserve">Scroll of </t>
    </r>
    <r>
      <rPr>
        <i/>
        <sz val="12"/>
        <rFont val="Times New Roman"/>
        <family val="1"/>
      </rPr>
      <t>Remove Paralysis</t>
    </r>
  </si>
  <si>
    <r>
      <t xml:space="preserve">Scroll of </t>
    </r>
    <r>
      <rPr>
        <i/>
        <sz val="12"/>
        <rFont val="Times New Roman"/>
        <family val="1"/>
      </rPr>
      <t>Shield Other</t>
    </r>
  </si>
  <si>
    <r>
      <t xml:space="preserve">Scroll of </t>
    </r>
    <r>
      <rPr>
        <i/>
        <sz val="12"/>
        <rFont val="Times New Roman"/>
        <family val="1"/>
      </rPr>
      <t>Hide from Undead</t>
    </r>
  </si>
  <si>
    <t>Silver Kukri</t>
  </si>
  <si>
    <t>18-20, x2</t>
  </si>
  <si>
    <r>
      <t xml:space="preserve">Scroll of </t>
    </r>
    <r>
      <rPr>
        <i/>
        <sz val="12"/>
        <rFont val="Times New Roman"/>
        <family val="1"/>
      </rPr>
      <t>Chain of Eyes</t>
    </r>
  </si>
  <si>
    <r>
      <t xml:space="preserve">Scroll of </t>
    </r>
    <r>
      <rPr>
        <i/>
        <sz val="12"/>
        <rFont val="Times New Roman"/>
        <family val="1"/>
      </rPr>
      <t>Devil’s Eye</t>
    </r>
  </si>
  <si>
    <r>
      <t xml:space="preserve">Scroll of </t>
    </r>
    <r>
      <rPr>
        <i/>
        <sz val="12"/>
        <rFont val="Times New Roman"/>
        <family val="1"/>
      </rPr>
      <t>Hold Person</t>
    </r>
  </si>
  <si>
    <t>Bracers of Opportunity</t>
  </si>
  <si>
    <t>warlock 2</t>
  </si>
  <si>
    <t>Warlock Features</t>
  </si>
  <si>
    <t>See the Unseen</t>
  </si>
  <si>
    <t>S</t>
  </si>
  <si>
    <t>Darkvision &amp; See Invisibility</t>
  </si>
  <si>
    <t>For Skill Trick(s)</t>
  </si>
  <si>
    <t>Skill Tricks</t>
  </si>
  <si>
    <t>Extreme Leap</t>
  </si>
  <si>
    <t>Wish List:</t>
  </si>
  <si>
    <t>Touch Attack</t>
  </si>
  <si>
    <t>Healing Belt</t>
  </si>
  <si>
    <t>List of Culprits at Large</t>
  </si>
  <si>
    <t>Updated Highsun, 6 Tarsakh, 2 fugitives left</t>
  </si>
  <si>
    <t>Copy of Arrest Papers for Kid</t>
  </si>
  <si>
    <t>Parchment</t>
  </si>
  <si>
    <t>Copy of contract to kill the members of the Fist of Light</t>
  </si>
  <si>
    <t>LENT TO RADNAR</t>
  </si>
  <si>
    <t>four</t>
  </si>
  <si>
    <t>one</t>
  </si>
  <si>
    <t>þ</t>
  </si>
  <si>
    <r>
      <t xml:space="preserve">+1 </t>
    </r>
    <r>
      <rPr>
        <i/>
        <sz val="13"/>
        <rFont val="Times New Roman"/>
        <family val="1"/>
      </rPr>
      <t>haste</t>
    </r>
  </si>
  <si>
    <t>LENT TO PEPPER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</si>
</sst>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b/>
      <sz val="12"/>
      <color rgb="FF00FF00"/>
      <name val="Times New Roman"/>
      <family val="1"/>
    </font>
    <font>
      <i/>
      <sz val="17"/>
      <name val="Times New Roman"/>
      <family val="1"/>
    </font>
    <font>
      <i/>
      <sz val="18"/>
      <color theme="0"/>
      <name val="Times New Roman"/>
      <family val="1"/>
    </font>
    <font>
      <sz val="13"/>
      <color theme="0"/>
      <name val="Times New Roman"/>
      <family val="1"/>
    </font>
    <font>
      <i/>
      <sz val="18"/>
      <color indexed="20"/>
      <name val="Times New Roman"/>
      <family val="1"/>
    </font>
    <font>
      <sz val="13"/>
      <color indexed="20"/>
      <name val="Times New Roman"/>
      <family val="1"/>
    </font>
    <font>
      <i/>
      <sz val="16"/>
      <name val="Times New Roman"/>
      <family val="1"/>
    </font>
    <font>
      <b/>
      <sz val="13"/>
      <color theme="0"/>
      <name val="Times New Roman"/>
      <family val="1"/>
    </font>
    <font>
      <sz val="13"/>
      <name val="Wingdings"/>
      <charset val="2"/>
    </font>
    <font>
      <b/>
      <i/>
      <sz val="16"/>
      <color theme="0"/>
      <name val="Times New Roman"/>
      <family val="1"/>
    </font>
    <font>
      <sz val="12"/>
      <name val="Wingdings"/>
      <charset val="2"/>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0066FF"/>
        <bgColor indexed="64"/>
      </patternFill>
    </fill>
    <fill>
      <patternFill patternType="solid">
        <fgColor indexed="46"/>
        <bgColor indexed="64"/>
      </patternFill>
    </fill>
    <fill>
      <patternFill patternType="solid">
        <fgColor rgb="FF9999FF"/>
        <bgColor indexed="64"/>
      </patternFill>
    </fill>
    <fill>
      <patternFill patternType="solid">
        <fgColor rgb="FFCC66FF"/>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70">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7" xfId="0" applyFont="1" applyFill="1" applyBorder="1" applyAlignment="1">
      <alignment horizontal="centerContinuous" vertical="center"/>
    </xf>
    <xf numFmtId="0" fontId="35" fillId="2" borderId="64" xfId="0" applyFont="1" applyFill="1" applyBorder="1" applyAlignment="1">
      <alignment horizontal="righ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4"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4" xfId="0" applyFont="1" applyFill="1" applyBorder="1" applyAlignment="1">
      <alignment horizontal="right" vertical="center"/>
    </xf>
    <xf numFmtId="49" fontId="7" fillId="0" borderId="70"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3" xfId="0" applyFont="1" applyBorder="1" applyAlignment="1">
      <alignment horizontal="centerContinuous" vertical="center"/>
    </xf>
    <xf numFmtId="0" fontId="26" fillId="0" borderId="37" xfId="0" applyFont="1" applyFill="1" applyBorder="1" applyAlignment="1">
      <alignment horizontal="centerContinuous" vertical="center"/>
    </xf>
    <xf numFmtId="0" fontId="52"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0" xfId="0" applyFont="1" applyFill="1" applyBorder="1" applyAlignment="1">
      <alignment horizontal="centerContinuous" vertical="center"/>
    </xf>
    <xf numFmtId="0" fontId="7"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8"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1"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4"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 fontId="47" fillId="12" borderId="43" xfId="0" applyNumberFormat="1" applyFont="1" applyFill="1" applyBorder="1" applyAlignment="1">
      <alignment horizontal="center" vertical="center"/>
    </xf>
    <xf numFmtId="164" fontId="2" fillId="0" borderId="43" xfId="0" applyNumberFormat="1" applyFont="1" applyFill="1" applyBorder="1" applyAlignment="1">
      <alignment horizontal="center" vertical="center"/>
    </xf>
    <xf numFmtId="164" fontId="2" fillId="0" borderId="87" xfId="0" applyNumberFormat="1" applyFont="1" applyFill="1" applyBorder="1" applyAlignment="1">
      <alignment horizontal="centerContinuous"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1" xfId="0" applyFont="1" applyFill="1" applyBorder="1" applyAlignment="1">
      <alignment horizontal="center" vertical="center"/>
    </xf>
    <xf numFmtId="1" fontId="2" fillId="0" borderId="41" xfId="0" applyNumberFormat="1" applyFont="1" applyFill="1" applyBorder="1" applyAlignment="1">
      <alignment horizontal="center" vertical="center"/>
    </xf>
    <xf numFmtId="0" fontId="7" fillId="0" borderId="47" xfId="8"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0" fontId="2" fillId="0" borderId="42" xfId="0" applyFont="1" applyBorder="1" applyAlignment="1">
      <alignment horizontal="left" vertical="center" shrinkToFit="1"/>
    </xf>
    <xf numFmtId="1" fontId="47" fillId="12" borderId="41" xfId="0" applyNumberFormat="1" applyFont="1" applyFill="1" applyBorder="1" applyAlignment="1">
      <alignment horizontal="center" vertical="center"/>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7" xfId="0" applyNumberFormat="1" applyFont="1" applyFill="1" applyBorder="1" applyAlignment="1">
      <alignment horizontal="center" vertical="center"/>
    </xf>
    <xf numFmtId="1" fontId="2" fillId="10" borderId="81"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3" xfId="0" applyNumberFormat="1" applyFont="1" applyBorder="1" applyAlignment="1">
      <alignment horizontal="centerContinuous" vertical="center"/>
    </xf>
    <xf numFmtId="0" fontId="2" fillId="0" borderId="94" xfId="0" applyFont="1" applyBorder="1" applyAlignment="1">
      <alignment horizontal="centerContinuous" vertical="center"/>
    </xf>
    <xf numFmtId="0" fontId="5" fillId="0" borderId="4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49" xfId="0" applyNumberFormat="1" applyFont="1" applyFill="1" applyBorder="1" applyAlignment="1">
      <alignment horizontal="center" vertical="center" shrinkToFit="1"/>
    </xf>
    <xf numFmtId="0" fontId="2" fillId="14" borderId="76" xfId="0" applyFont="1" applyFill="1" applyBorder="1" applyAlignment="1">
      <alignment horizontal="center" vertical="center"/>
    </xf>
    <xf numFmtId="0" fontId="2" fillId="14" borderId="46" xfId="0" applyFont="1" applyFill="1" applyBorder="1" applyAlignment="1">
      <alignment horizontal="center" vertical="center"/>
    </xf>
    <xf numFmtId="49" fontId="2" fillId="14" borderId="46" xfId="0" applyNumberFormat="1" applyFont="1" applyFill="1" applyBorder="1" applyAlignment="1">
      <alignment horizontal="center" vertical="center"/>
    </xf>
    <xf numFmtId="0" fontId="2" fillId="14" borderId="45" xfId="0" applyFont="1" applyFill="1" applyBorder="1" applyAlignment="1">
      <alignment horizontal="center" vertical="center"/>
    </xf>
    <xf numFmtId="0" fontId="2" fillId="14" borderId="57" xfId="0" applyFont="1" applyFill="1" applyBorder="1" applyAlignment="1">
      <alignment horizontal="center" vertical="center"/>
    </xf>
    <xf numFmtId="1" fontId="2" fillId="14" borderId="41" xfId="0" applyNumberFormat="1" applyFont="1" applyFill="1" applyBorder="1" applyAlignment="1">
      <alignment horizontal="center" vertical="center"/>
    </xf>
    <xf numFmtId="0" fontId="2" fillId="0" borderId="77" xfId="0" applyFont="1" applyBorder="1" applyAlignment="1">
      <alignment horizontal="center" vertical="center"/>
    </xf>
    <xf numFmtId="49" fontId="2" fillId="0" borderId="41"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2" fillId="0" borderId="42" xfId="0" applyFont="1" applyBorder="1" applyAlignment="1">
      <alignment horizontal="center" vertical="center"/>
    </xf>
    <xf numFmtId="0" fontId="2" fillId="14" borderId="78" xfId="0" applyFont="1" applyFill="1" applyBorder="1" applyAlignment="1">
      <alignment horizontal="center" vertical="center" shrinkToFit="1"/>
    </xf>
    <xf numFmtId="0" fontId="2" fillId="14" borderId="43" xfId="0" applyFont="1" applyFill="1" applyBorder="1" applyAlignment="1">
      <alignment horizontal="center" vertical="center"/>
    </xf>
    <xf numFmtId="49" fontId="2" fillId="14" borderId="43" xfId="0" applyNumberFormat="1" applyFont="1" applyFill="1" applyBorder="1" applyAlignment="1">
      <alignment horizontal="center" vertical="center"/>
    </xf>
    <xf numFmtId="164" fontId="2" fillId="14" borderId="43"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 fontId="5" fillId="0" borderId="41" xfId="0" applyNumberFormat="1" applyFont="1" applyBorder="1" applyAlignment="1">
      <alignment horizontal="center" vertical="center"/>
    </xf>
    <xf numFmtId="1" fontId="2" fillId="14" borderId="43" xfId="0" applyNumberFormat="1" applyFont="1" applyFill="1" applyBorder="1" applyAlignment="1">
      <alignment horizontal="center" vertical="center"/>
    </xf>
    <xf numFmtId="0" fontId="2" fillId="14" borderId="44" xfId="0" quotePrefix="1" applyFont="1" applyFill="1" applyBorder="1" applyAlignment="1">
      <alignment horizontal="center" vertical="center"/>
    </xf>
    <xf numFmtId="1" fontId="2" fillId="14" borderId="50" xfId="0" applyNumberFormat="1" applyFont="1" applyFill="1" applyBorder="1" applyAlignment="1">
      <alignment horizontal="center" vertical="center"/>
    </xf>
    <xf numFmtId="0" fontId="2" fillId="0" borderId="43" xfId="0" quotePrefix="1" applyFont="1" applyBorder="1" applyAlignment="1">
      <alignment horizontal="center" vertical="center"/>
    </xf>
    <xf numFmtId="9" fontId="2" fillId="0" borderId="43" xfId="0" applyNumberFormat="1" applyFont="1" applyBorder="1" applyAlignment="1">
      <alignment horizontal="center" vertical="center"/>
    </xf>
    <xf numFmtId="0" fontId="2" fillId="0" borderId="89" xfId="0" applyFont="1" applyFill="1" applyBorder="1" applyAlignment="1">
      <alignment horizontal="centerContinuous" vertical="center"/>
    </xf>
    <xf numFmtId="0" fontId="5" fillId="0" borderId="75" xfId="0" quotePrefix="1" applyFont="1" applyBorder="1" applyAlignment="1">
      <alignment horizontal="centerContinuous" vertical="center"/>
    </xf>
    <xf numFmtId="0" fontId="49" fillId="0" borderId="33" xfId="0" applyFont="1" applyBorder="1" applyAlignment="1">
      <alignment horizontal="centerContinuous" vertical="center"/>
    </xf>
    <xf numFmtId="0" fontId="50" fillId="0" borderId="33"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4"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95" xfId="0" applyFont="1" applyFill="1" applyBorder="1" applyAlignment="1">
      <alignment horizontal="center" vertical="center"/>
    </xf>
    <xf numFmtId="1" fontId="21" fillId="11" borderId="33" xfId="0" applyNumberFormat="1" applyFont="1" applyFill="1" applyBorder="1" applyAlignment="1">
      <alignment horizontal="center" vertical="center"/>
    </xf>
    <xf numFmtId="1" fontId="2" fillId="0" borderId="81" xfId="0" applyNumberFormat="1" applyFont="1" applyBorder="1" applyAlignment="1">
      <alignment horizontal="center" vertical="center"/>
    </xf>
    <xf numFmtId="0" fontId="2" fillId="0" borderId="82" xfId="0" applyFont="1" applyFill="1" applyBorder="1" applyAlignment="1">
      <alignment horizontal="centerContinuous" vertical="center" shrinkToFit="1"/>
    </xf>
    <xf numFmtId="0" fontId="21" fillId="0" borderId="72" xfId="0" applyFont="1" applyFill="1" applyBorder="1" applyAlignment="1">
      <alignment horizontal="centerContinuous" vertical="center"/>
    </xf>
    <xf numFmtId="0" fontId="21" fillId="0" borderId="58" xfId="0" applyFont="1" applyFill="1" applyBorder="1" applyAlignment="1">
      <alignment horizontal="centerContinuous" vertical="center"/>
    </xf>
    <xf numFmtId="0" fontId="2" fillId="0" borderId="90" xfId="0" applyFont="1" applyFill="1" applyBorder="1" applyAlignment="1">
      <alignment horizontal="center" vertical="center"/>
    </xf>
    <xf numFmtId="0" fontId="2" fillId="0" borderId="73" xfId="0" applyFont="1" applyFill="1" applyBorder="1" applyAlignment="1">
      <alignment horizontal="centerContinuous" vertical="center"/>
    </xf>
    <xf numFmtId="0" fontId="2" fillId="0" borderId="83"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63" xfId="0" applyFont="1" applyFill="1" applyBorder="1" applyAlignment="1">
      <alignment horizontal="centerContinuous" vertical="center"/>
    </xf>
    <xf numFmtId="49" fontId="2" fillId="0" borderId="87"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0" xfId="0" applyNumberFormat="1" applyFont="1" applyBorder="1" applyAlignment="1">
      <alignment horizontal="center" vertical="center"/>
    </xf>
    <xf numFmtId="0" fontId="2" fillId="0" borderId="41" xfId="0" quotePrefix="1" applyFont="1" applyFill="1" applyBorder="1" applyAlignment="1">
      <alignment horizontal="center" vertical="center" wrapText="1"/>
    </xf>
    <xf numFmtId="0" fontId="26" fillId="0" borderId="50" xfId="0" applyFont="1" applyFill="1" applyBorder="1" applyAlignment="1">
      <alignment horizontal="centerContinuous" vertical="center"/>
    </xf>
    <xf numFmtId="0" fontId="52" fillId="0" borderId="37"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2"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90"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NumberFormat="1" applyFont="1" applyFill="1" applyBorder="1" applyAlignment="1">
      <alignment horizontal="center" vertical="center"/>
    </xf>
    <xf numFmtId="0" fontId="45" fillId="12" borderId="38"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5" fillId="0" borderId="48" xfId="0" applyFont="1" applyFill="1" applyBorder="1" applyAlignment="1">
      <alignment horizontal="center" vertical="center"/>
    </xf>
    <xf numFmtId="1" fontId="7" fillId="0" borderId="48"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57" fillId="0" borderId="8" xfId="0" applyFont="1" applyFill="1" applyBorder="1" applyAlignment="1">
      <alignment vertical="center"/>
    </xf>
    <xf numFmtId="0" fontId="7" fillId="0" borderId="47" xfId="0" applyNumberFormat="1" applyFont="1" applyFill="1" applyBorder="1" applyAlignment="1">
      <alignment horizontal="center" vertical="center"/>
    </xf>
    <xf numFmtId="49" fontId="56" fillId="0" borderId="47" xfId="0" applyNumberFormat="1" applyFont="1" applyFill="1" applyBorder="1" applyAlignment="1">
      <alignment horizontal="center" vertical="center"/>
    </xf>
    <xf numFmtId="0" fontId="56" fillId="0" borderId="49" xfId="0" applyNumberFormat="1" applyFont="1" applyFill="1" applyBorder="1" applyAlignment="1">
      <alignment horizontal="center" vertical="center"/>
    </xf>
    <xf numFmtId="0" fontId="57"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2" fillId="12" borderId="47"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4" fillId="0" borderId="50" xfId="0" applyFont="1" applyBorder="1" applyAlignment="1">
      <alignment horizontal="right" vertical="center"/>
    </xf>
    <xf numFmtId="0" fontId="39" fillId="13" borderId="63" xfId="0" applyFont="1" applyFill="1" applyBorder="1" applyAlignment="1">
      <alignment horizontal="center" vertical="center"/>
    </xf>
    <xf numFmtId="0" fontId="39" fillId="13" borderId="43" xfId="0" applyFont="1" applyFill="1" applyBorder="1" applyAlignment="1">
      <alignment horizontal="center" vertical="center"/>
    </xf>
    <xf numFmtId="0" fontId="55" fillId="0" borderId="0" xfId="0" applyFont="1" applyBorder="1" applyAlignment="1">
      <alignment vertical="center"/>
    </xf>
    <xf numFmtId="0" fontId="2" fillId="15" borderId="60" xfId="0" applyFont="1" applyFill="1" applyBorder="1" applyAlignment="1">
      <alignment horizontal="center" vertical="center"/>
    </xf>
    <xf numFmtId="0" fontId="2" fillId="15" borderId="61" xfId="0" applyFont="1" applyFill="1" applyBorder="1" applyAlignment="1">
      <alignment horizontal="center" vertical="center"/>
    </xf>
    <xf numFmtId="0" fontId="2" fillId="15" borderId="41"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4" xfId="0" applyFont="1" applyFill="1" applyBorder="1" applyAlignment="1">
      <alignment horizontal="center" vertical="center"/>
    </xf>
    <xf numFmtId="0" fontId="4" fillId="15" borderId="43" xfId="0" applyFont="1" applyFill="1" applyBorder="1" applyAlignment="1">
      <alignment horizontal="center" vertical="center"/>
    </xf>
    <xf numFmtId="49" fontId="2" fillId="0" borderId="41" xfId="2" applyNumberFormat="1" applyFont="1" applyBorder="1" applyAlignment="1">
      <alignment horizontal="center" vertical="center"/>
    </xf>
    <xf numFmtId="164" fontId="5" fillId="0" borderId="41" xfId="0" applyNumberFormat="1" applyFont="1" applyBorder="1" applyAlignment="1">
      <alignment horizontal="center" vertical="center"/>
    </xf>
    <xf numFmtId="0" fontId="2" fillId="0" borderId="42" xfId="0" quotePrefix="1" applyFont="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7" xfId="0" applyFont="1" applyBorder="1" applyAlignment="1">
      <alignment horizontal="right" vertical="center"/>
    </xf>
    <xf numFmtId="49" fontId="2" fillId="0" borderId="96" xfId="0" applyNumberFormat="1" applyFont="1" applyBorder="1" applyAlignment="1">
      <alignment horizontal="center" vertical="center"/>
    </xf>
    <xf numFmtId="0" fontId="4" fillId="16" borderId="44" xfId="0" applyFont="1" applyFill="1" applyBorder="1" applyAlignment="1">
      <alignment horizontal="center" vertical="center"/>
    </xf>
    <xf numFmtId="49" fontId="2" fillId="16" borderId="60" xfId="0" applyNumberFormat="1" applyFont="1" applyFill="1" applyBorder="1" applyAlignment="1">
      <alignment horizontal="center" vertical="center"/>
    </xf>
    <xf numFmtId="49" fontId="2" fillId="16" borderId="61" xfId="0" applyNumberFormat="1" applyFont="1" applyFill="1" applyBorder="1" applyAlignment="1">
      <alignment horizontal="center" vertical="center"/>
    </xf>
    <xf numFmtId="0" fontId="4" fillId="16" borderId="43"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0" fontId="2" fillId="0" borderId="97" xfId="0" applyFont="1" applyBorder="1" applyAlignment="1">
      <alignment horizontal="center" vertical="center" shrinkToFit="1"/>
    </xf>
    <xf numFmtId="0" fontId="2" fillId="0" borderId="91" xfId="0" applyFont="1" applyFill="1" applyBorder="1" applyAlignment="1">
      <alignment horizontal="center" vertical="center"/>
    </xf>
    <xf numFmtId="49" fontId="2" fillId="0" borderId="91" xfId="0" applyNumberFormat="1" applyFont="1" applyFill="1" applyBorder="1" applyAlignment="1">
      <alignment horizontal="center" vertical="center"/>
    </xf>
    <xf numFmtId="164" fontId="2" fillId="0" borderId="91" xfId="0" applyNumberFormat="1" applyFont="1" applyFill="1" applyBorder="1" applyAlignment="1">
      <alignment horizontal="center" vertical="center"/>
    </xf>
    <xf numFmtId="1" fontId="47" fillId="12" borderId="91" xfId="0" applyNumberFormat="1" applyFont="1" applyFill="1" applyBorder="1" applyAlignment="1">
      <alignment horizontal="center" vertical="center"/>
    </xf>
    <xf numFmtId="1" fontId="2" fillId="0" borderId="91" xfId="0" applyNumberFormat="1" applyFont="1" applyFill="1" applyBorder="1" applyAlignment="1">
      <alignment horizontal="center" vertical="center"/>
    </xf>
    <xf numFmtId="0" fontId="2" fillId="0" borderId="92" xfId="0" quotePrefix="1" applyFont="1" applyFill="1" applyBorder="1" applyAlignment="1">
      <alignment horizontal="center" vertical="center"/>
    </xf>
    <xf numFmtId="0" fontId="2" fillId="14" borderId="78" xfId="0" applyFont="1" applyFill="1" applyBorder="1" applyAlignment="1">
      <alignment horizontal="center" vertical="center"/>
    </xf>
    <xf numFmtId="0" fontId="2" fillId="14" borderId="44" xfId="0" applyFont="1" applyFill="1" applyBorder="1" applyAlignment="1">
      <alignment horizontal="center" vertical="center"/>
    </xf>
    <xf numFmtId="0" fontId="2" fillId="14" borderId="50" xfId="0" applyFont="1" applyFill="1" applyBorder="1" applyAlignment="1">
      <alignment horizontal="center" vertical="center"/>
    </xf>
    <xf numFmtId="164" fontId="2" fillId="0" borderId="50"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8"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2" fontId="5" fillId="0" borderId="41" xfId="0" applyNumberFormat="1" applyFont="1" applyBorder="1" applyAlignment="1">
      <alignment horizontal="center" vertical="center" shrinkToFit="1"/>
    </xf>
    <xf numFmtId="0" fontId="2" fillId="0" borderId="91" xfId="0" applyFont="1" applyBorder="1" applyAlignment="1">
      <alignment horizontal="center" vertical="center"/>
    </xf>
    <xf numFmtId="0" fontId="7" fillId="17" borderId="28" xfId="0" applyNumberFormat="1" applyFont="1" applyFill="1" applyBorder="1" applyAlignment="1">
      <alignment horizontal="center" vertical="center"/>
    </xf>
    <xf numFmtId="0" fontId="60" fillId="0" borderId="0" xfId="0" applyFont="1" applyAlignment="1">
      <alignment horizontal="centerContinuous" vertical="center" wrapText="1"/>
    </xf>
    <xf numFmtId="0" fontId="51" fillId="0" borderId="0" xfId="0" applyFont="1" applyAlignment="1">
      <alignment horizontal="centerContinuous" vertical="center" wrapText="1"/>
    </xf>
    <xf numFmtId="0" fontId="61" fillId="0" borderId="16" xfId="0" applyFont="1" applyBorder="1" applyAlignment="1">
      <alignment horizontal="center"/>
    </xf>
    <xf numFmtId="0" fontId="61" fillId="0" borderId="99" xfId="0" applyFont="1" applyBorder="1" applyAlignment="1">
      <alignment horizontal="center"/>
    </xf>
    <xf numFmtId="0" fontId="61" fillId="0" borderId="100" xfId="0" applyFont="1" applyBorder="1" applyAlignment="1">
      <alignment horizontal="center"/>
    </xf>
    <xf numFmtId="0" fontId="61" fillId="0" borderId="101" xfId="0" applyFont="1" applyBorder="1" applyAlignment="1">
      <alignment horizontal="center"/>
    </xf>
    <xf numFmtId="0" fontId="0" fillId="0" borderId="102" xfId="0" applyBorder="1" applyAlignment="1">
      <alignment horizontal="center"/>
    </xf>
    <xf numFmtId="0" fontId="0" fillId="10" borderId="91" xfId="0" applyFill="1" applyBorder="1" applyAlignment="1">
      <alignment horizontal="center"/>
    </xf>
    <xf numFmtId="0" fontId="0" fillId="10" borderId="92" xfId="0" applyFill="1" applyBorder="1" applyAlignment="1">
      <alignment horizontal="center"/>
    </xf>
    <xf numFmtId="0" fontId="0" fillId="0" borderId="103" xfId="0" applyBorder="1" applyAlignment="1">
      <alignment horizontal="center"/>
    </xf>
    <xf numFmtId="0" fontId="0" fillId="0" borderId="58" xfId="0"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0" borderId="41" xfId="0" applyBorder="1" applyAlignment="1">
      <alignment horizontal="center"/>
    </xf>
    <xf numFmtId="0" fontId="62" fillId="0" borderId="103" xfId="0" applyFont="1" applyBorder="1" applyAlignment="1">
      <alignment horizontal="center"/>
    </xf>
    <xf numFmtId="0" fontId="62" fillId="0" borderId="58" xfId="0" applyFont="1" applyBorder="1" applyAlignment="1">
      <alignment horizontal="center"/>
    </xf>
    <xf numFmtId="0" fontId="0" fillId="0" borderId="104" xfId="0" applyBorder="1" applyAlignment="1">
      <alignment horizontal="center"/>
    </xf>
    <xf numFmtId="0" fontId="0" fillId="0" borderId="6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49" fontId="2" fillId="0" borderId="96" xfId="0" applyNumberFormat="1" applyFont="1" applyBorder="1" applyAlignment="1">
      <alignment horizontal="center"/>
    </xf>
    <xf numFmtId="0" fontId="0" fillId="0" borderId="105" xfId="0" applyBorder="1" applyAlignment="1">
      <alignment horizontal="center"/>
    </xf>
    <xf numFmtId="0" fontId="0" fillId="0" borderId="106"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2" fillId="0" borderId="63" xfId="0" applyFont="1" applyBorder="1" applyAlignment="1">
      <alignment horizontal="center"/>
    </xf>
    <xf numFmtId="0" fontId="7" fillId="0" borderId="36" xfId="0" applyNumberFormat="1" applyFont="1" applyFill="1" applyBorder="1" applyAlignment="1">
      <alignment horizontal="center" vertical="center" wrapText="1"/>
    </xf>
    <xf numFmtId="0" fontId="7" fillId="0" borderId="35" xfId="0" quotePrefix="1" applyNumberFormat="1" applyFont="1" applyFill="1" applyBorder="1" applyAlignment="1">
      <alignment horizontal="center" vertical="center" wrapText="1"/>
    </xf>
    <xf numFmtId="0" fontId="64" fillId="0" borderId="41" xfId="0" applyFont="1" applyBorder="1" applyAlignment="1">
      <alignment horizontal="center" vertical="center"/>
    </xf>
    <xf numFmtId="0" fontId="46" fillId="0" borderId="41" xfId="0" applyFont="1" applyBorder="1" applyAlignment="1">
      <alignment horizontal="center" vertical="center"/>
    </xf>
    <xf numFmtId="0" fontId="5" fillId="0" borderId="4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0" fontId="5" fillId="0" borderId="90"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Border="1" applyAlignment="1">
      <alignment horizontal="center" vertical="center"/>
    </xf>
    <xf numFmtId="0" fontId="2" fillId="0" borderId="0" xfId="0" applyFont="1" applyAlignment="1">
      <alignment horizontal="centerContinuous" vertical="center" shrinkToFit="1"/>
    </xf>
    <xf numFmtId="0" fontId="65"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shrinkToFit="1"/>
    </xf>
    <xf numFmtId="0" fontId="5" fillId="0" borderId="91" xfId="0" applyFont="1" applyBorder="1" applyAlignment="1">
      <alignment horizontal="left" vertical="center"/>
    </xf>
    <xf numFmtId="0" fontId="5" fillId="0" borderId="92" xfId="0" applyFont="1" applyBorder="1" applyAlignment="1">
      <alignment horizontal="left" vertical="center" shrinkToFit="1"/>
    </xf>
    <xf numFmtId="1" fontId="7" fillId="14" borderId="27" xfId="0" applyNumberFormat="1" applyFont="1" applyFill="1" applyBorder="1" applyAlignment="1">
      <alignment horizontal="center" vertical="center"/>
    </xf>
    <xf numFmtId="1" fontId="7" fillId="14" borderId="48" xfId="0" applyNumberFormat="1" applyFont="1" applyFill="1" applyBorder="1" applyAlignment="1">
      <alignment horizontal="center" vertical="center"/>
    </xf>
    <xf numFmtId="0" fontId="2" fillId="0" borderId="91" xfId="0" applyFont="1" applyBorder="1" applyAlignment="1">
      <alignment horizontal="left" vertical="center"/>
    </xf>
    <xf numFmtId="0" fontId="7" fillId="9" borderId="28" xfId="0" applyNumberFormat="1" applyFont="1" applyFill="1" applyBorder="1" applyAlignment="1">
      <alignment horizontal="center" vertical="center"/>
    </xf>
    <xf numFmtId="0" fontId="66" fillId="11" borderId="33" xfId="0" applyFont="1" applyFill="1" applyBorder="1" applyAlignment="1">
      <alignment horizontal="centerContinuous" vertical="center"/>
    </xf>
    <xf numFmtId="0" fontId="67" fillId="11" borderId="57" xfId="0" applyFont="1" applyFill="1" applyBorder="1" applyAlignment="1">
      <alignment horizontal="centerContinuous" vertical="center"/>
    </xf>
    <xf numFmtId="0" fontId="66" fillId="18" borderId="33" xfId="0" applyFont="1" applyFill="1" applyBorder="1" applyAlignment="1">
      <alignment horizontal="centerContinuous" vertical="center"/>
    </xf>
    <xf numFmtId="0" fontId="67" fillId="18" borderId="37" xfId="0" applyFont="1" applyFill="1" applyBorder="1" applyAlignment="1">
      <alignment horizontal="centerContinuous" vertical="center"/>
    </xf>
    <xf numFmtId="0" fontId="67" fillId="18" borderId="50" xfId="0" applyFont="1" applyFill="1" applyBorder="1" applyAlignment="1">
      <alignment horizontal="centerContinuous" vertical="center"/>
    </xf>
    <xf numFmtId="165" fontId="2" fillId="0" borderId="0" xfId="0" applyNumberFormat="1" applyFont="1" applyAlignment="1">
      <alignment horizontal="center" vertical="center"/>
    </xf>
    <xf numFmtId="0" fontId="52" fillId="0" borderId="81" xfId="0" applyFont="1" applyFill="1" applyBorder="1" applyAlignment="1">
      <alignment horizontal="center" vertical="center" shrinkToFit="1"/>
    </xf>
    <xf numFmtId="0" fontId="69" fillId="0" borderId="1" xfId="0" applyFont="1" applyBorder="1" applyAlignment="1">
      <alignment horizontal="center" vertical="center" shrinkToFit="1"/>
    </xf>
    <xf numFmtId="0" fontId="7" fillId="0" borderId="27" xfId="0" applyFont="1" applyBorder="1" applyAlignment="1">
      <alignment horizontal="center" vertical="center" shrinkToFit="1"/>
    </xf>
    <xf numFmtId="0" fontId="69" fillId="0" borderId="8" xfId="0"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68" fillId="0" borderId="25" xfId="0" applyFont="1" applyBorder="1" applyAlignment="1">
      <alignment horizontal="centerContinuous"/>
    </xf>
    <xf numFmtId="0" fontId="16" fillId="0" borderId="0" xfId="0" applyFont="1" applyAlignment="1">
      <alignment horizontal="centerContinuous"/>
    </xf>
    <xf numFmtId="0" fontId="2" fillId="0" borderId="0" xfId="0" applyFont="1" applyAlignment="1"/>
    <xf numFmtId="0" fontId="4" fillId="0" borderId="0" xfId="0" applyFont="1" applyAlignment="1"/>
    <xf numFmtId="0" fontId="7" fillId="0" borderId="27" xfId="0" applyFont="1" applyBorder="1" applyAlignment="1">
      <alignment horizontal="center" vertical="center"/>
    </xf>
    <xf numFmtId="49" fontId="7" fillId="0" borderId="29" xfId="0" applyNumberFormat="1" applyFont="1" applyBorder="1" applyAlignment="1">
      <alignment horizontal="center" vertical="center"/>
    </xf>
    <xf numFmtId="0" fontId="7" fillId="0" borderId="47" xfId="0" applyFont="1" applyBorder="1" applyAlignment="1">
      <alignment horizontal="center" vertical="center"/>
    </xf>
    <xf numFmtId="0" fontId="7" fillId="0" borderId="36" xfId="0" quotePrefix="1" applyFont="1" applyBorder="1" applyAlignment="1">
      <alignment horizontal="center" vertical="center"/>
    </xf>
    <xf numFmtId="0" fontId="7" fillId="0" borderId="0" xfId="0" applyFont="1" applyAlignment="1">
      <alignment horizontal="center"/>
    </xf>
    <xf numFmtId="9" fontId="7" fillId="0" borderId="0" xfId="2" applyFont="1" applyFill="1" applyBorder="1" applyAlignment="1">
      <alignment horizontal="center"/>
    </xf>
    <xf numFmtId="0" fontId="7" fillId="0" borderId="0" xfId="0" applyFont="1" applyAlignment="1"/>
    <xf numFmtId="0" fontId="4" fillId="0" borderId="0" xfId="0" applyFont="1" applyAlignment="1">
      <alignment horizontal="right"/>
    </xf>
    <xf numFmtId="0" fontId="2" fillId="0" borderId="0" xfId="0" applyFont="1" applyAlignment="1">
      <alignment horizontal="left"/>
    </xf>
    <xf numFmtId="0" fontId="70" fillId="0" borderId="107" xfId="0" applyFont="1" applyBorder="1" applyAlignment="1">
      <alignment horizontal="centerContinuous" vertical="center"/>
    </xf>
    <xf numFmtId="0" fontId="6" fillId="0" borderId="108" xfId="0" applyFont="1" applyBorder="1" applyAlignment="1">
      <alignment horizontal="centerContinuous" vertical="center"/>
    </xf>
    <xf numFmtId="0" fontId="6" fillId="0" borderId="109" xfId="0" applyFont="1" applyBorder="1" applyAlignment="1">
      <alignment horizontal="centerContinuous" vertical="center"/>
    </xf>
    <xf numFmtId="0" fontId="71" fillId="12" borderId="34" xfId="0" applyFont="1" applyFill="1" applyBorder="1" applyAlignment="1">
      <alignment horizontal="centerContinuous" vertical="center"/>
    </xf>
    <xf numFmtId="0" fontId="71" fillId="12" borderId="110" xfId="0" applyFont="1" applyFill="1" applyBorder="1" applyAlignment="1">
      <alignment horizontal="centerContinuous" vertical="center"/>
    </xf>
    <xf numFmtId="0" fontId="71" fillId="12" borderId="111" xfId="0" applyFont="1" applyFill="1" applyBorder="1" applyAlignment="1">
      <alignment horizontal="center" vertical="center"/>
    </xf>
    <xf numFmtId="0" fontId="71" fillId="12" borderId="112" xfId="0" applyFont="1" applyFill="1" applyBorder="1" applyAlignment="1">
      <alignment horizontal="centerContinuous" vertical="center"/>
    </xf>
    <xf numFmtId="0" fontId="7" fillId="0" borderId="113" xfId="0" applyFont="1" applyBorder="1" applyAlignment="1">
      <alignment horizontal="center" vertical="center"/>
    </xf>
    <xf numFmtId="0" fontId="7" fillId="0" borderId="114" xfId="0" applyFont="1" applyBorder="1" applyAlignment="1">
      <alignment horizontal="centerContinuous" vertical="center"/>
    </xf>
    <xf numFmtId="49" fontId="7" fillId="0" borderId="115" xfId="0" applyNumberFormat="1" applyFont="1" applyBorder="1" applyAlignment="1">
      <alignment horizontal="center" vertical="center"/>
    </xf>
    <xf numFmtId="0" fontId="72" fillId="8" borderId="116" xfId="2" applyNumberFormat="1" applyFont="1" applyFill="1" applyBorder="1" applyAlignment="1">
      <alignment horizontal="centerContinuous" vertical="center" shrinkToFit="1"/>
    </xf>
    <xf numFmtId="0" fontId="7" fillId="0" borderId="1" xfId="0" applyFont="1" applyBorder="1" applyAlignment="1">
      <alignment horizontal="center" vertical="center"/>
    </xf>
    <xf numFmtId="0" fontId="7" fillId="0" borderId="28" xfId="0" applyFont="1" applyBorder="1" applyAlignment="1">
      <alignment horizontal="centerContinuous" vertical="center"/>
    </xf>
    <xf numFmtId="49" fontId="7" fillId="0" borderId="27" xfId="0" applyNumberFormat="1" applyFont="1" applyBorder="1" applyAlignment="1">
      <alignment horizontal="center" vertical="center"/>
    </xf>
    <xf numFmtId="0" fontId="72" fillId="8" borderId="2" xfId="2" applyNumberFormat="1" applyFont="1" applyFill="1" applyBorder="1" applyAlignment="1">
      <alignment horizontal="centerContinuous" vertical="center" shrinkToFit="1"/>
    </xf>
    <xf numFmtId="0" fontId="7" fillId="0" borderId="8" xfId="0" applyFont="1" applyBorder="1" applyAlignment="1">
      <alignment horizontal="center" vertical="center"/>
    </xf>
    <xf numFmtId="0" fontId="7" fillId="0" borderId="49" xfId="0" applyFont="1" applyBorder="1" applyAlignment="1">
      <alignment horizontal="centerContinuous" vertical="center"/>
    </xf>
    <xf numFmtId="49" fontId="7" fillId="0" borderId="47" xfId="0" applyNumberFormat="1" applyFont="1" applyBorder="1" applyAlignment="1">
      <alignment horizontal="center" vertical="center"/>
    </xf>
    <xf numFmtId="0" fontId="72" fillId="8" borderId="10" xfId="2" applyNumberFormat="1" applyFont="1" applyFill="1" applyBorder="1" applyAlignment="1">
      <alignment horizontal="centerContinuous" vertical="center" shrinkToFit="1"/>
    </xf>
    <xf numFmtId="0" fontId="2" fillId="0" borderId="118" xfId="0" applyFont="1" applyFill="1" applyBorder="1" applyAlignment="1">
      <alignment horizontal="centerContinuous" vertical="center" shrinkToFit="1"/>
    </xf>
    <xf numFmtId="0" fontId="21" fillId="0" borderId="88" xfId="0" applyFont="1" applyFill="1" applyBorder="1" applyAlignment="1">
      <alignment horizontal="centerContinuous" vertical="center"/>
    </xf>
    <xf numFmtId="0" fontId="21" fillId="0" borderId="106" xfId="0" applyFont="1" applyFill="1" applyBorder="1" applyAlignment="1">
      <alignment horizontal="centerContinuous" vertical="center"/>
    </xf>
    <xf numFmtId="0" fontId="2" fillId="0" borderId="119" xfId="0" applyFont="1" applyFill="1" applyBorder="1" applyAlignment="1">
      <alignment horizontal="center" vertical="center"/>
    </xf>
    <xf numFmtId="0" fontId="2" fillId="0" borderId="79" xfId="0" applyFont="1" applyFill="1" applyBorder="1" applyAlignment="1">
      <alignment horizontal="center" vertical="center"/>
    </xf>
    <xf numFmtId="1" fontId="2" fillId="20" borderId="81" xfId="0" applyNumberFormat="1" applyFont="1" applyFill="1" applyBorder="1" applyAlignment="1">
      <alignment horizontal="center" vertical="center"/>
    </xf>
    <xf numFmtId="0" fontId="2" fillId="20" borderId="120" xfId="0" applyFont="1" applyFill="1" applyBorder="1" applyAlignment="1">
      <alignment horizontal="center" vertical="center"/>
    </xf>
    <xf numFmtId="49" fontId="2" fillId="20" borderId="79" xfId="0" applyNumberFormat="1" applyFont="1" applyFill="1" applyBorder="1" applyAlignment="1">
      <alignment horizontal="center" vertical="center"/>
    </xf>
    <xf numFmtId="0" fontId="2" fillId="20" borderId="79" xfId="0" applyFont="1" applyFill="1" applyBorder="1" applyAlignment="1">
      <alignment horizontal="center" vertical="center"/>
    </xf>
    <xf numFmtId="164" fontId="2" fillId="20" borderId="79" xfId="0" applyNumberFormat="1" applyFont="1" applyFill="1" applyBorder="1" applyAlignment="1">
      <alignment horizontal="center" vertical="center"/>
    </xf>
    <xf numFmtId="1" fontId="2" fillId="20" borderId="79" xfId="0" applyNumberFormat="1" applyFont="1" applyFill="1" applyBorder="1" applyAlignment="1">
      <alignment horizontal="center" vertical="center"/>
    </xf>
    <xf numFmtId="0" fontId="2" fillId="20" borderId="80" xfId="0" applyFont="1" applyFill="1" applyBorder="1" applyAlignment="1">
      <alignment horizontal="center" vertical="center"/>
    </xf>
    <xf numFmtId="0" fontId="4" fillId="20" borderId="79" xfId="0" applyFont="1" applyFill="1" applyBorder="1" applyAlignment="1">
      <alignment horizontal="center" vertical="center"/>
    </xf>
    <xf numFmtId="0" fontId="67" fillId="11" borderId="121" xfId="0" applyFont="1" applyFill="1" applyBorder="1" applyAlignment="1">
      <alignment horizontal="centerContinuous" vertical="center"/>
    </xf>
    <xf numFmtId="0" fontId="67" fillId="11" borderId="56" xfId="0" applyFont="1" applyFill="1" applyBorder="1" applyAlignment="1">
      <alignment horizontal="centerContinuous" vertical="center"/>
    </xf>
    <xf numFmtId="0" fontId="55" fillId="0" borderId="0" xfId="0" applyFont="1" applyBorder="1" applyAlignment="1">
      <alignment horizontal="center" vertical="center"/>
    </xf>
    <xf numFmtId="0" fontId="67" fillId="0" borderId="0" xfId="0" applyFont="1" applyBorder="1" applyAlignment="1">
      <alignment vertical="center"/>
    </xf>
    <xf numFmtId="0" fontId="54" fillId="0" borderId="33" xfId="0" applyFont="1" applyFill="1" applyBorder="1" applyAlignment="1">
      <alignment horizontal="center" vertical="center"/>
    </xf>
    <xf numFmtId="0" fontId="7" fillId="0" borderId="117" xfId="0" applyFont="1" applyBorder="1" applyAlignment="1">
      <alignment horizontal="center" vertical="center"/>
    </xf>
    <xf numFmtId="0" fontId="7" fillId="0" borderId="56" xfId="0" applyFont="1" applyBorder="1" applyAlignment="1">
      <alignment horizontal="center" vertical="center"/>
    </xf>
    <xf numFmtId="0" fontId="67" fillId="0" borderId="0" xfId="0" applyFont="1" applyBorder="1" applyAlignment="1">
      <alignment horizontal="center" vertical="center"/>
    </xf>
    <xf numFmtId="0" fontId="67" fillId="21" borderId="57" xfId="0" applyFont="1" applyFill="1" applyBorder="1" applyAlignment="1">
      <alignment horizontal="centerContinuous" vertical="center"/>
    </xf>
    <xf numFmtId="0" fontId="67" fillId="21" borderId="121" xfId="0" applyFont="1" applyFill="1" applyBorder="1" applyAlignment="1">
      <alignment horizontal="centerContinuous" vertical="center"/>
    </xf>
    <xf numFmtId="0" fontId="73" fillId="21" borderId="122" xfId="0" applyFont="1" applyFill="1" applyBorder="1" applyAlignment="1">
      <alignment horizontal="centerContinuous" vertical="center"/>
    </xf>
    <xf numFmtId="0" fontId="12" fillId="19" borderId="67" xfId="0" applyFont="1" applyFill="1" applyBorder="1" applyAlignment="1">
      <alignment horizontal="centerContinuous" vertical="center"/>
    </xf>
    <xf numFmtId="0" fontId="12" fillId="19" borderId="39" xfId="0" applyFont="1" applyFill="1" applyBorder="1" applyAlignment="1">
      <alignment horizontal="center" vertical="center"/>
    </xf>
    <xf numFmtId="0" fontId="12" fillId="19" borderId="68" xfId="0" applyFont="1" applyFill="1" applyBorder="1" applyAlignment="1">
      <alignment horizontal="centerContinuous" vertical="center"/>
    </xf>
    <xf numFmtId="0" fontId="4" fillId="0" borderId="0" xfId="0" applyFont="1" applyAlignment="1">
      <alignment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5" fillId="0" borderId="46" xfId="0" applyNumberFormat="1" applyFont="1" applyFill="1" applyBorder="1" applyAlignment="1">
      <alignment horizontal="center" vertical="center"/>
    </xf>
    <xf numFmtId="164" fontId="2" fillId="0" borderId="123" xfId="0" applyNumberFormat="1" applyFont="1" applyFill="1" applyBorder="1" applyAlignment="1">
      <alignment horizontal="centerContinuous" vertical="center"/>
    </xf>
    <xf numFmtId="164" fontId="2" fillId="0" borderId="124" xfId="0" applyNumberFormat="1" applyFont="1" applyFill="1" applyBorder="1" applyAlignment="1">
      <alignment horizontal="centerContinuous" vertical="center"/>
    </xf>
    <xf numFmtId="0" fontId="5" fillId="0" borderId="125" xfId="0" quotePrefix="1" applyFont="1" applyBorder="1" applyAlignment="1">
      <alignment horizontal="centerContinuous" vertical="center"/>
    </xf>
    <xf numFmtId="0" fontId="2" fillId="0" borderId="77" xfId="0" applyFont="1" applyFill="1" applyBorder="1" applyAlignment="1">
      <alignment horizontal="center" vertical="center" shrinkToFit="1"/>
    </xf>
    <xf numFmtId="0" fontId="2" fillId="0" borderId="41"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72" xfId="0" applyNumberFormat="1" applyFont="1" applyFill="1" applyBorder="1" applyAlignment="1">
      <alignment horizontal="centerContinuous" vertical="center"/>
    </xf>
    <xf numFmtId="0" fontId="2" fillId="0" borderId="8" xfId="0" applyFont="1" applyFill="1" applyBorder="1" applyAlignment="1">
      <alignment horizontal="centerContinuous" vertical="center"/>
    </xf>
    <xf numFmtId="0" fontId="5" fillId="0" borderId="126" xfId="0" applyFont="1" applyFill="1" applyBorder="1" applyAlignment="1">
      <alignment horizontal="centerContinuous" vertical="center"/>
    </xf>
    <xf numFmtId="0" fontId="5" fillId="0" borderId="127" xfId="0" applyFont="1" applyFill="1" applyBorder="1" applyAlignment="1">
      <alignment horizontal="centerContinuous" vertical="center"/>
    </xf>
    <xf numFmtId="164" fontId="5" fillId="0" borderId="127" xfId="0" applyNumberFormat="1" applyFont="1" applyFill="1" applyBorder="1" applyAlignment="1">
      <alignment horizontal="center" vertical="center"/>
    </xf>
    <xf numFmtId="49" fontId="2" fillId="0" borderId="127" xfId="0" applyNumberFormat="1" applyFont="1" applyFill="1" applyBorder="1" applyAlignment="1">
      <alignment horizontal="center" vertical="center"/>
    </xf>
    <xf numFmtId="49" fontId="2" fillId="0" borderId="128" xfId="0" applyNumberFormat="1" applyFont="1" applyFill="1" applyBorder="1" applyAlignment="1">
      <alignment horizontal="centerContinuous" vertical="center"/>
    </xf>
    <xf numFmtId="0" fontId="5" fillId="0" borderId="10" xfId="0" applyFont="1" applyFill="1" applyBorder="1" applyAlignment="1">
      <alignment horizontal="centerContinuous" vertical="center"/>
    </xf>
    <xf numFmtId="2" fontId="2" fillId="0" borderId="56" xfId="0" applyNumberFormat="1" applyFont="1" applyFill="1" applyBorder="1" applyAlignment="1">
      <alignment horizontal="center" vertical="center"/>
    </xf>
    <xf numFmtId="0" fontId="2" fillId="0" borderId="129" xfId="0" applyFont="1" applyFill="1" applyBorder="1" applyAlignment="1">
      <alignment horizontal="centerContinuous" vertical="center"/>
    </xf>
    <xf numFmtId="0" fontId="2" fillId="0" borderId="130" xfId="0" applyFont="1" applyFill="1" applyBorder="1" applyAlignment="1">
      <alignment horizontal="centerContinuous" vertical="center"/>
    </xf>
    <xf numFmtId="0" fontId="2" fillId="0" borderId="46" xfId="0" applyFont="1" applyFill="1" applyBorder="1" applyAlignment="1">
      <alignment horizontal="centerContinuous" vertical="center"/>
    </xf>
    <xf numFmtId="0" fontId="2" fillId="0" borderId="46"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125" xfId="0" applyFont="1" applyFill="1" applyBorder="1" applyAlignment="1">
      <alignment horizontal="centerContinuous" vertical="center"/>
    </xf>
    <xf numFmtId="0" fontId="2" fillId="0" borderId="57" xfId="0" applyFont="1" applyFill="1" applyBorder="1" applyAlignment="1">
      <alignment horizontal="center" vertical="center"/>
    </xf>
    <xf numFmtId="0" fontId="2" fillId="0" borderId="91" xfId="0" quotePrefix="1" applyFont="1" applyBorder="1" applyAlignment="1">
      <alignment horizontal="center" vertical="center"/>
    </xf>
    <xf numFmtId="164" fontId="5" fillId="0" borderId="91" xfId="0" applyNumberFormat="1" applyFont="1" applyFill="1" applyBorder="1" applyAlignment="1">
      <alignment horizontal="center" vertical="center"/>
    </xf>
    <xf numFmtId="164" fontId="2" fillId="0" borderId="131" xfId="0" applyNumberFormat="1" applyFont="1" applyFill="1" applyBorder="1" applyAlignment="1">
      <alignment horizontal="centerContinuous" vertical="center"/>
    </xf>
    <xf numFmtId="164" fontId="2" fillId="0" borderId="132" xfId="0" applyNumberFormat="1" applyFont="1" applyFill="1" applyBorder="1" applyAlignment="1">
      <alignment horizontal="centerContinuous" vertical="center"/>
    </xf>
    <xf numFmtId="0" fontId="5" fillId="0" borderId="133" xfId="0" quotePrefix="1" applyFont="1" applyBorder="1" applyAlignment="1">
      <alignment horizontal="centerContinuous" vertical="center"/>
    </xf>
    <xf numFmtId="0" fontId="2" fillId="0" borderId="0" xfId="0" applyFont="1" applyBorder="1" applyAlignment="1">
      <alignment horizontal="center" vertical="center"/>
    </xf>
    <xf numFmtId="0" fontId="2" fillId="22" borderId="91" xfId="0" applyFont="1" applyFill="1" applyBorder="1" applyAlignment="1">
      <alignment horizontal="center" vertical="center"/>
    </xf>
    <xf numFmtId="0" fontId="74" fillId="0" borderId="0" xfId="0" applyFont="1" applyBorder="1" applyAlignment="1">
      <alignment vertical="center"/>
    </xf>
    <xf numFmtId="9" fontId="2" fillId="10" borderId="46" xfId="0" applyNumberFormat="1" applyFont="1" applyFill="1" applyBorder="1" applyAlignment="1">
      <alignment horizontal="center" vertical="center"/>
    </xf>
    <xf numFmtId="9" fontId="2" fillId="15" borderId="91" xfId="0" applyNumberFormat="1" applyFont="1" applyFill="1" applyBorder="1" applyAlignment="1">
      <alignment horizontal="center" vertical="center"/>
    </xf>
    <xf numFmtId="0" fontId="66" fillId="24" borderId="33" xfId="0" applyFont="1" applyFill="1" applyBorder="1" applyAlignment="1">
      <alignment horizontal="centerContinuous" vertical="center"/>
    </xf>
    <xf numFmtId="0" fontId="67" fillId="24" borderId="37" xfId="0" applyFont="1" applyFill="1" applyBorder="1" applyAlignment="1">
      <alignment horizontal="centerContinuous" vertical="center"/>
    </xf>
    <xf numFmtId="0" fontId="67" fillId="24" borderId="50" xfId="0" applyFont="1" applyFill="1" applyBorder="1" applyAlignment="1">
      <alignment horizontal="centerContinuous" vertical="center"/>
    </xf>
    <xf numFmtId="0" fontId="14" fillId="17" borderId="1" xfId="0" applyFont="1" applyFill="1" applyBorder="1" applyAlignment="1">
      <alignment vertical="center"/>
    </xf>
    <xf numFmtId="0" fontId="7" fillId="17" borderId="27" xfId="0" applyNumberFormat="1" applyFont="1" applyFill="1" applyBorder="1" applyAlignment="1">
      <alignment horizontal="center" vertical="center"/>
    </xf>
    <xf numFmtId="49" fontId="23" fillId="17" borderId="27" xfId="0" applyNumberFormat="1" applyFont="1" applyFill="1" applyBorder="1" applyAlignment="1">
      <alignment horizontal="center" vertical="center"/>
    </xf>
    <xf numFmtId="0" fontId="23" fillId="17" borderId="28" xfId="0" applyNumberFormat="1" applyFont="1" applyFill="1" applyBorder="1" applyAlignment="1">
      <alignment horizontal="center" vertical="center"/>
    </xf>
    <xf numFmtId="0" fontId="14"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51" fillId="23" borderId="33" xfId="0" applyFont="1" applyFill="1" applyBorder="1" applyAlignment="1">
      <alignment horizontal="centerContinuous" vertical="center"/>
    </xf>
    <xf numFmtId="0" fontId="52" fillId="23" borderId="50" xfId="0"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2" fillId="0" borderId="118" xfId="0" applyFont="1" applyBorder="1" applyAlignment="1">
      <alignment horizontal="center" vertical="center" shrinkToFit="1"/>
    </xf>
    <xf numFmtId="1" fontId="2" fillId="0" borderId="79" xfId="0" applyNumberFormat="1" applyFont="1" applyBorder="1" applyAlignment="1">
      <alignment horizontal="center" vertical="center" shrinkToFit="1"/>
    </xf>
    <xf numFmtId="164" fontId="2" fillId="0" borderId="79" xfId="0" applyNumberFormat="1" applyFont="1" applyBorder="1" applyAlignment="1">
      <alignment horizontal="center" vertical="center" shrinkToFit="1"/>
    </xf>
    <xf numFmtId="0" fontId="2" fillId="0" borderId="119" xfId="0" applyFont="1" applyBorder="1" applyAlignment="1">
      <alignment horizontal="left" vertical="center"/>
    </xf>
    <xf numFmtId="0" fontId="2" fillId="0" borderId="80" xfId="0" applyFont="1" applyBorder="1" applyAlignment="1">
      <alignment horizontal="left" vertical="center" shrinkToFit="1"/>
    </xf>
    <xf numFmtId="1" fontId="2" fillId="0" borderId="81" xfId="0" applyNumberFormat="1" applyFont="1" applyBorder="1" applyAlignment="1">
      <alignment horizontal="center" vertical="center" shrinkToFit="1"/>
    </xf>
    <xf numFmtId="0" fontId="2" fillId="10" borderId="82" xfId="0" applyFont="1" applyFill="1" applyBorder="1" applyAlignment="1">
      <alignment horizontal="center" vertical="center" shrinkToFit="1"/>
    </xf>
    <xf numFmtId="1" fontId="2" fillId="10" borderId="41" xfId="0" applyNumberFormat="1" applyFont="1" applyFill="1" applyBorder="1" applyAlignment="1">
      <alignment horizontal="center" vertical="center" shrinkToFit="1"/>
    </xf>
    <xf numFmtId="164" fontId="2" fillId="10" borderId="41" xfId="0" applyNumberFormat="1" applyFont="1" applyFill="1" applyBorder="1" applyAlignment="1">
      <alignment horizontal="center" vertical="center" shrinkToFit="1"/>
    </xf>
    <xf numFmtId="0" fontId="2" fillId="10" borderId="90" xfId="0" applyFont="1" applyFill="1" applyBorder="1" applyAlignment="1">
      <alignment horizontal="left" vertical="center"/>
    </xf>
    <xf numFmtId="0" fontId="2" fillId="10" borderId="42" xfId="0" applyFont="1" applyFill="1" applyBorder="1" applyAlignment="1">
      <alignment horizontal="left" vertical="center" shrinkToFit="1"/>
    </xf>
    <xf numFmtId="0" fontId="2" fillId="10" borderId="97" xfId="0" applyFont="1" applyFill="1" applyBorder="1" applyAlignment="1">
      <alignment horizontal="center" vertical="center" shrinkToFit="1"/>
    </xf>
    <xf numFmtId="0" fontId="2" fillId="10" borderId="91" xfId="0" applyFont="1" applyFill="1" applyBorder="1" applyAlignment="1">
      <alignment horizontal="center" vertical="center"/>
    </xf>
    <xf numFmtId="49" fontId="2" fillId="10" borderId="91" xfId="0" applyNumberFormat="1" applyFont="1" applyFill="1" applyBorder="1" applyAlignment="1">
      <alignment horizontal="center" vertical="center"/>
    </xf>
    <xf numFmtId="164" fontId="2" fillId="10" borderId="91" xfId="0" applyNumberFormat="1" applyFont="1" applyFill="1" applyBorder="1" applyAlignment="1">
      <alignment horizontal="center" vertical="center"/>
    </xf>
    <xf numFmtId="1" fontId="2" fillId="10" borderId="91" xfId="0" applyNumberFormat="1" applyFont="1" applyFill="1" applyBorder="1" applyAlignment="1">
      <alignment horizontal="center" vertical="center"/>
    </xf>
    <xf numFmtId="0" fontId="2" fillId="10" borderId="92" xfId="0" quotePrefix="1" applyFont="1" applyFill="1" applyBorder="1" applyAlignment="1">
      <alignment horizontal="center" vertical="center"/>
    </xf>
    <xf numFmtId="0" fontId="7" fillId="22" borderId="29" xfId="0" quotePrefix="1" applyNumberFormat="1" applyFont="1" applyFill="1" applyBorder="1" applyAlignment="1">
      <alignment horizontal="center" vertical="center"/>
    </xf>
    <xf numFmtId="0" fontId="7" fillId="0" borderId="14" xfId="0" applyFont="1" applyFill="1" applyBorder="1" applyAlignment="1">
      <alignment horizontal="center" vertical="center"/>
    </xf>
    <xf numFmtId="1" fontId="7" fillId="0" borderId="85" xfId="0" applyNumberFormat="1" applyFont="1" applyFill="1" applyBorder="1" applyAlignment="1">
      <alignment horizontal="centerContinuous" vertical="center"/>
    </xf>
    <xf numFmtId="0" fontId="2" fillId="0" borderId="86" xfId="0" applyFont="1" applyFill="1" applyBorder="1" applyAlignment="1">
      <alignment horizontal="centerContinuous" vertical="center"/>
    </xf>
    <xf numFmtId="1" fontId="7" fillId="0" borderId="30" xfId="0" applyNumberFormat="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4">
    <dxf>
      <font>
        <b/>
        <i val="0"/>
      </font>
      <fill>
        <patternFill>
          <bgColor rgb="FF0080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008000"/>
      <color rgb="FF0000FF"/>
      <color rgb="FF009900"/>
      <color rgb="FFCCFFCC"/>
      <color rgb="FFCC66FF"/>
      <color rgb="FFFF3300"/>
      <color rgb="FF9999FF"/>
      <color rgb="FF0066FF"/>
      <color rgb="FF99FF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16</xdr:row>
      <xdr:rowOff>7620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17</xdr:row>
      <xdr:rowOff>51434</xdr:rowOff>
    </xdr:from>
    <xdr:to>
      <xdr:col>6</xdr:col>
      <xdr:colOff>1261110</xdr:colOff>
      <xdr:row>63</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Character Background: </a:t>
          </a:r>
          <a:r>
            <a:rPr lang="en-US" sz="1100">
              <a:effectLst/>
              <a:latin typeface="Times New Roman" panose="02020603050405020304" pitchFamily="18" charset="0"/>
              <a:ea typeface="+mn-ea"/>
              <a:cs typeface="Times New Roman" panose="02020603050405020304" pitchFamily="18" charset="0"/>
            </a:rPr>
            <a:t>Artisan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Transition: </a:t>
          </a:r>
          <a:r>
            <a:rPr lang="en-US" sz="1100">
              <a:effectLst/>
              <a:latin typeface="Times New Roman" panose="02020603050405020304" pitchFamily="18" charset="0"/>
              <a:ea typeface="+mn-ea"/>
              <a:cs typeface="Times New Roman" panose="02020603050405020304" pitchFamily="18" charset="0"/>
            </a:rPr>
            <a:t>Felt the calling when a traveling priest (cleric) of a warrior goddess (Mayaheine) came through, and left home to travel with him, to learn how to use the gifts I was being given.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Roleplaying: </a:t>
          </a:r>
          <a:r>
            <a:rPr lang="en-US" sz="1100">
              <a:effectLst/>
              <a:latin typeface="Times New Roman" panose="02020603050405020304" pitchFamily="18" charset="0"/>
              <a:ea typeface="+mn-ea"/>
              <a:cs typeface="Times New Roman" panose="02020603050405020304" pitchFamily="18" charset="0"/>
            </a:rPr>
            <a:t>I do try to work my weaponsmithing skill into the narrative.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Personality Archetype: </a:t>
          </a:r>
          <a:r>
            <a:rPr lang="en-US" sz="1100">
              <a:effectLst/>
              <a:latin typeface="Times New Roman" panose="02020603050405020304" pitchFamily="18" charset="0"/>
              <a:ea typeface="+mn-ea"/>
              <a:cs typeface="Times New Roman" panose="02020603050405020304" pitchFamily="18" charset="0"/>
            </a:rPr>
            <a:t>Crusader</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“Crush the wererats and spread the word of Mayaheine!”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A crusader serves a cause.  The cause might be noble or heinous, universal or personal.  She could belong to an organization that shares her cause, or she could act as her individual beliefs demand.  Either way, a crusader adventures to further her cause.  The normal motivations for adventuring—wealth, power, fame, personal betterment, excitement—hold scant appeal for a crusader; she is happiest when she is directly serving her cause.  She keeps her party adventuring, since whenever her fellow PCs don’t know what to do next, she is quick to suggest a course of action.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Traits: </a:t>
          </a:r>
          <a:r>
            <a:rPr lang="en-US" sz="1100">
              <a:effectLst/>
              <a:latin typeface="Times New Roman" panose="02020603050405020304" pitchFamily="18" charset="0"/>
              <a:ea typeface="+mn-ea"/>
              <a:cs typeface="Times New Roman" panose="02020603050405020304" pitchFamily="18" charset="0"/>
            </a:rPr>
            <a:t>Bold, patriotic, religious.</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15</xdr:row>
      <xdr:rowOff>15240</xdr:rowOff>
    </xdr:from>
    <xdr:to>
      <xdr:col>6</xdr:col>
      <xdr:colOff>1232535</xdr:colOff>
      <xdr:row>16</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413760"/>
          <a:ext cx="2291715" cy="46291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D6EACDA2-1BFE-4A42-BB36-7ACE1896AAAB}"/>
            </a:ext>
          </a:extLst>
        </xdr:cNvPr>
        <xdr:cNvSpPr>
          <a:spLocks noChangeArrowheads="1"/>
        </xdr:cNvSpPr>
      </xdr:nvSpPr>
      <xdr:spPr bwMode="auto">
        <a:xfrm>
          <a:off x="4671060" y="0"/>
          <a:ext cx="183642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xdr:colOff>
      <xdr:row>6</xdr:row>
      <xdr:rowOff>220980</xdr:rowOff>
    </xdr:from>
    <xdr:to>
      <xdr:col>3</xdr:col>
      <xdr:colOff>312420</xdr:colOff>
      <xdr:row>12</xdr:row>
      <xdr:rowOff>297180</xdr:rowOff>
    </xdr:to>
    <xdr:sp macro="" textlink="">
      <xdr:nvSpPr>
        <xdr:cNvPr id="3" name="Right Brace 2">
          <a:extLst>
            <a:ext uri="{FF2B5EF4-FFF2-40B4-BE49-F238E27FC236}">
              <a16:creationId xmlns:a16="http://schemas.microsoft.com/office/drawing/2014/main" id="{48F8F3A8-379A-4D35-92A2-B9A76E39AC82}"/>
            </a:ext>
          </a:extLst>
        </xdr:cNvPr>
        <xdr:cNvSpPr/>
      </xdr:nvSpPr>
      <xdr:spPr bwMode="auto">
        <a:xfrm>
          <a:off x="5989320" y="1714500"/>
          <a:ext cx="304800" cy="1485900"/>
        </a:xfrm>
        <a:prstGeom prst="rightBrace">
          <a:avLst>
            <a:gd name="adj1" fmla="val 48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274320</xdr:colOff>
      <xdr:row>1</xdr:row>
      <xdr:rowOff>123825</xdr:rowOff>
    </xdr:from>
    <xdr:to>
      <xdr:col>2</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showGridLines="0" tabSelected="1" zoomScaleNormal="100" workbookViewId="0"/>
  </sheetViews>
  <sheetFormatPr defaultColWidth="13" defaultRowHeight="15.6"/>
  <cols>
    <col min="1" max="1" width="14.8984375" style="56" customWidth="1"/>
    <col min="2" max="2" width="10" style="57" customWidth="1"/>
    <col min="3" max="3" width="5.09765625" style="57" customWidth="1"/>
    <col min="4" max="4" width="13.69921875" style="56" bestFit="1" customWidth="1"/>
    <col min="5" max="5" width="10.8984375" style="57" bestFit="1" customWidth="1"/>
    <col min="6" max="6" width="14.69921875" style="56" customWidth="1"/>
    <col min="7" max="7" width="17.09765625" style="57" customWidth="1"/>
    <col min="8" max="16384" width="13" style="15"/>
  </cols>
  <sheetData>
    <row r="1" spans="1:7" ht="29.4" thickTop="1" thickBot="1">
      <c r="A1" s="9" t="s">
        <v>172</v>
      </c>
      <c r="B1" s="10"/>
      <c r="C1" s="11"/>
      <c r="D1" s="12"/>
      <c r="E1" s="13"/>
      <c r="F1" s="12"/>
      <c r="G1" s="14" t="s">
        <v>173</v>
      </c>
    </row>
    <row r="2" spans="1:7" ht="17.399999999999999" thickTop="1">
      <c r="A2" s="16" t="s">
        <v>134</v>
      </c>
      <c r="B2" s="17" t="s">
        <v>111</v>
      </c>
      <c r="C2" s="17"/>
      <c r="D2" s="18" t="s">
        <v>143</v>
      </c>
      <c r="E2" s="19">
        <v>24</v>
      </c>
      <c r="F2" s="20"/>
      <c r="G2" s="21"/>
    </row>
    <row r="3" spans="1:7" ht="16.8">
      <c r="A3" s="16" t="s">
        <v>135</v>
      </c>
      <c r="B3" s="17" t="s">
        <v>166</v>
      </c>
      <c r="C3" s="17"/>
      <c r="D3" s="18" t="s">
        <v>0</v>
      </c>
      <c r="E3" s="19">
        <v>4</v>
      </c>
      <c r="F3" s="18"/>
      <c r="G3" s="21"/>
    </row>
    <row r="4" spans="1:7" ht="16.8">
      <c r="A4" s="16" t="s">
        <v>135</v>
      </c>
      <c r="B4" s="17" t="s">
        <v>221</v>
      </c>
      <c r="C4" s="17"/>
      <c r="D4" s="18" t="s">
        <v>0</v>
      </c>
      <c r="E4" s="19">
        <v>1</v>
      </c>
      <c r="F4" s="18"/>
      <c r="G4" s="21"/>
    </row>
    <row r="5" spans="1:7" ht="16.8">
      <c r="A5" s="16" t="s">
        <v>135</v>
      </c>
      <c r="B5" s="17" t="s">
        <v>310</v>
      </c>
      <c r="C5" s="17"/>
      <c r="D5" s="18" t="s">
        <v>0</v>
      </c>
      <c r="E5" s="19">
        <v>2</v>
      </c>
      <c r="F5" s="18"/>
      <c r="G5" s="21"/>
    </row>
    <row r="6" spans="1:7" ht="16.8">
      <c r="A6" s="16" t="s">
        <v>152</v>
      </c>
      <c r="B6" s="17" t="s">
        <v>186</v>
      </c>
      <c r="C6" s="17"/>
      <c r="D6" s="18" t="s">
        <v>136</v>
      </c>
      <c r="E6" s="19" t="s">
        <v>168</v>
      </c>
      <c r="F6" s="18"/>
      <c r="G6" s="21"/>
    </row>
    <row r="7" spans="1:7" ht="16.8">
      <c r="A7" s="16" t="s">
        <v>153</v>
      </c>
      <c r="B7" s="17" t="s">
        <v>167</v>
      </c>
      <c r="C7" s="17"/>
      <c r="D7" s="18" t="s">
        <v>157</v>
      </c>
      <c r="E7" s="19" t="s">
        <v>169</v>
      </c>
      <c r="F7" s="18"/>
      <c r="G7" s="21"/>
    </row>
    <row r="8" spans="1:7" ht="17.399999999999999" thickBot="1">
      <c r="A8" s="16" t="s">
        <v>154</v>
      </c>
      <c r="B8" s="17" t="s">
        <v>171</v>
      </c>
      <c r="C8" s="17"/>
      <c r="D8" s="18" t="s">
        <v>158</v>
      </c>
      <c r="E8" s="19" t="s">
        <v>170</v>
      </c>
      <c r="F8" s="18"/>
      <c r="G8" s="21"/>
    </row>
    <row r="9" spans="1:7" ht="17.399999999999999" thickTop="1">
      <c r="A9" s="22" t="s">
        <v>155</v>
      </c>
      <c r="B9" s="567">
        <f>3+E4</f>
        <v>4</v>
      </c>
      <c r="C9" s="568"/>
      <c r="D9" s="23" t="s">
        <v>79</v>
      </c>
      <c r="E9" s="24" t="s">
        <v>110</v>
      </c>
      <c r="F9" s="25"/>
      <c r="G9" s="21"/>
    </row>
    <row r="10" spans="1:7" ht="17.399999999999999" thickBot="1">
      <c r="A10" s="143" t="s">
        <v>156</v>
      </c>
      <c r="B10" s="144">
        <f>C12+2</f>
        <v>4</v>
      </c>
      <c r="C10" s="145"/>
      <c r="D10" s="335" t="s">
        <v>225</v>
      </c>
      <c r="E10" s="336">
        <v>28680</v>
      </c>
      <c r="F10" s="25"/>
      <c r="G10" s="21"/>
    </row>
    <row r="11" spans="1:7" ht="17.399999999999999" thickTop="1">
      <c r="A11" s="26" t="s">
        <v>151</v>
      </c>
      <c r="B11" s="566">
        <f>14</f>
        <v>14</v>
      </c>
      <c r="C11" s="27" t="str">
        <f t="shared" ref="C11:C16" si="0">IF(B11&gt;9.9,CONCATENATE("+",ROUNDDOWN((B11-10)/2,0)),ROUNDUP((B11-10)/2,0))</f>
        <v>+2</v>
      </c>
      <c r="D11" s="28" t="s">
        <v>159</v>
      </c>
      <c r="E11" s="115" t="s">
        <v>174</v>
      </c>
      <c r="F11" s="25"/>
      <c r="G11" s="21"/>
    </row>
    <row r="12" spans="1:7" ht="16.8">
      <c r="A12" s="29" t="s">
        <v>150</v>
      </c>
      <c r="B12" s="547">
        <f>14</f>
        <v>14</v>
      </c>
      <c r="C12" s="30" t="str">
        <f t="shared" si="0"/>
        <v>+2</v>
      </c>
      <c r="D12" s="31" t="s">
        <v>160</v>
      </c>
      <c r="E12" s="32">
        <f>SUM(Martial!G3:G28)+SUM(Equipment!C3:C38)+5</f>
        <v>102.53999999999999</v>
      </c>
      <c r="F12" s="25"/>
      <c r="G12" s="21"/>
    </row>
    <row r="13" spans="1:7" ht="16.8">
      <c r="A13" s="33" t="s">
        <v>146</v>
      </c>
      <c r="B13" s="34">
        <v>12</v>
      </c>
      <c r="C13" s="35" t="str">
        <f t="shared" si="0"/>
        <v>+1</v>
      </c>
      <c r="D13" s="31" t="s">
        <v>161</v>
      </c>
      <c r="E13" s="36">
        <f>ROUNDUP(((E3*8)*0.75)+((E4*10)*0.75)+((E5*6)*0.75)+(SUM(E3:E5)*C13),0)</f>
        <v>48</v>
      </c>
      <c r="F13" s="25"/>
      <c r="G13" s="21"/>
    </row>
    <row r="14" spans="1:7" ht="16.8">
      <c r="A14" s="37" t="s">
        <v>148</v>
      </c>
      <c r="B14" s="34">
        <v>14</v>
      </c>
      <c r="C14" s="30" t="str">
        <f t="shared" si="0"/>
        <v>+2</v>
      </c>
      <c r="D14" s="38" t="s">
        <v>162</v>
      </c>
      <c r="E14" s="569">
        <f>10+C12</f>
        <v>12</v>
      </c>
      <c r="F14" s="16"/>
      <c r="G14" s="21"/>
    </row>
    <row r="15" spans="1:7" ht="16.8">
      <c r="A15" s="39" t="s">
        <v>149</v>
      </c>
      <c r="B15" s="34">
        <v>8</v>
      </c>
      <c r="C15" s="30">
        <f t="shared" si="0"/>
        <v>-1</v>
      </c>
      <c r="D15" s="38" t="s">
        <v>163</v>
      </c>
      <c r="E15" s="138">
        <f>E16-C12</f>
        <v>18</v>
      </c>
      <c r="F15" s="25"/>
      <c r="G15" s="21"/>
    </row>
    <row r="16" spans="1:7" ht="17.399999999999999" thickBot="1">
      <c r="A16" s="40" t="s">
        <v>147</v>
      </c>
      <c r="B16" s="309">
        <v>14</v>
      </c>
      <c r="C16" s="41" t="str">
        <f t="shared" si="0"/>
        <v>+2</v>
      </c>
      <c r="D16" s="42" t="s">
        <v>185</v>
      </c>
      <c r="E16" s="124">
        <f>E14+SUM(Martial!B21:B24)</f>
        <v>20</v>
      </c>
      <c r="F16" s="25"/>
      <c r="G16" s="21"/>
    </row>
    <row r="17" spans="1:7" ht="24" thickTop="1" thickBot="1">
      <c r="A17" s="43" t="s">
        <v>18</v>
      </c>
      <c r="B17" s="44"/>
      <c r="C17" s="44"/>
      <c r="D17" s="45"/>
      <c r="E17" s="45"/>
      <c r="F17" s="45"/>
      <c r="G17" s="46"/>
    </row>
    <row r="18" spans="1:7" s="3" customFormat="1" ht="17.399999999999999" thickTop="1">
      <c r="A18" s="47"/>
      <c r="B18" s="48"/>
      <c r="C18" s="48"/>
      <c r="D18" s="48"/>
      <c r="E18" s="48"/>
      <c r="F18" s="48"/>
      <c r="G18" s="49"/>
    </row>
    <row r="19" spans="1:7" s="3" customFormat="1" ht="16.8">
      <c r="A19" s="50"/>
      <c r="B19" s="51"/>
      <c r="C19" s="51"/>
      <c r="D19" s="51"/>
      <c r="E19" s="51"/>
      <c r="F19" s="51"/>
      <c r="G19" s="52"/>
    </row>
    <row r="20" spans="1:7" s="3" customFormat="1" ht="16.8">
      <c r="A20" s="50"/>
      <c r="B20" s="51"/>
      <c r="C20" s="51"/>
      <c r="D20" s="51"/>
      <c r="E20" s="51"/>
      <c r="F20" s="51"/>
      <c r="G20" s="52"/>
    </row>
    <row r="21" spans="1:7" s="3" customFormat="1" ht="16.8">
      <c r="A21" s="50"/>
      <c r="B21" s="51"/>
      <c r="C21" s="51"/>
      <c r="D21" s="51"/>
      <c r="E21" s="51"/>
      <c r="F21" s="51"/>
      <c r="G21" s="52"/>
    </row>
    <row r="22" spans="1:7" s="3" customFormat="1" ht="16.8">
      <c r="A22" s="50"/>
      <c r="B22" s="51"/>
      <c r="C22" s="51"/>
      <c r="D22" s="51"/>
      <c r="E22" s="51"/>
      <c r="F22" s="51"/>
      <c r="G22" s="52"/>
    </row>
    <row r="23" spans="1:7" s="3" customFormat="1" ht="16.8">
      <c r="A23" s="50"/>
      <c r="B23" s="51"/>
      <c r="C23" s="51"/>
      <c r="D23" s="51"/>
      <c r="E23" s="51"/>
      <c r="F23" s="51"/>
      <c r="G23" s="52"/>
    </row>
    <row r="24" spans="1:7" s="3" customFormat="1" ht="16.8">
      <c r="A24" s="50"/>
      <c r="B24" s="51"/>
      <c r="C24" s="51"/>
      <c r="D24" s="51"/>
      <c r="E24" s="51"/>
      <c r="F24" s="51"/>
      <c r="G24" s="52"/>
    </row>
    <row r="25" spans="1:7" s="3" customFormat="1" ht="16.8">
      <c r="A25" s="50"/>
      <c r="B25" s="51"/>
      <c r="C25" s="51"/>
      <c r="D25" s="51"/>
      <c r="E25" s="51"/>
      <c r="F25" s="51"/>
      <c r="G25" s="52"/>
    </row>
    <row r="26" spans="1:7" s="3" customFormat="1" ht="16.8">
      <c r="A26" s="50"/>
      <c r="B26" s="51"/>
      <c r="C26" s="51"/>
      <c r="D26" s="51"/>
      <c r="E26" s="51"/>
      <c r="F26" s="51"/>
      <c r="G26" s="52"/>
    </row>
    <row r="27" spans="1:7" s="3" customFormat="1" ht="16.8">
      <c r="A27" s="50"/>
      <c r="B27" s="51"/>
      <c r="C27" s="51"/>
      <c r="D27" s="51"/>
      <c r="E27" s="51"/>
      <c r="F27" s="51"/>
      <c r="G27" s="52"/>
    </row>
    <row r="28" spans="1:7" s="3" customFormat="1" ht="16.8">
      <c r="A28" s="50"/>
      <c r="B28" s="51"/>
      <c r="C28" s="51"/>
      <c r="D28" s="51"/>
      <c r="E28" s="51"/>
      <c r="F28" s="51"/>
      <c r="G28" s="52"/>
    </row>
    <row r="29" spans="1:7" s="3" customFormat="1" ht="16.8">
      <c r="A29" s="50"/>
      <c r="B29" s="51"/>
      <c r="C29" s="51"/>
      <c r="D29" s="51"/>
      <c r="E29" s="51"/>
      <c r="F29" s="51"/>
      <c r="G29" s="52"/>
    </row>
    <row r="30" spans="1:7" s="3" customFormat="1" ht="16.8">
      <c r="A30" s="50"/>
      <c r="B30" s="51"/>
      <c r="C30" s="51"/>
      <c r="D30" s="51"/>
      <c r="E30" s="51"/>
      <c r="F30" s="51"/>
      <c r="G30" s="52"/>
    </row>
    <row r="31" spans="1:7" s="3" customFormat="1" ht="16.8">
      <c r="A31" s="50"/>
      <c r="B31" s="51"/>
      <c r="C31" s="51"/>
      <c r="D31" s="51"/>
      <c r="E31" s="51"/>
      <c r="F31" s="51"/>
      <c r="G31" s="52"/>
    </row>
    <row r="32" spans="1:7" s="3" customFormat="1" ht="16.8">
      <c r="A32" s="50"/>
      <c r="B32" s="51"/>
      <c r="C32" s="51"/>
      <c r="D32" s="51"/>
      <c r="E32" s="51"/>
      <c r="F32" s="51"/>
      <c r="G32" s="52"/>
    </row>
    <row r="33" spans="1:7" s="3" customFormat="1" ht="16.8">
      <c r="A33" s="50"/>
      <c r="B33" s="51"/>
      <c r="C33" s="51"/>
      <c r="D33" s="51"/>
      <c r="E33" s="51"/>
      <c r="F33" s="51"/>
      <c r="G33" s="52"/>
    </row>
    <row r="34" spans="1:7" s="3" customFormat="1" ht="16.8">
      <c r="A34" s="50"/>
      <c r="B34" s="51"/>
      <c r="C34" s="51"/>
      <c r="D34" s="51"/>
      <c r="E34" s="51"/>
      <c r="F34" s="51"/>
      <c r="G34" s="52"/>
    </row>
    <row r="35" spans="1:7" s="3" customFormat="1" ht="16.8">
      <c r="A35" s="50"/>
      <c r="B35" s="51"/>
      <c r="C35" s="51"/>
      <c r="D35" s="51"/>
      <c r="E35" s="51"/>
      <c r="F35" s="51"/>
      <c r="G35" s="52"/>
    </row>
    <row r="36" spans="1:7" s="3" customFormat="1" ht="16.8">
      <c r="A36" s="50"/>
      <c r="B36" s="51"/>
      <c r="C36" s="51"/>
      <c r="D36" s="51"/>
      <c r="E36" s="51"/>
      <c r="F36" s="51"/>
      <c r="G36" s="52"/>
    </row>
    <row r="37" spans="1:7" s="3" customFormat="1" ht="16.8">
      <c r="A37" s="50"/>
      <c r="B37" s="51"/>
      <c r="C37" s="51"/>
      <c r="D37" s="51"/>
      <c r="E37" s="51"/>
      <c r="F37" s="51"/>
      <c r="G37" s="52"/>
    </row>
    <row r="38" spans="1:7" s="3" customFormat="1" ht="16.8">
      <c r="A38" s="50"/>
      <c r="B38" s="51"/>
      <c r="C38" s="51"/>
      <c r="D38" s="51"/>
      <c r="E38" s="51"/>
      <c r="F38" s="51"/>
      <c r="G38" s="52"/>
    </row>
    <row r="39" spans="1:7" s="3" customFormat="1" ht="16.8">
      <c r="A39" s="50"/>
      <c r="B39" s="51"/>
      <c r="C39" s="51"/>
      <c r="D39" s="51"/>
      <c r="E39" s="51"/>
      <c r="F39" s="51"/>
      <c r="G39" s="52"/>
    </row>
    <row r="40" spans="1:7" s="3" customFormat="1" ht="16.8">
      <c r="A40" s="50"/>
      <c r="B40" s="51"/>
      <c r="C40" s="51"/>
      <c r="D40" s="51"/>
      <c r="E40" s="51"/>
      <c r="F40" s="51"/>
      <c r="G40" s="52"/>
    </row>
    <row r="41" spans="1:7" s="3" customFormat="1" ht="16.8">
      <c r="A41" s="50"/>
      <c r="B41" s="51"/>
      <c r="C41" s="51"/>
      <c r="D41" s="51"/>
      <c r="E41" s="51"/>
      <c r="F41" s="51"/>
      <c r="G41" s="52"/>
    </row>
    <row r="42" spans="1:7" s="3" customFormat="1" ht="16.8">
      <c r="A42" s="50"/>
      <c r="B42" s="51"/>
      <c r="C42" s="51"/>
      <c r="D42" s="51"/>
      <c r="E42" s="51"/>
      <c r="F42" s="51"/>
      <c r="G42" s="52"/>
    </row>
    <row r="43" spans="1:7" s="3" customFormat="1" ht="16.8">
      <c r="A43" s="50"/>
      <c r="B43" s="51"/>
      <c r="C43" s="51"/>
      <c r="D43" s="51"/>
      <c r="E43" s="51"/>
      <c r="F43" s="51"/>
      <c r="G43" s="52"/>
    </row>
    <row r="44" spans="1:7" s="3" customFormat="1" ht="16.8">
      <c r="A44" s="50"/>
      <c r="B44" s="51"/>
      <c r="C44" s="51"/>
      <c r="D44" s="51"/>
      <c r="E44" s="51"/>
      <c r="F44" s="51"/>
      <c r="G44" s="52"/>
    </row>
    <row r="45" spans="1:7" s="3" customFormat="1" ht="16.8">
      <c r="A45" s="50"/>
      <c r="B45" s="51"/>
      <c r="C45" s="51"/>
      <c r="D45" s="51"/>
      <c r="E45" s="51"/>
      <c r="F45" s="51"/>
      <c r="G45" s="52"/>
    </row>
    <row r="46" spans="1:7" s="3" customFormat="1" ht="16.8">
      <c r="A46" s="50"/>
      <c r="B46" s="51"/>
      <c r="C46" s="51"/>
      <c r="D46" s="51"/>
      <c r="E46" s="51"/>
      <c r="F46" s="51"/>
      <c r="G46" s="52"/>
    </row>
    <row r="47" spans="1:7" s="3" customFormat="1" ht="16.8">
      <c r="A47" s="50"/>
      <c r="B47" s="51"/>
      <c r="C47" s="51"/>
      <c r="D47" s="51"/>
      <c r="E47" s="51"/>
      <c r="F47" s="51"/>
      <c r="G47" s="52"/>
    </row>
    <row r="48" spans="1:7" s="3" customFormat="1" ht="16.8">
      <c r="A48" s="50"/>
      <c r="B48" s="51"/>
      <c r="C48" s="51"/>
      <c r="D48" s="51"/>
      <c r="E48" s="51"/>
      <c r="F48" s="51"/>
      <c r="G48" s="52"/>
    </row>
    <row r="49" spans="1:7" s="3" customFormat="1" ht="16.8">
      <c r="A49" s="50"/>
      <c r="B49" s="51"/>
      <c r="C49" s="51"/>
      <c r="D49" s="51"/>
      <c r="E49" s="51"/>
      <c r="F49" s="51"/>
      <c r="G49" s="52"/>
    </row>
    <row r="50" spans="1:7" s="3" customFormat="1" ht="16.8">
      <c r="A50" s="50"/>
      <c r="B50" s="51"/>
      <c r="C50" s="51"/>
      <c r="D50" s="51"/>
      <c r="E50" s="51"/>
      <c r="F50" s="51"/>
      <c r="G50" s="52"/>
    </row>
    <row r="51" spans="1:7" s="3" customFormat="1" ht="16.8">
      <c r="A51" s="50"/>
      <c r="B51" s="51"/>
      <c r="C51" s="51"/>
      <c r="D51" s="51"/>
      <c r="E51" s="51"/>
      <c r="F51" s="51"/>
      <c r="G51" s="52"/>
    </row>
    <row r="52" spans="1:7" s="3" customFormat="1" ht="16.8">
      <c r="A52" s="50"/>
      <c r="B52" s="51"/>
      <c r="C52" s="51"/>
      <c r="D52" s="51"/>
      <c r="E52" s="51"/>
      <c r="F52" s="51"/>
      <c r="G52" s="52"/>
    </row>
    <row r="53" spans="1:7" s="3" customFormat="1" ht="16.8">
      <c r="A53" s="50"/>
      <c r="B53" s="51"/>
      <c r="C53" s="51"/>
      <c r="D53" s="51"/>
      <c r="E53" s="51"/>
      <c r="F53" s="51"/>
      <c r="G53" s="52"/>
    </row>
    <row r="54" spans="1:7" s="3" customFormat="1" ht="16.8">
      <c r="A54" s="50"/>
      <c r="B54" s="51"/>
      <c r="C54" s="51"/>
      <c r="D54" s="51"/>
      <c r="E54" s="51"/>
      <c r="F54" s="51"/>
      <c r="G54" s="52"/>
    </row>
    <row r="55" spans="1:7" s="3" customFormat="1" ht="16.8">
      <c r="A55" s="50"/>
      <c r="B55" s="51"/>
      <c r="C55" s="51"/>
      <c r="D55" s="51"/>
      <c r="E55" s="51"/>
      <c r="F55" s="51"/>
      <c r="G55" s="52"/>
    </row>
    <row r="56" spans="1:7" s="3" customFormat="1" ht="16.8">
      <c r="A56" s="50"/>
      <c r="B56" s="51"/>
      <c r="C56" s="51"/>
      <c r="D56" s="51"/>
      <c r="E56" s="51"/>
      <c r="F56" s="51"/>
      <c r="G56" s="52"/>
    </row>
    <row r="57" spans="1:7" s="3" customFormat="1" ht="16.8">
      <c r="A57" s="50"/>
      <c r="B57" s="51"/>
      <c r="C57" s="51"/>
      <c r="D57" s="51"/>
      <c r="E57" s="51"/>
      <c r="F57" s="51"/>
      <c r="G57" s="52"/>
    </row>
    <row r="58" spans="1:7" s="3" customFormat="1" ht="16.8">
      <c r="A58" s="50"/>
      <c r="B58" s="51"/>
      <c r="C58" s="51"/>
      <c r="D58" s="51"/>
      <c r="E58" s="51"/>
      <c r="F58" s="51"/>
      <c r="G58" s="52"/>
    </row>
    <row r="59" spans="1:7" s="3" customFormat="1" ht="16.8">
      <c r="A59" s="50"/>
      <c r="B59" s="51"/>
      <c r="C59" s="51"/>
      <c r="D59" s="51"/>
      <c r="E59" s="51"/>
      <c r="F59" s="51"/>
      <c r="G59" s="52"/>
    </row>
    <row r="60" spans="1:7" s="3" customFormat="1" ht="16.8">
      <c r="A60" s="50"/>
      <c r="B60" s="51"/>
      <c r="C60" s="51"/>
      <c r="D60" s="51"/>
      <c r="E60" s="51"/>
      <c r="F60" s="51"/>
      <c r="G60" s="52"/>
    </row>
    <row r="61" spans="1:7" s="3" customFormat="1" ht="16.8">
      <c r="A61" s="50"/>
      <c r="B61" s="51"/>
      <c r="C61" s="51"/>
      <c r="D61" s="51"/>
      <c r="E61" s="51"/>
      <c r="F61" s="51"/>
      <c r="G61" s="52"/>
    </row>
    <row r="62" spans="1:7" s="3" customFormat="1" ht="16.8">
      <c r="A62" s="50"/>
      <c r="B62" s="51"/>
      <c r="C62" s="51"/>
      <c r="D62" s="51"/>
      <c r="E62" s="51"/>
      <c r="F62" s="51"/>
      <c r="G62" s="52"/>
    </row>
    <row r="63" spans="1:7" s="3" customFormat="1" ht="16.8">
      <c r="A63" s="50"/>
      <c r="B63" s="51"/>
      <c r="C63" s="51"/>
      <c r="D63" s="51"/>
      <c r="E63" s="51"/>
      <c r="F63" s="51"/>
      <c r="G63" s="52"/>
    </row>
    <row r="64" spans="1:7" ht="17.399999999999999" thickBot="1">
      <c r="A64" s="53"/>
      <c r="B64" s="54"/>
      <c r="C64" s="54"/>
      <c r="D64" s="54"/>
      <c r="E64" s="54"/>
      <c r="F64" s="54"/>
      <c r="G64" s="55"/>
    </row>
    <row r="65" ht="16.2" thickTop="1"/>
  </sheetData>
  <phoneticPr fontId="0" type="noConversion"/>
  <conditionalFormatting sqref="E12">
    <cfRule type="cellIs" dxfId="13" priority="1" operator="greaterThan">
      <formula>116</formula>
    </cfRule>
    <cfRule type="cellIs" dxfId="12"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cols>
    <col min="1" max="1" width="26.8984375" style="56" bestFit="1" customWidth="1"/>
    <col min="2" max="2" width="5.8984375" style="56" bestFit="1" customWidth="1"/>
    <col min="3" max="3" width="11.59765625" style="57" hidden="1" customWidth="1"/>
    <col min="4" max="4" width="5.796875" style="57" hidden="1" customWidth="1"/>
    <col min="5" max="5" width="9.19921875" style="57" bestFit="1" customWidth="1"/>
    <col min="6" max="6" width="7.5" style="57" customWidth="1"/>
    <col min="7" max="7" width="5.8984375" style="65" bestFit="1" customWidth="1"/>
    <col min="8" max="8" width="4.69921875" style="65" bestFit="1" customWidth="1"/>
    <col min="9" max="9" width="6.8984375" style="65" bestFit="1" customWidth="1"/>
    <col min="10" max="10" width="19.69921875" style="56" bestFit="1" customWidth="1"/>
    <col min="11" max="16384" width="13" style="15"/>
  </cols>
  <sheetData>
    <row r="1" spans="1:10" ht="23.4" thickBot="1">
      <c r="A1" s="210" t="s">
        <v>7</v>
      </c>
      <c r="B1" s="58"/>
      <c r="C1" s="58"/>
      <c r="D1" s="58"/>
      <c r="E1" s="58"/>
      <c r="F1" s="58"/>
      <c r="G1" s="59"/>
      <c r="H1" s="59"/>
      <c r="I1" s="59"/>
      <c r="J1" s="58"/>
    </row>
    <row r="2" spans="1:10" s="3" customFormat="1" ht="34.200000000000003" thickBot="1">
      <c r="A2" s="211" t="s">
        <v>109</v>
      </c>
      <c r="B2" s="212" t="s">
        <v>23</v>
      </c>
      <c r="C2" s="212" t="s">
        <v>25</v>
      </c>
      <c r="D2" s="212" t="s">
        <v>22</v>
      </c>
      <c r="E2" s="2" t="s">
        <v>50</v>
      </c>
      <c r="F2" s="2" t="s">
        <v>26</v>
      </c>
      <c r="G2" s="213" t="s">
        <v>52</v>
      </c>
      <c r="H2" s="214" t="s">
        <v>108</v>
      </c>
      <c r="I2" s="213" t="s">
        <v>77</v>
      </c>
      <c r="J2" s="215" t="s">
        <v>75</v>
      </c>
    </row>
    <row r="3" spans="1:10" s="3" customFormat="1" ht="16.8">
      <c r="A3" s="216" t="s">
        <v>55</v>
      </c>
      <c r="B3" s="217">
        <f>4+2+0</f>
        <v>6</v>
      </c>
      <c r="C3" s="218" t="s">
        <v>146</v>
      </c>
      <c r="D3" s="219" t="str">
        <f>VLOOKUP(C3,'Personal File'!$A$11:$C$16,3,FALSE)</f>
        <v>+1</v>
      </c>
      <c r="E3" s="220" t="str">
        <f t="shared" ref="E3:E43" si="0">CONCATENATE(LEFT(C3,3)," (",D3,")")</f>
        <v>Con (+1)</v>
      </c>
      <c r="F3" s="425">
        <v>1</v>
      </c>
      <c r="G3" s="221">
        <f t="shared" ref="G3:G43" si="1">B3+D3+F3</f>
        <v>8</v>
      </c>
      <c r="H3" s="222">
        <f t="shared" ref="H3:H5" ca="1" si="2">RANDBETWEEN(1,20)</f>
        <v>20</v>
      </c>
      <c r="I3" s="221">
        <f ca="1">SUM(G3:H3)</f>
        <v>28</v>
      </c>
      <c r="J3" s="223"/>
    </row>
    <row r="4" spans="1:10" s="3" customFormat="1" ht="16.8">
      <c r="A4" s="224" t="s">
        <v>56</v>
      </c>
      <c r="B4" s="217">
        <f>4+0+0</f>
        <v>4</v>
      </c>
      <c r="C4" s="225" t="s">
        <v>150</v>
      </c>
      <c r="D4" s="219" t="str">
        <f>VLOOKUP(C4,'Personal File'!$A$11:$C$16,3,FALSE)</f>
        <v>+2</v>
      </c>
      <c r="E4" s="226" t="str">
        <f t="shared" si="0"/>
        <v>Dex (+2)</v>
      </c>
      <c r="F4" s="425">
        <v>1</v>
      </c>
      <c r="G4" s="221">
        <f t="shared" si="1"/>
        <v>7</v>
      </c>
      <c r="H4" s="222">
        <f t="shared" ca="1" si="2"/>
        <v>6</v>
      </c>
      <c r="I4" s="221">
        <f ca="1">SUM(G4:H4)</f>
        <v>13</v>
      </c>
      <c r="J4" s="565" t="s">
        <v>388</v>
      </c>
    </row>
    <row r="5" spans="1:10" s="3" customFormat="1" ht="16.8">
      <c r="A5" s="227" t="s">
        <v>57</v>
      </c>
      <c r="B5" s="228">
        <f>4+0+3</f>
        <v>7</v>
      </c>
      <c r="C5" s="229" t="s">
        <v>149</v>
      </c>
      <c r="D5" s="229">
        <f>VLOOKUP(C5,'Personal File'!$A$11:$C$16,3,FALSE)</f>
        <v>-1</v>
      </c>
      <c r="E5" s="230" t="str">
        <f t="shared" si="0"/>
        <v>Wis (-1)</v>
      </c>
      <c r="F5" s="426">
        <f>3+1</f>
        <v>4</v>
      </c>
      <c r="G5" s="231">
        <f t="shared" si="1"/>
        <v>10</v>
      </c>
      <c r="H5" s="232">
        <f t="shared" ca="1" si="2"/>
        <v>14</v>
      </c>
      <c r="I5" s="231">
        <f ca="1">SUM(G5:H5)</f>
        <v>24</v>
      </c>
      <c r="J5" s="233" t="s">
        <v>222</v>
      </c>
    </row>
    <row r="6" spans="1:10" s="60" customFormat="1" ht="16.8">
      <c r="A6" s="234" t="s">
        <v>27</v>
      </c>
      <c r="B6" s="235">
        <v>0</v>
      </c>
      <c r="C6" s="236" t="s">
        <v>148</v>
      </c>
      <c r="D6" s="237" t="str">
        <f>VLOOKUP(C6,'Personal File'!$A$11:$C$16,3,FALSE)</f>
        <v>+2</v>
      </c>
      <c r="E6" s="238" t="str">
        <f t="shared" si="0"/>
        <v>Int (+2)</v>
      </c>
      <c r="F6" s="239" t="s">
        <v>51</v>
      </c>
      <c r="G6" s="240">
        <f t="shared" si="1"/>
        <v>2</v>
      </c>
      <c r="H6" s="222">
        <f ca="1">RANDBETWEEN(1,20)</f>
        <v>3</v>
      </c>
      <c r="I6" s="240">
        <f t="shared" ref="I6:I43" ca="1" si="3">SUM(G6:H6)</f>
        <v>5</v>
      </c>
      <c r="J6" s="223"/>
    </row>
    <row r="7" spans="1:10" s="61" customFormat="1" ht="16.8">
      <c r="A7" s="375" t="s">
        <v>28</v>
      </c>
      <c r="B7" s="245">
        <v>2</v>
      </c>
      <c r="C7" s="376" t="s">
        <v>150</v>
      </c>
      <c r="D7" s="377" t="str">
        <f>VLOOKUP(C7,'Personal File'!$A$11:$C$16,3,FALSE)</f>
        <v>+2</v>
      </c>
      <c r="E7" s="378" t="str">
        <f t="shared" si="0"/>
        <v>Dex (+2)</v>
      </c>
      <c r="F7" s="428">
        <f>Martial!$D$21</f>
        <v>-1</v>
      </c>
      <c r="G7" s="249">
        <f t="shared" si="1"/>
        <v>3</v>
      </c>
      <c r="H7" s="222">
        <f t="shared" ref="H7:H43" ca="1" si="4">RANDBETWEEN(1,20)</f>
        <v>11</v>
      </c>
      <c r="I7" s="249">
        <f t="shared" ca="1" si="3"/>
        <v>14</v>
      </c>
      <c r="J7" s="250"/>
    </row>
    <row r="8" spans="1:10" s="62" customFormat="1" ht="16.8">
      <c r="A8" s="244" t="s">
        <v>29</v>
      </c>
      <c r="B8" s="245">
        <v>5</v>
      </c>
      <c r="C8" s="246" t="s">
        <v>147</v>
      </c>
      <c r="D8" s="247" t="str">
        <f>VLOOKUP(C8,'Personal File'!$A$11:$C$16,3,FALSE)</f>
        <v>+2</v>
      </c>
      <c r="E8" s="248" t="str">
        <f t="shared" si="0"/>
        <v>Cha (+2)</v>
      </c>
      <c r="F8" s="260" t="s">
        <v>51</v>
      </c>
      <c r="G8" s="249">
        <f t="shared" si="1"/>
        <v>7</v>
      </c>
      <c r="H8" s="222">
        <f t="shared" ca="1" si="4"/>
        <v>8</v>
      </c>
      <c r="I8" s="249">
        <f t="shared" ca="1" si="3"/>
        <v>15</v>
      </c>
      <c r="J8" s="250"/>
    </row>
    <row r="9" spans="1:10" s="63" customFormat="1" ht="16.8">
      <c r="A9" s="251" t="s">
        <v>30</v>
      </c>
      <c r="B9" s="235">
        <v>0</v>
      </c>
      <c r="C9" s="252" t="s">
        <v>151</v>
      </c>
      <c r="D9" s="253" t="str">
        <f>VLOOKUP(C9,'Personal File'!$A$11:$C$16,3,FALSE)</f>
        <v>+2</v>
      </c>
      <c r="E9" s="254" t="str">
        <f t="shared" si="0"/>
        <v>Str (+2)</v>
      </c>
      <c r="F9" s="239">
        <f>Martial!$D$21+2</f>
        <v>1</v>
      </c>
      <c r="G9" s="240">
        <f t="shared" si="1"/>
        <v>3</v>
      </c>
      <c r="H9" s="222">
        <f t="shared" ca="1" si="4"/>
        <v>6</v>
      </c>
      <c r="I9" s="240">
        <f t="shared" ca="1" si="3"/>
        <v>9</v>
      </c>
      <c r="J9" s="223" t="s">
        <v>292</v>
      </c>
    </row>
    <row r="10" spans="1:10" s="63" customFormat="1" ht="16.8">
      <c r="A10" s="255" t="s">
        <v>8</v>
      </c>
      <c r="B10" s="256">
        <v>5</v>
      </c>
      <c r="C10" s="257" t="s">
        <v>146</v>
      </c>
      <c r="D10" s="258" t="str">
        <f>VLOOKUP(C10,'Personal File'!$A$11:$C$16,3,FALSE)</f>
        <v>+1</v>
      </c>
      <c r="E10" s="259" t="str">
        <f t="shared" si="0"/>
        <v>Con (+1)</v>
      </c>
      <c r="F10" s="260" t="s">
        <v>51</v>
      </c>
      <c r="G10" s="260">
        <f t="shared" si="1"/>
        <v>6</v>
      </c>
      <c r="H10" s="222">
        <f t="shared" ca="1" si="4"/>
        <v>18</v>
      </c>
      <c r="I10" s="260">
        <f t="shared" ca="1" si="3"/>
        <v>24</v>
      </c>
      <c r="J10" s="261"/>
    </row>
    <row r="11" spans="1:10" s="60" customFormat="1" ht="16.8">
      <c r="A11" s="295" t="s">
        <v>164</v>
      </c>
      <c r="B11" s="245">
        <v>2</v>
      </c>
      <c r="C11" s="296" t="s">
        <v>148</v>
      </c>
      <c r="D11" s="297" t="str">
        <f>VLOOKUP(C11,'Personal File'!$A$11:$C$16,3,FALSE)</f>
        <v>+2</v>
      </c>
      <c r="E11" s="298" t="str">
        <f t="shared" si="0"/>
        <v>Int (+2)</v>
      </c>
      <c r="F11" s="249" t="s">
        <v>223</v>
      </c>
      <c r="G11" s="249">
        <f t="shared" si="1"/>
        <v>6</v>
      </c>
      <c r="H11" s="222">
        <f t="shared" ca="1" si="4"/>
        <v>1</v>
      </c>
      <c r="I11" s="249">
        <f t="shared" ca="1" si="3"/>
        <v>7</v>
      </c>
      <c r="J11" s="250"/>
    </row>
    <row r="12" spans="1:10" s="64" customFormat="1" ht="16.8">
      <c r="A12" s="262" t="s">
        <v>31</v>
      </c>
      <c r="B12" s="263">
        <v>0</v>
      </c>
      <c r="C12" s="264" t="s">
        <v>148</v>
      </c>
      <c r="D12" s="265" t="str">
        <f>VLOOKUP(C12,'Personal File'!$A$11:$C$16,3,FALSE)</f>
        <v>+2</v>
      </c>
      <c r="E12" s="266" t="str">
        <f t="shared" si="0"/>
        <v>Int (+2)</v>
      </c>
      <c r="F12" s="267" t="s">
        <v>51</v>
      </c>
      <c r="G12" s="267">
        <f t="shared" si="1"/>
        <v>2</v>
      </c>
      <c r="H12" s="222">
        <f t="shared" ca="1" si="4"/>
        <v>2</v>
      </c>
      <c r="I12" s="267">
        <f t="shared" ref="I12" ca="1" si="5">SUM(G12:H12)</f>
        <v>4</v>
      </c>
      <c r="J12" s="268"/>
    </row>
    <row r="13" spans="1:10" s="61" customFormat="1" ht="16.8">
      <c r="A13" s="244" t="s">
        <v>32</v>
      </c>
      <c r="B13" s="245">
        <v>8</v>
      </c>
      <c r="C13" s="246" t="s">
        <v>147</v>
      </c>
      <c r="D13" s="247" t="str">
        <f>VLOOKUP(C13,'Personal File'!$A$11:$C$16,3,FALSE)</f>
        <v>+2</v>
      </c>
      <c r="E13" s="248" t="str">
        <f t="shared" si="0"/>
        <v>Cha (+2)</v>
      </c>
      <c r="F13" s="428">
        <f>2+2</f>
        <v>4</v>
      </c>
      <c r="G13" s="249">
        <f t="shared" si="1"/>
        <v>14</v>
      </c>
      <c r="H13" s="222">
        <f t="shared" ca="1" si="4"/>
        <v>1</v>
      </c>
      <c r="I13" s="249">
        <f t="shared" ca="1" si="3"/>
        <v>15</v>
      </c>
      <c r="J13" s="250"/>
    </row>
    <row r="14" spans="1:10" s="61" customFormat="1" ht="16.8">
      <c r="A14" s="262" t="s">
        <v>33</v>
      </c>
      <c r="B14" s="263">
        <v>0</v>
      </c>
      <c r="C14" s="264" t="s">
        <v>148</v>
      </c>
      <c r="D14" s="265" t="str">
        <f>VLOOKUP(C14,'Personal File'!$A$11:$C$16,3,FALSE)</f>
        <v>+2</v>
      </c>
      <c r="E14" s="266" t="str">
        <f t="shared" si="0"/>
        <v>Int (+2)</v>
      </c>
      <c r="F14" s="267" t="s">
        <v>51</v>
      </c>
      <c r="G14" s="267">
        <f t="shared" si="1"/>
        <v>2</v>
      </c>
      <c r="H14" s="222">
        <f t="shared" ca="1" si="4"/>
        <v>10</v>
      </c>
      <c r="I14" s="267">
        <f t="shared" ref="I14" ca="1" si="6">SUM(G14:H14)</f>
        <v>12</v>
      </c>
      <c r="J14" s="268"/>
    </row>
    <row r="15" spans="1:10" s="61" customFormat="1" ht="16.8">
      <c r="A15" s="269" t="s">
        <v>34</v>
      </c>
      <c r="B15" s="235">
        <v>0</v>
      </c>
      <c r="C15" s="270" t="s">
        <v>147</v>
      </c>
      <c r="D15" s="271" t="str">
        <f>VLOOKUP(C15,'Personal File'!$A$11:$C$16,3,FALSE)</f>
        <v>+2</v>
      </c>
      <c r="E15" s="272" t="str">
        <f t="shared" si="0"/>
        <v>Cha (+2)</v>
      </c>
      <c r="F15" s="240" t="s">
        <v>51</v>
      </c>
      <c r="G15" s="240">
        <f t="shared" si="1"/>
        <v>2</v>
      </c>
      <c r="H15" s="222">
        <f t="shared" ca="1" si="4"/>
        <v>18</v>
      </c>
      <c r="I15" s="240">
        <f t="shared" ca="1" si="3"/>
        <v>20</v>
      </c>
      <c r="J15" s="223" t="s">
        <v>323</v>
      </c>
    </row>
    <row r="16" spans="1:10" s="61" customFormat="1" ht="16.8">
      <c r="A16" s="224" t="s">
        <v>35</v>
      </c>
      <c r="B16" s="235">
        <v>0</v>
      </c>
      <c r="C16" s="241" t="s">
        <v>150</v>
      </c>
      <c r="D16" s="242" t="str">
        <f>VLOOKUP(C16,'Personal File'!$A$11:$C$16,3,FALSE)</f>
        <v>+2</v>
      </c>
      <c r="E16" s="243" t="str">
        <f t="shared" si="0"/>
        <v>Dex (+2)</v>
      </c>
      <c r="F16" s="240">
        <f>Martial!$D$21</f>
        <v>-1</v>
      </c>
      <c r="G16" s="240">
        <f t="shared" si="1"/>
        <v>1</v>
      </c>
      <c r="H16" s="222">
        <f t="shared" ca="1" si="4"/>
        <v>14</v>
      </c>
      <c r="I16" s="240">
        <f t="shared" ca="1" si="3"/>
        <v>15</v>
      </c>
      <c r="J16" s="223"/>
    </row>
    <row r="17" spans="1:10" s="61" customFormat="1" ht="16.8">
      <c r="A17" s="273" t="s">
        <v>36</v>
      </c>
      <c r="B17" s="274">
        <v>0</v>
      </c>
      <c r="C17" s="275" t="s">
        <v>148</v>
      </c>
      <c r="D17" s="276" t="str">
        <f>VLOOKUP(C17,'Personal File'!$A$11:$C$16,3,FALSE)</f>
        <v>+2</v>
      </c>
      <c r="E17" s="277" t="str">
        <f t="shared" si="0"/>
        <v>Int (+2)</v>
      </c>
      <c r="F17" s="278" t="s">
        <v>51</v>
      </c>
      <c r="G17" s="278">
        <f t="shared" si="1"/>
        <v>2</v>
      </c>
      <c r="H17" s="222">
        <f t="shared" ca="1" si="4"/>
        <v>9</v>
      </c>
      <c r="I17" s="278">
        <f t="shared" ca="1" si="3"/>
        <v>11</v>
      </c>
      <c r="J17" s="279"/>
    </row>
    <row r="18" spans="1:10" s="61" customFormat="1" ht="16.8">
      <c r="A18" s="269" t="s">
        <v>37</v>
      </c>
      <c r="B18" s="235">
        <v>0</v>
      </c>
      <c r="C18" s="270" t="s">
        <v>147</v>
      </c>
      <c r="D18" s="271" t="str">
        <f>VLOOKUP(C18,'Personal File'!$A$11:$C$16,3,FALSE)</f>
        <v>+2</v>
      </c>
      <c r="E18" s="272" t="str">
        <f t="shared" si="0"/>
        <v>Cha (+2)</v>
      </c>
      <c r="F18" s="240" t="s">
        <v>51</v>
      </c>
      <c r="G18" s="240">
        <f t="shared" si="1"/>
        <v>2</v>
      </c>
      <c r="H18" s="222">
        <f t="shared" ca="1" si="4"/>
        <v>15</v>
      </c>
      <c r="I18" s="240">
        <f t="shared" ca="1" si="3"/>
        <v>17</v>
      </c>
      <c r="J18" s="223"/>
    </row>
    <row r="19" spans="1:10" s="61" customFormat="1" ht="16.8">
      <c r="A19" s="269" t="s">
        <v>10</v>
      </c>
      <c r="B19" s="235">
        <v>0</v>
      </c>
      <c r="C19" s="270" t="s">
        <v>147</v>
      </c>
      <c r="D19" s="271" t="str">
        <f>VLOOKUP(C19,'Personal File'!$A$11:$C$16,3,FALSE)</f>
        <v>+2</v>
      </c>
      <c r="E19" s="272" t="str">
        <f t="shared" si="0"/>
        <v>Cha (+2)</v>
      </c>
      <c r="F19" s="240" t="s">
        <v>51</v>
      </c>
      <c r="G19" s="240">
        <f t="shared" si="1"/>
        <v>2</v>
      </c>
      <c r="H19" s="222">
        <f t="shared" ca="1" si="4"/>
        <v>11</v>
      </c>
      <c r="I19" s="240">
        <f t="shared" ca="1" si="3"/>
        <v>13</v>
      </c>
      <c r="J19" s="223"/>
    </row>
    <row r="20" spans="1:10" s="61" customFormat="1" ht="16.8">
      <c r="A20" s="299" t="s">
        <v>38</v>
      </c>
      <c r="B20" s="245">
        <v>4</v>
      </c>
      <c r="C20" s="292" t="s">
        <v>149</v>
      </c>
      <c r="D20" s="293">
        <f>VLOOKUP(C20,'Personal File'!$A$11:$C$16,3,FALSE)</f>
        <v>-1</v>
      </c>
      <c r="E20" s="294" t="str">
        <f t="shared" si="0"/>
        <v>Wis (-1)</v>
      </c>
      <c r="F20" s="249" t="s">
        <v>223</v>
      </c>
      <c r="G20" s="249">
        <f t="shared" si="1"/>
        <v>5</v>
      </c>
      <c r="H20" s="222">
        <f t="shared" ca="1" si="4"/>
        <v>3</v>
      </c>
      <c r="I20" s="249">
        <f t="shared" ca="1" si="3"/>
        <v>8</v>
      </c>
      <c r="J20" s="250"/>
    </row>
    <row r="21" spans="1:10" s="61" customFormat="1" ht="16.8">
      <c r="A21" s="224" t="s">
        <v>39</v>
      </c>
      <c r="B21" s="235">
        <v>0</v>
      </c>
      <c r="C21" s="241" t="s">
        <v>150</v>
      </c>
      <c r="D21" s="242" t="str">
        <f>VLOOKUP(C21,'Personal File'!$A$11:$C$16,3,FALSE)</f>
        <v>+2</v>
      </c>
      <c r="E21" s="243" t="str">
        <f t="shared" si="0"/>
        <v>Dex (+2)</v>
      </c>
      <c r="F21" s="240">
        <f>Martial!$D$21</f>
        <v>-1</v>
      </c>
      <c r="G21" s="240">
        <f t="shared" si="1"/>
        <v>1</v>
      </c>
      <c r="H21" s="222">
        <f t="shared" ca="1" si="4"/>
        <v>14</v>
      </c>
      <c r="I21" s="240">
        <f t="shared" ca="1" si="3"/>
        <v>15</v>
      </c>
      <c r="J21" s="223"/>
    </row>
    <row r="22" spans="1:10" s="61" customFormat="1" ht="16.8">
      <c r="A22" s="244" t="s">
        <v>40</v>
      </c>
      <c r="B22" s="245">
        <v>3</v>
      </c>
      <c r="C22" s="246" t="s">
        <v>147</v>
      </c>
      <c r="D22" s="247" t="str">
        <f>VLOOKUP(C22,'Personal File'!$A$11:$C$16,3,FALSE)</f>
        <v>+2</v>
      </c>
      <c r="E22" s="248" t="str">
        <f t="shared" si="0"/>
        <v>Cha (+2)</v>
      </c>
      <c r="F22" s="249" t="s">
        <v>223</v>
      </c>
      <c r="G22" s="249">
        <f t="shared" si="1"/>
        <v>7</v>
      </c>
      <c r="H22" s="222">
        <f t="shared" ca="1" si="4"/>
        <v>13</v>
      </c>
      <c r="I22" s="249">
        <f t="shared" ca="1" si="3"/>
        <v>20</v>
      </c>
      <c r="J22" s="250"/>
    </row>
    <row r="23" spans="1:10" s="61" customFormat="1" ht="16.8">
      <c r="A23" s="343" t="s">
        <v>41</v>
      </c>
      <c r="B23" s="245">
        <v>5</v>
      </c>
      <c r="C23" s="344" t="s">
        <v>151</v>
      </c>
      <c r="D23" s="345" t="str">
        <f>VLOOKUP(C23,'Personal File'!$A$11:$C$16,3,FALSE)</f>
        <v>+2</v>
      </c>
      <c r="E23" s="346" t="str">
        <f t="shared" si="0"/>
        <v>Str (+2)</v>
      </c>
      <c r="F23" s="249">
        <f>Martial!$D$21</f>
        <v>-1</v>
      </c>
      <c r="G23" s="249">
        <f t="shared" si="1"/>
        <v>6</v>
      </c>
      <c r="H23" s="222">
        <f t="shared" ca="1" si="4"/>
        <v>4</v>
      </c>
      <c r="I23" s="249">
        <f t="shared" ca="1" si="3"/>
        <v>10</v>
      </c>
      <c r="J23" s="250" t="s">
        <v>292</v>
      </c>
    </row>
    <row r="24" spans="1:10" s="61" customFormat="1" ht="16.8">
      <c r="A24" s="280" t="s">
        <v>117</v>
      </c>
      <c r="B24" s="256">
        <v>1</v>
      </c>
      <c r="C24" s="281" t="s">
        <v>148</v>
      </c>
      <c r="D24" s="282" t="str">
        <f>VLOOKUP(C24,'Personal File'!$A$11:$C$16,3,FALSE)</f>
        <v>+2</v>
      </c>
      <c r="E24" s="283" t="str">
        <f t="shared" si="0"/>
        <v>Int (+2)</v>
      </c>
      <c r="F24" s="249" t="s">
        <v>51</v>
      </c>
      <c r="G24" s="260">
        <f t="shared" si="1"/>
        <v>3</v>
      </c>
      <c r="H24" s="222">
        <f t="shared" ca="1" si="4"/>
        <v>8</v>
      </c>
      <c r="I24" s="260">
        <f t="shared" ca="1" si="3"/>
        <v>11</v>
      </c>
      <c r="J24" s="261"/>
    </row>
    <row r="25" spans="1:10" s="61" customFormat="1" ht="16.8">
      <c r="A25" s="280" t="s">
        <v>294</v>
      </c>
      <c r="B25" s="256">
        <v>1</v>
      </c>
      <c r="C25" s="281" t="s">
        <v>148</v>
      </c>
      <c r="D25" s="282" t="str">
        <f>VLOOKUP(C25,'Personal File'!$A$11:$C$16,3,FALSE)</f>
        <v>+2</v>
      </c>
      <c r="E25" s="283" t="str">
        <f t="shared" ref="E25" si="7">CONCATENATE(LEFT(C25,3)," (",D25,")")</f>
        <v>Int (+2)</v>
      </c>
      <c r="F25" s="249" t="s">
        <v>51</v>
      </c>
      <c r="G25" s="260">
        <f t="shared" ref="G25" si="8">B25+D25+F25</f>
        <v>3</v>
      </c>
      <c r="H25" s="222">
        <f t="shared" ca="1" si="4"/>
        <v>7</v>
      </c>
      <c r="I25" s="260">
        <f t="shared" ref="I25" ca="1" si="9">SUM(G25:H25)</f>
        <v>10</v>
      </c>
      <c r="J25" s="261"/>
    </row>
    <row r="26" spans="1:10" s="61" customFormat="1" ht="16.8">
      <c r="A26" s="280" t="s">
        <v>115</v>
      </c>
      <c r="B26" s="256">
        <v>1</v>
      </c>
      <c r="C26" s="281" t="s">
        <v>148</v>
      </c>
      <c r="D26" s="282" t="str">
        <f>VLOOKUP(C26,'Personal File'!$A$11:$C$16,3,FALSE)</f>
        <v>+2</v>
      </c>
      <c r="E26" s="283" t="str">
        <f t="shared" si="0"/>
        <v>Int (+2)</v>
      </c>
      <c r="F26" s="249" t="s">
        <v>51</v>
      </c>
      <c r="G26" s="260">
        <f t="shared" ref="G26" si="10">B26+D26+F26</f>
        <v>3</v>
      </c>
      <c r="H26" s="222">
        <f t="shared" ca="1" si="4"/>
        <v>17</v>
      </c>
      <c r="I26" s="260">
        <f t="shared" ref="I26" ca="1" si="11">SUM(G26:H26)</f>
        <v>20</v>
      </c>
      <c r="J26" s="261"/>
    </row>
    <row r="27" spans="1:10" s="61" customFormat="1" ht="16.8">
      <c r="A27" s="284" t="s">
        <v>42</v>
      </c>
      <c r="B27" s="235">
        <v>0</v>
      </c>
      <c r="C27" s="285" t="s">
        <v>149</v>
      </c>
      <c r="D27" s="286">
        <f>VLOOKUP(C27,'Personal File'!$A$11:$C$16,3,FALSE)</f>
        <v>-1</v>
      </c>
      <c r="E27" s="287" t="str">
        <f t="shared" si="0"/>
        <v>Wis (-1)</v>
      </c>
      <c r="F27" s="240" t="s">
        <v>51</v>
      </c>
      <c r="G27" s="240">
        <f t="shared" si="1"/>
        <v>-1</v>
      </c>
      <c r="H27" s="222">
        <f t="shared" ca="1" si="4"/>
        <v>12</v>
      </c>
      <c r="I27" s="240">
        <f t="shared" ca="1" si="3"/>
        <v>11</v>
      </c>
      <c r="J27" s="223"/>
    </row>
    <row r="28" spans="1:10" s="61" customFormat="1" ht="16.8">
      <c r="A28" s="224" t="s">
        <v>11</v>
      </c>
      <c r="B28" s="235">
        <v>0</v>
      </c>
      <c r="C28" s="241" t="s">
        <v>150</v>
      </c>
      <c r="D28" s="242" t="str">
        <f>VLOOKUP(C28,'Personal File'!$A$11:$C$16,3,FALSE)</f>
        <v>+2</v>
      </c>
      <c r="E28" s="243" t="str">
        <f t="shared" si="0"/>
        <v>Dex (+2)</v>
      </c>
      <c r="F28" s="240">
        <f>Martial!$D$21</f>
        <v>-1</v>
      </c>
      <c r="G28" s="240">
        <f t="shared" si="1"/>
        <v>1</v>
      </c>
      <c r="H28" s="222">
        <f t="shared" ca="1" si="4"/>
        <v>3</v>
      </c>
      <c r="I28" s="240">
        <f t="shared" ca="1" si="3"/>
        <v>4</v>
      </c>
      <c r="J28" s="223"/>
    </row>
    <row r="29" spans="1:10" s="61" customFormat="1" ht="16.8">
      <c r="A29" s="288" t="s">
        <v>43</v>
      </c>
      <c r="B29" s="263">
        <v>0</v>
      </c>
      <c r="C29" s="289" t="s">
        <v>150</v>
      </c>
      <c r="D29" s="290" t="str">
        <f>VLOOKUP(C29,'Personal File'!$A$11:$C$16,3,FALSE)</f>
        <v>+2</v>
      </c>
      <c r="E29" s="291" t="str">
        <f t="shared" si="0"/>
        <v>Dex (+2)</v>
      </c>
      <c r="F29" s="267" t="s">
        <v>51</v>
      </c>
      <c r="G29" s="267">
        <f t="shared" si="1"/>
        <v>2</v>
      </c>
      <c r="H29" s="222">
        <f t="shared" ca="1" si="4"/>
        <v>12</v>
      </c>
      <c r="I29" s="267">
        <f t="shared" ca="1" si="3"/>
        <v>14</v>
      </c>
      <c r="J29" s="268"/>
    </row>
    <row r="30" spans="1:10" ht="16.8">
      <c r="A30" s="269" t="s">
        <v>116</v>
      </c>
      <c r="B30" s="235">
        <v>0</v>
      </c>
      <c r="C30" s="270" t="s">
        <v>147</v>
      </c>
      <c r="D30" s="271" t="str">
        <f>VLOOKUP(C30,'Personal File'!$A$11:$C$16,3,FALSE)</f>
        <v>+2</v>
      </c>
      <c r="E30" s="272" t="str">
        <f t="shared" si="0"/>
        <v>Cha (+2)</v>
      </c>
      <c r="F30" s="240" t="s">
        <v>51</v>
      </c>
      <c r="G30" s="240">
        <f t="shared" si="1"/>
        <v>2</v>
      </c>
      <c r="H30" s="222">
        <f t="shared" ca="1" si="4"/>
        <v>20</v>
      </c>
      <c r="I30" s="240">
        <f t="shared" ca="1" si="3"/>
        <v>22</v>
      </c>
      <c r="J30" s="223"/>
    </row>
    <row r="31" spans="1:10" ht="16.8">
      <c r="A31" s="269" t="s">
        <v>183</v>
      </c>
      <c r="B31" s="235">
        <v>0</v>
      </c>
      <c r="C31" s="285" t="s">
        <v>149</v>
      </c>
      <c r="D31" s="286">
        <f>VLOOKUP(C31,'Personal File'!$A$11:$C$16,3,FALSE)</f>
        <v>-1</v>
      </c>
      <c r="E31" s="287" t="str">
        <f t="shared" si="0"/>
        <v>Wis (-1)</v>
      </c>
      <c r="F31" s="240" t="s">
        <v>51</v>
      </c>
      <c r="G31" s="240">
        <f t="shared" si="1"/>
        <v>-1</v>
      </c>
      <c r="H31" s="222">
        <f t="shared" ca="1" si="4"/>
        <v>1</v>
      </c>
      <c r="I31" s="240">
        <f t="shared" ref="I31" ca="1" si="12">SUM(G31:H31)</f>
        <v>0</v>
      </c>
      <c r="J31" s="223"/>
    </row>
    <row r="32" spans="1:10" ht="16.8">
      <c r="A32" s="224" t="s">
        <v>12</v>
      </c>
      <c r="B32" s="235">
        <v>0</v>
      </c>
      <c r="C32" s="241" t="s">
        <v>150</v>
      </c>
      <c r="D32" s="242" t="str">
        <f>VLOOKUP(C32,'Personal File'!$A$11:$C$16,3,FALSE)</f>
        <v>+2</v>
      </c>
      <c r="E32" s="243" t="str">
        <f t="shared" si="0"/>
        <v>Dex (+2)</v>
      </c>
      <c r="F32" s="240" t="s">
        <v>51</v>
      </c>
      <c r="G32" s="240">
        <f t="shared" si="1"/>
        <v>2</v>
      </c>
      <c r="H32" s="222">
        <f t="shared" ca="1" si="4"/>
        <v>7</v>
      </c>
      <c r="I32" s="240">
        <f t="shared" ca="1" si="3"/>
        <v>9</v>
      </c>
      <c r="J32" s="223"/>
    </row>
    <row r="33" spans="1:10" ht="16.8">
      <c r="A33" s="234" t="s">
        <v>13</v>
      </c>
      <c r="B33" s="235">
        <v>0</v>
      </c>
      <c r="C33" s="236" t="s">
        <v>148</v>
      </c>
      <c r="D33" s="237" t="str">
        <f>VLOOKUP(C33,'Personal File'!$A$11:$C$16,3,FALSE)</f>
        <v>+2</v>
      </c>
      <c r="E33" s="238" t="str">
        <f t="shared" si="0"/>
        <v>Int (+2)</v>
      </c>
      <c r="F33" s="240" t="s">
        <v>51</v>
      </c>
      <c r="G33" s="240">
        <f t="shared" si="1"/>
        <v>2</v>
      </c>
      <c r="H33" s="222">
        <f t="shared" ca="1" si="4"/>
        <v>13</v>
      </c>
      <c r="I33" s="240">
        <f t="shared" ca="1" si="3"/>
        <v>15</v>
      </c>
      <c r="J33" s="223"/>
    </row>
    <row r="34" spans="1:10" ht="16.8">
      <c r="A34" s="299" t="s">
        <v>44</v>
      </c>
      <c r="B34" s="245">
        <v>7</v>
      </c>
      <c r="C34" s="292" t="s">
        <v>149</v>
      </c>
      <c r="D34" s="293">
        <f>VLOOKUP(C34,'Personal File'!$A$11:$C$16,3,FALSE)</f>
        <v>-1</v>
      </c>
      <c r="E34" s="294" t="str">
        <f t="shared" si="0"/>
        <v>Wis (-1)</v>
      </c>
      <c r="F34" s="249" t="s">
        <v>51</v>
      </c>
      <c r="G34" s="249">
        <f t="shared" si="1"/>
        <v>6</v>
      </c>
      <c r="H34" s="222">
        <f t="shared" ca="1" si="4"/>
        <v>1</v>
      </c>
      <c r="I34" s="249">
        <f t="shared" ca="1" si="3"/>
        <v>7</v>
      </c>
      <c r="J34" s="250"/>
    </row>
    <row r="35" spans="1:10" ht="16.8">
      <c r="A35" s="288" t="s">
        <v>82</v>
      </c>
      <c r="B35" s="263">
        <v>0</v>
      </c>
      <c r="C35" s="289" t="s">
        <v>150</v>
      </c>
      <c r="D35" s="290" t="str">
        <f>VLOOKUP(C35,'Personal File'!$A$11:$C$16,3,FALSE)</f>
        <v>+2</v>
      </c>
      <c r="E35" s="291" t="str">
        <f t="shared" si="0"/>
        <v>Dex (+2)</v>
      </c>
      <c r="F35" s="267">
        <f>Martial!$D$21</f>
        <v>-1</v>
      </c>
      <c r="G35" s="267">
        <f t="shared" si="1"/>
        <v>1</v>
      </c>
      <c r="H35" s="222">
        <f t="shared" ca="1" si="4"/>
        <v>10</v>
      </c>
      <c r="I35" s="267">
        <f t="shared" ref="I35:I36" ca="1" si="13">SUM(G35:H35)</f>
        <v>11</v>
      </c>
      <c r="J35" s="268"/>
    </row>
    <row r="36" spans="1:10" ht="16.8">
      <c r="A36" s="295" t="s">
        <v>257</v>
      </c>
      <c r="B36" s="245">
        <v>1</v>
      </c>
      <c r="C36" s="296" t="s">
        <v>148</v>
      </c>
      <c r="D36" s="297" t="str">
        <f>VLOOKUP(C36,'Personal File'!$A$11:$C$16,3,FALSE)</f>
        <v>+2</v>
      </c>
      <c r="E36" s="298" t="str">
        <f t="shared" si="0"/>
        <v>Int (+2)</v>
      </c>
      <c r="F36" s="249" t="s">
        <v>51</v>
      </c>
      <c r="G36" s="379">
        <f t="shared" si="1"/>
        <v>3</v>
      </c>
      <c r="H36" s="222">
        <f t="shared" ca="1" si="4"/>
        <v>15</v>
      </c>
      <c r="I36" s="379">
        <f t="shared" ca="1" si="13"/>
        <v>18</v>
      </c>
      <c r="J36" s="250" t="s">
        <v>244</v>
      </c>
    </row>
    <row r="37" spans="1:10" ht="16.8">
      <c r="A37" s="295" t="s">
        <v>45</v>
      </c>
      <c r="B37" s="245">
        <v>1</v>
      </c>
      <c r="C37" s="296" t="s">
        <v>148</v>
      </c>
      <c r="D37" s="297" t="str">
        <f>VLOOKUP(C37,'Personal File'!$A$11:$C$16,3,FALSE)</f>
        <v>+2</v>
      </c>
      <c r="E37" s="298" t="str">
        <f t="shared" si="0"/>
        <v>Int (+2)</v>
      </c>
      <c r="F37" s="249" t="s">
        <v>51</v>
      </c>
      <c r="G37" s="249">
        <f t="shared" si="1"/>
        <v>3</v>
      </c>
      <c r="H37" s="222">
        <f t="shared" ca="1" si="4"/>
        <v>7</v>
      </c>
      <c r="I37" s="249">
        <f t="shared" ca="1" si="3"/>
        <v>10</v>
      </c>
      <c r="J37" s="250"/>
    </row>
    <row r="38" spans="1:10" ht="16.8">
      <c r="A38" s="284" t="s">
        <v>46</v>
      </c>
      <c r="B38" s="235">
        <v>0</v>
      </c>
      <c r="C38" s="285" t="s">
        <v>149</v>
      </c>
      <c r="D38" s="286">
        <f>VLOOKUP(C38,'Personal File'!$A$11:$C$16,3,FALSE)</f>
        <v>-1</v>
      </c>
      <c r="E38" s="287" t="str">
        <f t="shared" si="0"/>
        <v>Wis (-1)</v>
      </c>
      <c r="F38" s="240" t="s">
        <v>223</v>
      </c>
      <c r="G38" s="240">
        <f t="shared" si="1"/>
        <v>1</v>
      </c>
      <c r="H38" s="222">
        <f t="shared" ca="1" si="4"/>
        <v>10</v>
      </c>
      <c r="I38" s="240">
        <f t="shared" ca="1" si="3"/>
        <v>11</v>
      </c>
      <c r="J38" s="223"/>
    </row>
    <row r="39" spans="1:10" ht="16.8">
      <c r="A39" s="284" t="s">
        <v>83</v>
      </c>
      <c r="B39" s="235">
        <v>0</v>
      </c>
      <c r="C39" s="285" t="s">
        <v>149</v>
      </c>
      <c r="D39" s="286">
        <f>VLOOKUP(C39,'Personal File'!$A$11:$C$16,3,FALSE)</f>
        <v>-1</v>
      </c>
      <c r="E39" s="287" t="str">
        <f t="shared" si="0"/>
        <v>Wis (-1)</v>
      </c>
      <c r="F39" s="240" t="s">
        <v>51</v>
      </c>
      <c r="G39" s="240">
        <f t="shared" si="1"/>
        <v>-1</v>
      </c>
      <c r="H39" s="222">
        <f t="shared" ca="1" si="4"/>
        <v>6</v>
      </c>
      <c r="I39" s="240">
        <f t="shared" ca="1" si="3"/>
        <v>5</v>
      </c>
      <c r="J39" s="223"/>
    </row>
    <row r="40" spans="1:10" ht="16.8">
      <c r="A40" s="251" t="s">
        <v>14</v>
      </c>
      <c r="B40" s="235">
        <v>0</v>
      </c>
      <c r="C40" s="252" t="s">
        <v>151</v>
      </c>
      <c r="D40" s="253" t="str">
        <f>VLOOKUP(C40,'Personal File'!$A$11:$C$16,3,FALSE)</f>
        <v>+2</v>
      </c>
      <c r="E40" s="254" t="str">
        <f t="shared" si="0"/>
        <v>Str (+2)</v>
      </c>
      <c r="F40" s="240" t="s">
        <v>51</v>
      </c>
      <c r="G40" s="240">
        <f t="shared" si="1"/>
        <v>2</v>
      </c>
      <c r="H40" s="222">
        <f t="shared" ca="1" si="4"/>
        <v>15</v>
      </c>
      <c r="I40" s="240">
        <f t="shared" ca="1" si="3"/>
        <v>17</v>
      </c>
      <c r="J40" s="223" t="s">
        <v>292</v>
      </c>
    </row>
    <row r="41" spans="1:10" ht="16.8">
      <c r="A41" s="375" t="s">
        <v>47</v>
      </c>
      <c r="B41" s="245">
        <v>1</v>
      </c>
      <c r="C41" s="376" t="s">
        <v>150</v>
      </c>
      <c r="D41" s="377" t="str">
        <f>VLOOKUP(C41,'Personal File'!$A$11:$C$16,3,FALSE)</f>
        <v>+2</v>
      </c>
      <c r="E41" s="378" t="str">
        <f t="shared" si="0"/>
        <v>Dex (+2)</v>
      </c>
      <c r="F41" s="382">
        <f>Martial!$D$21+2</f>
        <v>1</v>
      </c>
      <c r="G41" s="379">
        <f t="shared" si="1"/>
        <v>4</v>
      </c>
      <c r="H41" s="222">
        <f t="shared" ca="1" si="4"/>
        <v>12</v>
      </c>
      <c r="I41" s="379">
        <f t="shared" ref="I41:I42" ca="1" si="14">SUM(G41:H41)</f>
        <v>16</v>
      </c>
      <c r="J41" s="250" t="s">
        <v>244</v>
      </c>
    </row>
    <row r="42" spans="1:10" ht="16.8">
      <c r="A42" s="539" t="s">
        <v>48</v>
      </c>
      <c r="B42" s="540">
        <v>1</v>
      </c>
      <c r="C42" s="541" t="s">
        <v>147</v>
      </c>
      <c r="D42" s="542" t="str">
        <f>VLOOKUP(C42,'Personal File'!$A$11:$C$16,3,FALSE)</f>
        <v>+2</v>
      </c>
      <c r="E42" s="543" t="str">
        <f t="shared" si="0"/>
        <v>Cha (+2)</v>
      </c>
      <c r="F42" s="379" t="s">
        <v>51</v>
      </c>
      <c r="G42" s="379">
        <f t="shared" si="1"/>
        <v>3</v>
      </c>
      <c r="H42" s="222">
        <f t="shared" ca="1" si="4"/>
        <v>13</v>
      </c>
      <c r="I42" s="379">
        <f t="shared" ca="1" si="14"/>
        <v>16</v>
      </c>
      <c r="J42" s="544"/>
    </row>
    <row r="43" spans="1:10" ht="17.399999999999999" thickBot="1">
      <c r="A43" s="300" t="s">
        <v>49</v>
      </c>
      <c r="B43" s="301">
        <v>0</v>
      </c>
      <c r="C43" s="302" t="s">
        <v>150</v>
      </c>
      <c r="D43" s="303" t="str">
        <f>VLOOKUP(C43,'Personal File'!$A$11:$C$16,3,FALSE)</f>
        <v>+2</v>
      </c>
      <c r="E43" s="304" t="str">
        <f t="shared" si="0"/>
        <v>Dex (+2)</v>
      </c>
      <c r="F43" s="305" t="s">
        <v>51</v>
      </c>
      <c r="G43" s="305">
        <f t="shared" si="1"/>
        <v>2</v>
      </c>
      <c r="H43" s="306">
        <f t="shared" ca="1" si="4"/>
        <v>11</v>
      </c>
      <c r="I43" s="305">
        <f t="shared" ca="1" si="3"/>
        <v>13</v>
      </c>
      <c r="J43" s="307"/>
    </row>
    <row r="44" spans="1:10" ht="16.2" thickTop="1">
      <c r="B44" s="205">
        <f>SUM(B6:B43,B41,B36)</f>
        <v>50</v>
      </c>
      <c r="E44" s="205">
        <f>SUM(E45:E52)</f>
        <v>52</v>
      </c>
      <c r="F44" s="308" t="s">
        <v>52</v>
      </c>
    </row>
    <row r="45" spans="1:10">
      <c r="A45" s="56" t="s">
        <v>373</v>
      </c>
      <c r="B45" s="205">
        <v>2</v>
      </c>
      <c r="E45" s="203">
        <f>4*(2+'Personal File'!$C$14)</f>
        <v>16</v>
      </c>
      <c r="F45" s="204" t="s">
        <v>175</v>
      </c>
    </row>
    <row r="46" spans="1:10">
      <c r="B46" s="205"/>
      <c r="E46" s="203">
        <f>2+'Personal File'!$C$14</f>
        <v>4</v>
      </c>
      <c r="F46" s="204" t="s">
        <v>254</v>
      </c>
    </row>
    <row r="47" spans="1:10">
      <c r="B47" s="205"/>
      <c r="E47" s="203">
        <f>2+'Personal File'!$C$14</f>
        <v>4</v>
      </c>
      <c r="F47" s="204" t="s">
        <v>256</v>
      </c>
    </row>
    <row r="48" spans="1:10">
      <c r="B48" s="205"/>
      <c r="E48" s="203">
        <f>2+'Personal File'!$C$14</f>
        <v>4</v>
      </c>
      <c r="F48" s="204" t="s">
        <v>282</v>
      </c>
    </row>
    <row r="49" spans="2:6">
      <c r="B49" s="205"/>
      <c r="E49" s="203">
        <f>4+'Personal File'!$C$14</f>
        <v>6</v>
      </c>
      <c r="F49" s="204" t="s">
        <v>293</v>
      </c>
    </row>
    <row r="50" spans="2:6">
      <c r="B50" s="205"/>
      <c r="E50" s="203">
        <f>2+'Personal File'!$C$14</f>
        <v>4</v>
      </c>
      <c r="F50" s="204" t="s">
        <v>311</v>
      </c>
    </row>
    <row r="51" spans="2:6">
      <c r="B51" s="205"/>
      <c r="E51" s="203">
        <f>2+'Personal File'!$C$14</f>
        <v>4</v>
      </c>
      <c r="F51" s="204" t="s">
        <v>368</v>
      </c>
    </row>
    <row r="52" spans="2:6">
      <c r="E52" s="205">
        <f>3+SUM('Personal File'!$E$3:$E$5)</f>
        <v>10</v>
      </c>
      <c r="F52" s="204" t="s">
        <v>118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D187-CA07-4B6A-91B4-1EB326366EB3}">
  <dimension ref="A1:H25"/>
  <sheetViews>
    <sheetView showGridLines="0" workbookViewId="0"/>
  </sheetViews>
  <sheetFormatPr defaultColWidth="13" defaultRowHeight="15.6"/>
  <cols>
    <col min="1" max="1" width="18" style="451" bestFit="1" customWidth="1"/>
    <col min="2" max="2" width="6.796875" style="451" bestFit="1" customWidth="1"/>
    <col min="3" max="3" width="5" style="452" bestFit="1" customWidth="1"/>
    <col min="4" max="4" width="12.69921875" style="452" bestFit="1" customWidth="1"/>
    <col min="5" max="5" width="8.09765625" style="452" bestFit="1" customWidth="1"/>
    <col min="6" max="6" width="8.3984375" style="452" bestFit="1" customWidth="1"/>
    <col min="7" max="7" width="9.296875" style="452" bestFit="1" customWidth="1"/>
    <col min="8" max="8" width="34.59765625" style="451" bestFit="1" customWidth="1"/>
    <col min="9" max="16384" width="13" style="442"/>
  </cols>
  <sheetData>
    <row r="1" spans="1:8" ht="23.4" thickBot="1">
      <c r="A1" s="440" t="s">
        <v>312</v>
      </c>
      <c r="B1" s="441"/>
      <c r="C1" s="441"/>
      <c r="D1" s="441"/>
      <c r="E1" s="441"/>
      <c r="F1" s="441"/>
      <c r="G1" s="441"/>
      <c r="H1" s="441"/>
    </row>
    <row r="2" spans="1:8" s="499" customFormat="1" ht="17.399999999999999" thickBot="1">
      <c r="A2" s="496" t="s">
        <v>69</v>
      </c>
      <c r="B2" s="497" t="s">
        <v>313</v>
      </c>
      <c r="C2" s="497" t="s">
        <v>314</v>
      </c>
      <c r="D2" s="497" t="s">
        <v>87</v>
      </c>
      <c r="E2" s="497" t="s">
        <v>88</v>
      </c>
      <c r="F2" s="497" t="s">
        <v>54</v>
      </c>
      <c r="G2" s="497" t="s">
        <v>17</v>
      </c>
      <c r="H2" s="498" t="s">
        <v>315</v>
      </c>
    </row>
    <row r="3" spans="1:8" s="443" customFormat="1" ht="16.8">
      <c r="A3" s="436" t="s">
        <v>316</v>
      </c>
      <c r="B3" s="444" t="s">
        <v>317</v>
      </c>
      <c r="C3" s="437">
        <v>1</v>
      </c>
      <c r="D3" s="372" t="s">
        <v>371</v>
      </c>
      <c r="E3" s="372" t="s">
        <v>90</v>
      </c>
      <c r="F3" s="373" t="s">
        <v>318</v>
      </c>
      <c r="G3" s="373" t="s">
        <v>65</v>
      </c>
      <c r="H3" s="445" t="s">
        <v>319</v>
      </c>
    </row>
    <row r="4" spans="1:8" s="443" customFormat="1" ht="16.8">
      <c r="A4" s="436" t="s">
        <v>370</v>
      </c>
      <c r="B4" s="444" t="s">
        <v>320</v>
      </c>
      <c r="C4" s="437">
        <v>2</v>
      </c>
      <c r="D4" s="372" t="s">
        <v>371</v>
      </c>
      <c r="E4" s="372" t="s">
        <v>90</v>
      </c>
      <c r="F4" s="373" t="s">
        <v>66</v>
      </c>
      <c r="G4" s="373" t="s">
        <v>321</v>
      </c>
      <c r="H4" s="445" t="s">
        <v>372</v>
      </c>
    </row>
    <row r="5" spans="1:8" s="443" customFormat="1" ht="17.399999999999999" thickBot="1">
      <c r="A5" s="438" t="s">
        <v>322</v>
      </c>
      <c r="B5" s="446" t="s">
        <v>320</v>
      </c>
      <c r="C5" s="439">
        <v>2</v>
      </c>
      <c r="D5" s="129" t="s">
        <v>371</v>
      </c>
      <c r="E5" s="129" t="s">
        <v>90</v>
      </c>
      <c r="F5" s="130" t="s">
        <v>66</v>
      </c>
      <c r="G5" s="130" t="s">
        <v>321</v>
      </c>
      <c r="H5" s="447" t="s">
        <v>337</v>
      </c>
    </row>
    <row r="6" spans="1:8" ht="17.399999999999999" thickTop="1">
      <c r="A6" s="442"/>
      <c r="B6" s="448"/>
      <c r="C6" s="449"/>
      <c r="D6" s="449"/>
      <c r="E6" s="449"/>
      <c r="F6" s="449"/>
      <c r="G6" s="449"/>
      <c r="H6" s="450"/>
    </row>
    <row r="7" spans="1:8">
      <c r="A7" s="442"/>
      <c r="B7" s="442"/>
      <c r="C7" s="442"/>
      <c r="D7" s="442"/>
      <c r="E7" s="442"/>
      <c r="F7" s="442"/>
      <c r="G7" s="442"/>
      <c r="H7" s="442"/>
    </row>
    <row r="8" spans="1:8">
      <c r="A8" s="442"/>
      <c r="B8" s="442"/>
      <c r="C8" s="442"/>
      <c r="D8" s="442"/>
      <c r="E8" s="442"/>
      <c r="F8" s="442"/>
      <c r="G8" s="442"/>
      <c r="H8" s="442"/>
    </row>
    <row r="9" spans="1:8">
      <c r="A9" s="442"/>
      <c r="B9" s="442"/>
      <c r="C9" s="442"/>
      <c r="D9" s="442"/>
      <c r="E9" s="442"/>
      <c r="F9" s="442"/>
      <c r="G9" s="442"/>
      <c r="H9" s="442"/>
    </row>
    <row r="10" spans="1:8">
      <c r="A10" s="442"/>
      <c r="B10" s="442"/>
      <c r="C10" s="442"/>
      <c r="D10" s="442"/>
      <c r="E10" s="442"/>
      <c r="F10" s="442"/>
      <c r="G10" s="442"/>
      <c r="H10" s="442"/>
    </row>
    <row r="11" spans="1:8">
      <c r="A11" s="442"/>
      <c r="B11" s="442"/>
      <c r="C11" s="442"/>
      <c r="D11" s="442"/>
      <c r="E11" s="442"/>
      <c r="F11" s="442"/>
      <c r="G11" s="442"/>
      <c r="H11" s="442"/>
    </row>
    <row r="12" spans="1:8">
      <c r="A12" s="442"/>
      <c r="B12" s="442"/>
      <c r="C12" s="442"/>
      <c r="D12" s="442"/>
      <c r="E12" s="442"/>
      <c r="F12" s="442"/>
      <c r="G12" s="442"/>
      <c r="H12" s="442"/>
    </row>
    <row r="13" spans="1:8">
      <c r="A13" s="442"/>
      <c r="B13" s="442"/>
      <c r="C13" s="442"/>
      <c r="D13" s="442"/>
      <c r="E13" s="442"/>
      <c r="F13" s="442"/>
      <c r="G13" s="442"/>
      <c r="H13" s="442"/>
    </row>
    <row r="14" spans="1:8">
      <c r="A14" s="442"/>
      <c r="B14" s="442"/>
      <c r="C14" s="442"/>
      <c r="D14" s="442"/>
      <c r="E14" s="442"/>
      <c r="F14" s="442"/>
      <c r="G14" s="442"/>
      <c r="H14" s="442"/>
    </row>
    <row r="15" spans="1:8">
      <c r="A15" s="442"/>
      <c r="B15" s="442"/>
      <c r="C15" s="442"/>
      <c r="D15" s="442"/>
      <c r="E15" s="442"/>
      <c r="F15" s="442"/>
      <c r="G15" s="442"/>
      <c r="H15" s="442"/>
    </row>
    <row r="16" spans="1:8">
      <c r="A16" s="442"/>
      <c r="B16" s="442"/>
      <c r="C16" s="442"/>
      <c r="D16" s="442"/>
      <c r="E16" s="442"/>
      <c r="F16" s="442"/>
      <c r="G16" s="442"/>
      <c r="H16" s="442"/>
    </row>
    <row r="17" spans="1:8">
      <c r="A17" s="442"/>
      <c r="B17" s="442"/>
      <c r="C17" s="442"/>
      <c r="D17" s="442"/>
      <c r="E17" s="442"/>
      <c r="F17" s="442"/>
      <c r="G17" s="442"/>
      <c r="H17" s="442"/>
    </row>
    <row r="18" spans="1:8">
      <c r="A18" s="442"/>
      <c r="B18" s="442"/>
      <c r="C18" s="442"/>
      <c r="D18" s="442"/>
      <c r="E18" s="442"/>
      <c r="F18" s="442"/>
      <c r="G18" s="442"/>
      <c r="H18" s="442"/>
    </row>
    <row r="19" spans="1:8">
      <c r="A19" s="442"/>
      <c r="B19" s="442"/>
      <c r="C19" s="442"/>
      <c r="D19" s="442"/>
      <c r="E19" s="442"/>
      <c r="F19" s="442"/>
      <c r="G19" s="442"/>
    </row>
    <row r="20" spans="1:8">
      <c r="A20" s="442"/>
      <c r="B20" s="442"/>
      <c r="C20" s="442"/>
      <c r="D20" s="442"/>
      <c r="E20" s="442"/>
      <c r="F20" s="442"/>
      <c r="G20" s="442"/>
    </row>
    <row r="21" spans="1:8">
      <c r="A21" s="442"/>
      <c r="B21" s="442"/>
      <c r="C21" s="442"/>
      <c r="D21" s="442"/>
      <c r="E21" s="442"/>
      <c r="F21" s="442"/>
      <c r="G21" s="442"/>
    </row>
    <row r="22" spans="1:8">
      <c r="A22" s="442"/>
      <c r="B22" s="442"/>
      <c r="C22" s="442"/>
    </row>
    <row r="23" spans="1:8">
      <c r="A23" s="442"/>
      <c r="B23" s="442"/>
      <c r="C23" s="442"/>
    </row>
    <row r="24" spans="1:8">
      <c r="A24" s="442"/>
      <c r="B24" s="442"/>
      <c r="C24" s="442"/>
    </row>
    <row r="25" spans="1:8">
      <c r="A25" s="442"/>
      <c r="B25" s="442"/>
      <c r="C25" s="442"/>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6" bestFit="1" customWidth="1"/>
    <col min="2" max="2" width="6.19921875" style="56" bestFit="1" customWidth="1"/>
    <col min="3" max="3" width="13.59765625" style="57" bestFit="1" customWidth="1"/>
    <col min="4" max="4" width="12.69921875" style="65" bestFit="1" customWidth="1"/>
    <col min="5" max="5" width="8.09765625" style="57" bestFit="1" customWidth="1"/>
    <col min="6" max="6" width="12.59765625" style="57" bestFit="1" customWidth="1"/>
    <col min="7" max="7" width="9.796875" style="56" bestFit="1" customWidth="1"/>
    <col min="8" max="8" width="17.8984375" style="15" bestFit="1" customWidth="1"/>
    <col min="9" max="9" width="5.5" style="15" bestFit="1" customWidth="1"/>
    <col min="10" max="10" width="13" style="533"/>
    <col min="11" max="16384" width="13" style="15"/>
  </cols>
  <sheetData>
    <row r="1" spans="1:10" ht="23.4" thickBot="1">
      <c r="A1" s="176" t="s">
        <v>165</v>
      </c>
      <c r="B1" s="58"/>
      <c r="C1" s="58"/>
      <c r="D1" s="59"/>
      <c r="E1" s="58"/>
      <c r="F1" s="58"/>
      <c r="G1" s="58"/>
      <c r="H1" s="58"/>
    </row>
    <row r="2" spans="1:10" s="3" customFormat="1" ht="16.8">
      <c r="A2" s="177" t="s">
        <v>69</v>
      </c>
      <c r="B2" s="178" t="s">
        <v>0</v>
      </c>
      <c r="C2" s="180" t="s">
        <v>71</v>
      </c>
      <c r="D2" s="180" t="s">
        <v>87</v>
      </c>
      <c r="E2" s="179" t="s">
        <v>88</v>
      </c>
      <c r="F2" s="179" t="s">
        <v>54</v>
      </c>
      <c r="G2" s="179" t="s">
        <v>17</v>
      </c>
      <c r="H2" s="179" t="s">
        <v>139</v>
      </c>
      <c r="I2" s="181" t="s">
        <v>140</v>
      </c>
      <c r="J2" s="533"/>
    </row>
    <row r="3" spans="1:10" s="3" customFormat="1" ht="16.8">
      <c r="A3" s="182" t="s">
        <v>240</v>
      </c>
      <c r="B3" s="66">
        <v>0</v>
      </c>
      <c r="C3" s="371" t="s">
        <v>241</v>
      </c>
      <c r="D3" s="372" t="s">
        <v>89</v>
      </c>
      <c r="E3" s="373" t="s">
        <v>90</v>
      </c>
      <c r="F3" s="373" t="s">
        <v>242</v>
      </c>
      <c r="G3" s="373" t="s">
        <v>67</v>
      </c>
      <c r="H3" s="373" t="s">
        <v>243</v>
      </c>
      <c r="I3" s="374">
        <v>9</v>
      </c>
      <c r="J3" s="533"/>
    </row>
    <row r="4" spans="1:10" s="3" customFormat="1" ht="16.8">
      <c r="A4" s="182" t="s">
        <v>95</v>
      </c>
      <c r="B4" s="66">
        <v>0</v>
      </c>
      <c r="C4" s="6" t="s">
        <v>224</v>
      </c>
      <c r="D4" s="1" t="s">
        <v>89</v>
      </c>
      <c r="E4" s="147" t="s">
        <v>90</v>
      </c>
      <c r="F4" s="4" t="s">
        <v>61</v>
      </c>
      <c r="G4" s="4" t="s">
        <v>65</v>
      </c>
      <c r="H4" s="4" t="s">
        <v>138</v>
      </c>
      <c r="I4" s="69">
        <v>216</v>
      </c>
      <c r="J4" s="533"/>
    </row>
    <row r="5" spans="1:10" s="3" customFormat="1" ht="16.8">
      <c r="A5" s="182" t="s">
        <v>96</v>
      </c>
      <c r="B5" s="66">
        <v>0</v>
      </c>
      <c r="C5" s="6" t="s">
        <v>80</v>
      </c>
      <c r="D5" s="1" t="s">
        <v>89</v>
      </c>
      <c r="E5" s="147" t="s">
        <v>90</v>
      </c>
      <c r="F5" s="4" t="s">
        <v>61</v>
      </c>
      <c r="G5" s="4" t="s">
        <v>62</v>
      </c>
      <c r="H5" s="4" t="s">
        <v>138</v>
      </c>
      <c r="I5" s="148">
        <v>238</v>
      </c>
      <c r="J5" s="533"/>
    </row>
    <row r="6" spans="1:10" s="3" customFormat="1" ht="16.8">
      <c r="A6" s="182" t="s">
        <v>94</v>
      </c>
      <c r="B6" s="66">
        <v>0</v>
      </c>
      <c r="C6" s="6" t="s">
        <v>68</v>
      </c>
      <c r="D6" s="1" t="s">
        <v>113</v>
      </c>
      <c r="E6" s="147" t="s">
        <v>90</v>
      </c>
      <c r="F6" s="4" t="s">
        <v>61</v>
      </c>
      <c r="G6" s="4" t="s">
        <v>67</v>
      </c>
      <c r="H6" s="4" t="s">
        <v>138</v>
      </c>
      <c r="I6" s="69">
        <v>248</v>
      </c>
      <c r="J6" s="533"/>
    </row>
    <row r="7" spans="1:10" s="3" customFormat="1" ht="16.8">
      <c r="A7" s="182" t="s">
        <v>270</v>
      </c>
      <c r="B7" s="66">
        <v>0</v>
      </c>
      <c r="C7" s="6" t="s">
        <v>241</v>
      </c>
      <c r="D7" s="1" t="s">
        <v>89</v>
      </c>
      <c r="E7" s="147" t="s">
        <v>90</v>
      </c>
      <c r="F7" s="4" t="s">
        <v>216</v>
      </c>
      <c r="G7" s="4" t="s">
        <v>65</v>
      </c>
      <c r="H7" s="4" t="s">
        <v>138</v>
      </c>
      <c r="I7" s="69">
        <v>253</v>
      </c>
      <c r="J7" s="533"/>
    </row>
    <row r="8" spans="1:10" s="3" customFormat="1" ht="16.8">
      <c r="A8" s="183" t="s">
        <v>97</v>
      </c>
      <c r="B8" s="67">
        <v>0</v>
      </c>
      <c r="C8" s="68" t="s">
        <v>63</v>
      </c>
      <c r="D8" s="5" t="s">
        <v>93</v>
      </c>
      <c r="E8" s="149" t="s">
        <v>90</v>
      </c>
      <c r="F8" s="7" t="s">
        <v>66</v>
      </c>
      <c r="G8" s="7" t="s">
        <v>67</v>
      </c>
      <c r="H8" s="7" t="s">
        <v>138</v>
      </c>
      <c r="I8" s="70">
        <v>269</v>
      </c>
      <c r="J8" s="533"/>
    </row>
    <row r="9" spans="1:10" ht="16.8">
      <c r="A9" s="182" t="s">
        <v>81</v>
      </c>
      <c r="B9" s="66">
        <v>1</v>
      </c>
      <c r="C9" s="6" t="s">
        <v>224</v>
      </c>
      <c r="D9" s="1" t="s">
        <v>89</v>
      </c>
      <c r="E9" s="147" t="s">
        <v>90</v>
      </c>
      <c r="F9" s="4" t="s">
        <v>61</v>
      </c>
      <c r="G9" s="4" t="s">
        <v>65</v>
      </c>
      <c r="H9" s="4" t="s">
        <v>138</v>
      </c>
      <c r="I9" s="69">
        <v>216</v>
      </c>
    </row>
    <row r="10" spans="1:10" ht="16.8">
      <c r="A10" s="182" t="s">
        <v>112</v>
      </c>
      <c r="B10" s="66">
        <v>1</v>
      </c>
      <c r="C10" s="6" t="s">
        <v>68</v>
      </c>
      <c r="D10" s="1" t="s">
        <v>91</v>
      </c>
      <c r="E10" s="147" t="s">
        <v>90</v>
      </c>
      <c r="F10" s="4" t="s">
        <v>66</v>
      </c>
      <c r="G10" s="4" t="s">
        <v>62</v>
      </c>
      <c r="H10" s="4" t="s">
        <v>138</v>
      </c>
      <c r="I10" s="148">
        <v>224</v>
      </c>
    </row>
    <row r="11" spans="1:10" ht="16.8">
      <c r="A11" s="182" t="s">
        <v>114</v>
      </c>
      <c r="B11" s="66">
        <v>1</v>
      </c>
      <c r="C11" s="6" t="s">
        <v>60</v>
      </c>
      <c r="D11" s="1" t="s">
        <v>92</v>
      </c>
      <c r="E11" s="147" t="s">
        <v>90</v>
      </c>
      <c r="F11" s="4" t="s">
        <v>61</v>
      </c>
      <c r="G11" s="4" t="s">
        <v>64</v>
      </c>
      <c r="H11" s="4" t="s">
        <v>138</v>
      </c>
      <c r="I11" s="148">
        <v>266</v>
      </c>
    </row>
    <row r="12" spans="1:10" ht="16.8">
      <c r="A12" s="183" t="s">
        <v>268</v>
      </c>
      <c r="B12" s="67">
        <v>1</v>
      </c>
      <c r="C12" s="68" t="s">
        <v>60</v>
      </c>
      <c r="D12" s="5" t="s">
        <v>91</v>
      </c>
      <c r="E12" s="149" t="s">
        <v>90</v>
      </c>
      <c r="F12" s="7" t="s">
        <v>61</v>
      </c>
      <c r="G12" s="7" t="s">
        <v>65</v>
      </c>
      <c r="H12" s="7" t="s">
        <v>269</v>
      </c>
      <c r="I12" s="410">
        <v>177</v>
      </c>
    </row>
    <row r="13" spans="1:10" ht="16.8">
      <c r="A13" s="182" t="s">
        <v>271</v>
      </c>
      <c r="B13" s="66">
        <v>2</v>
      </c>
      <c r="C13" s="6" t="s">
        <v>241</v>
      </c>
      <c r="D13" s="1" t="s">
        <v>92</v>
      </c>
      <c r="E13" s="147" t="s">
        <v>90</v>
      </c>
      <c r="F13" s="4" t="s">
        <v>61</v>
      </c>
      <c r="G13" s="4" t="s">
        <v>64</v>
      </c>
      <c r="H13" s="4" t="s">
        <v>138</v>
      </c>
      <c r="I13" s="148">
        <v>207</v>
      </c>
    </row>
    <row r="14" spans="1:10" ht="16.8">
      <c r="A14" s="182" t="s">
        <v>272</v>
      </c>
      <c r="B14" s="66">
        <v>2</v>
      </c>
      <c r="C14" s="6" t="s">
        <v>224</v>
      </c>
      <c r="D14" s="1" t="s">
        <v>89</v>
      </c>
      <c r="E14" s="147" t="s">
        <v>90</v>
      </c>
      <c r="F14" s="4" t="s">
        <v>61</v>
      </c>
      <c r="G14" s="4" t="s">
        <v>65</v>
      </c>
      <c r="H14" s="4" t="s">
        <v>138</v>
      </c>
      <c r="I14" s="148">
        <v>272</v>
      </c>
    </row>
    <row r="15" spans="1:10" ht="17.399999999999999" thickBot="1">
      <c r="A15" s="184" t="s">
        <v>273</v>
      </c>
      <c r="B15" s="127">
        <v>2</v>
      </c>
      <c r="C15" s="128" t="s">
        <v>274</v>
      </c>
      <c r="D15" s="129" t="s">
        <v>89</v>
      </c>
      <c r="E15" s="150" t="s">
        <v>90</v>
      </c>
      <c r="F15" s="130" t="s">
        <v>275</v>
      </c>
      <c r="G15" s="130" t="s">
        <v>64</v>
      </c>
      <c r="H15" s="130" t="s">
        <v>138</v>
      </c>
      <c r="I15" s="409">
        <v>279</v>
      </c>
    </row>
    <row r="16" spans="1:10" ht="16.2" thickTop="1"/>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Q35"/>
  <sheetViews>
    <sheetView showGridLines="0" workbookViewId="0"/>
  </sheetViews>
  <sheetFormatPr defaultColWidth="13" defaultRowHeight="16.8"/>
  <cols>
    <col min="1" max="1" width="17.5" style="51" bestFit="1" customWidth="1"/>
    <col min="2" max="2" width="3.59765625" style="51" bestFit="1" customWidth="1"/>
    <col min="3" max="4" width="4.19921875" style="51" customWidth="1"/>
    <col min="5" max="5" width="3.69921875" style="51" bestFit="1" customWidth="1"/>
    <col min="6" max="8" width="3.59765625" style="51" bestFit="1" customWidth="1"/>
    <col min="9" max="10" width="3.59765625" style="51" customWidth="1"/>
    <col min="11" max="11" width="3.59765625" style="51" bestFit="1" customWidth="1"/>
    <col min="12" max="12" width="2.09765625" style="51" customWidth="1"/>
    <col min="13" max="13" width="18.69921875" style="51" bestFit="1" customWidth="1"/>
    <col min="14" max="14" width="6.19921875" style="51" bestFit="1" customWidth="1"/>
    <col min="15" max="15" width="3.5" style="51" bestFit="1" customWidth="1"/>
    <col min="16" max="16" width="4.09765625" style="51" bestFit="1" customWidth="1"/>
    <col min="17" max="17" width="6.296875" style="51" bestFit="1" customWidth="1"/>
    <col min="18" max="16384" width="13" style="51"/>
  </cols>
  <sheetData>
    <row r="1" spans="1:17" ht="24" thickTop="1" thickBot="1">
      <c r="A1" s="310" t="s">
        <v>330</v>
      </c>
      <c r="B1" s="310"/>
      <c r="C1" s="58"/>
      <c r="D1" s="58"/>
      <c r="E1" s="311"/>
      <c r="F1" s="58"/>
      <c r="G1" s="58"/>
      <c r="H1" s="58"/>
      <c r="I1" s="58"/>
      <c r="J1" s="58"/>
      <c r="K1" s="311"/>
      <c r="M1" s="453" t="str">
        <f>CONCATENATE("Fey Presence Spells (CL ",SUM('Personal File'!E3:E5),")")</f>
        <v>Fey Presence Spells (CL 7)</v>
      </c>
      <c r="N1" s="454"/>
      <c r="O1" s="454"/>
      <c r="P1" s="454"/>
      <c r="Q1" s="455"/>
    </row>
    <row r="2" spans="1:17" ht="17.399999999999999" thickTop="1">
      <c r="A2" s="137"/>
      <c r="B2" s="71" t="s">
        <v>104</v>
      </c>
      <c r="C2" s="312"/>
      <c r="D2" s="312"/>
      <c r="E2" s="312"/>
      <c r="F2" s="312"/>
      <c r="G2" s="312"/>
      <c r="H2" s="312"/>
      <c r="I2" s="312"/>
      <c r="J2" s="312"/>
      <c r="K2" s="313"/>
      <c r="M2" s="456" t="s">
        <v>69</v>
      </c>
      <c r="N2" s="457" t="s">
        <v>0</v>
      </c>
      <c r="O2" s="458" t="s">
        <v>325</v>
      </c>
      <c r="P2" s="458" t="s">
        <v>181</v>
      </c>
      <c r="Q2" s="459" t="s">
        <v>182</v>
      </c>
    </row>
    <row r="3" spans="1:17" ht="17.399999999999999" thickBot="1">
      <c r="A3" s="137"/>
      <c r="B3" s="314" t="s">
        <v>105</v>
      </c>
      <c r="C3" s="315" t="s">
        <v>98</v>
      </c>
      <c r="D3" s="315" t="s">
        <v>99</v>
      </c>
      <c r="E3" s="315" t="s">
        <v>100</v>
      </c>
      <c r="F3" s="315" t="s">
        <v>101</v>
      </c>
      <c r="G3" s="315" t="s">
        <v>102</v>
      </c>
      <c r="H3" s="315" t="s">
        <v>103</v>
      </c>
      <c r="I3" s="315" t="s">
        <v>106</v>
      </c>
      <c r="J3" s="315" t="s">
        <v>179</v>
      </c>
      <c r="K3" s="316" t="s">
        <v>180</v>
      </c>
      <c r="M3" s="460" t="s">
        <v>327</v>
      </c>
      <c r="N3" s="461">
        <v>4</v>
      </c>
      <c r="O3" s="462" t="s">
        <v>51</v>
      </c>
      <c r="P3" s="462">
        <f>10+N3+O3+'Personal File'!$C$16</f>
        <v>16</v>
      </c>
      <c r="Q3" s="463" t="s">
        <v>326</v>
      </c>
    </row>
    <row r="4" spans="1:17" ht="17.399999999999999" thickTop="1">
      <c r="A4" s="317" t="s">
        <v>178</v>
      </c>
      <c r="B4" s="318">
        <v>6</v>
      </c>
      <c r="C4" s="319">
        <v>6</v>
      </c>
      <c r="D4" s="319">
        <v>3</v>
      </c>
      <c r="E4" s="326">
        <v>0</v>
      </c>
      <c r="F4" s="326">
        <v>0</v>
      </c>
      <c r="G4" s="326">
        <v>0</v>
      </c>
      <c r="H4" s="326">
        <v>0</v>
      </c>
      <c r="I4" s="326">
        <v>0</v>
      </c>
      <c r="J4" s="326">
        <v>0</v>
      </c>
      <c r="K4" s="327">
        <v>0</v>
      </c>
      <c r="M4" s="464" t="s">
        <v>328</v>
      </c>
      <c r="N4" s="465">
        <v>3</v>
      </c>
      <c r="O4" s="466" t="s">
        <v>51</v>
      </c>
      <c r="P4" s="466">
        <f>10+N4+O4+'Personal File'!$C$16</f>
        <v>15</v>
      </c>
      <c r="Q4" s="467" t="s">
        <v>387</v>
      </c>
    </row>
    <row r="5" spans="1:17" ht="17.399999999999999" thickBot="1">
      <c r="A5" s="320" t="s">
        <v>177</v>
      </c>
      <c r="B5" s="321">
        <v>0</v>
      </c>
      <c r="C5" s="122">
        <v>1</v>
      </c>
      <c r="D5" s="122">
        <v>1</v>
      </c>
      <c r="E5" s="328">
        <v>0</v>
      </c>
      <c r="F5" s="328">
        <v>0</v>
      </c>
      <c r="G5" s="328">
        <v>0</v>
      </c>
      <c r="H5" s="328">
        <v>0</v>
      </c>
      <c r="I5" s="328">
        <v>0</v>
      </c>
      <c r="J5" s="328">
        <v>0</v>
      </c>
      <c r="K5" s="329">
        <v>0</v>
      </c>
      <c r="M5" s="468" t="s">
        <v>329</v>
      </c>
      <c r="N5" s="469">
        <v>1</v>
      </c>
      <c r="O5" s="470" t="s">
        <v>51</v>
      </c>
      <c r="P5" s="470">
        <f>10+N5+O5+'Personal File'!$C$16</f>
        <v>13</v>
      </c>
      <c r="Q5" s="471" t="s">
        <v>326</v>
      </c>
    </row>
    <row r="6" spans="1:17" ht="18" thickTop="1" thickBot="1">
      <c r="A6" s="322" t="s">
        <v>349</v>
      </c>
      <c r="B6" s="323">
        <f t="shared" ref="B6:H6" si="0">SUM(B4:B5)</f>
        <v>6</v>
      </c>
      <c r="C6" s="324">
        <f t="shared" si="0"/>
        <v>7</v>
      </c>
      <c r="D6" s="324">
        <f t="shared" ref="D6" si="1">SUM(D4:D5)</f>
        <v>4</v>
      </c>
      <c r="E6" s="331">
        <f t="shared" si="0"/>
        <v>0</v>
      </c>
      <c r="F6" s="331">
        <f t="shared" si="0"/>
        <v>0</v>
      </c>
      <c r="G6" s="331">
        <f t="shared" si="0"/>
        <v>0</v>
      </c>
      <c r="H6" s="331">
        <f t="shared" si="0"/>
        <v>0</v>
      </c>
      <c r="I6" s="331">
        <f t="shared" ref="I6:J6" si="2">SUM(I4:I5)</f>
        <v>0</v>
      </c>
      <c r="J6" s="331">
        <f t="shared" si="2"/>
        <v>0</v>
      </c>
      <c r="K6" s="330">
        <f>SUM(K5:K5)</f>
        <v>0</v>
      </c>
    </row>
    <row r="7" spans="1:17" ht="17.399999999999999" thickTop="1">
      <c r="A7" s="337" t="s">
        <v>181</v>
      </c>
      <c r="B7" s="338">
        <f>10+LEFT(B3,1)+'Personal File'!$C$16</f>
        <v>12</v>
      </c>
      <c r="C7" s="338">
        <f>10+LEFT(C3,1)+'Personal File'!$C$16</f>
        <v>13</v>
      </c>
      <c r="D7" s="338">
        <f>10+LEFT(D3,1)+'Personal File'!$C$16</f>
        <v>14</v>
      </c>
      <c r="E7" s="340">
        <f>10+LEFT(E3,1)+'Personal File'!$C$16</f>
        <v>15</v>
      </c>
      <c r="F7" s="340">
        <f>10+LEFT(F3,1)+'Personal File'!$C$16</f>
        <v>16</v>
      </c>
      <c r="G7" s="340">
        <f>10+LEFT(G3,1)+'Personal File'!$C$16</f>
        <v>17</v>
      </c>
      <c r="H7" s="340">
        <f>10+LEFT(H3,1)+'Personal File'!$C$16</f>
        <v>18</v>
      </c>
      <c r="I7" s="340">
        <f>10+LEFT(I3,1)+'Personal File'!$C$16</f>
        <v>19</v>
      </c>
      <c r="J7" s="340">
        <f>10+LEFT(J3,1)+'Personal File'!$C$16</f>
        <v>20</v>
      </c>
      <c r="K7" s="341">
        <f>10+LEFT(K3,1)+'Personal File'!$C$16</f>
        <v>21</v>
      </c>
    </row>
    <row r="8" spans="1:17" ht="17.399999999999999" thickBot="1">
      <c r="A8" s="322" t="s">
        <v>182</v>
      </c>
      <c r="B8" s="323">
        <v>1</v>
      </c>
      <c r="C8" s="323">
        <v>5</v>
      </c>
      <c r="D8" s="323">
        <v>4</v>
      </c>
      <c r="E8" s="342" t="s">
        <v>126</v>
      </c>
      <c r="F8" s="342" t="s">
        <v>126</v>
      </c>
      <c r="G8" s="342" t="s">
        <v>126</v>
      </c>
      <c r="H8" s="342" t="s">
        <v>126</v>
      </c>
      <c r="I8" s="342" t="s">
        <v>126</v>
      </c>
      <c r="J8" s="342" t="s">
        <v>126</v>
      </c>
      <c r="K8" s="339" t="s">
        <v>126</v>
      </c>
    </row>
    <row r="9" spans="1:17" ht="17.399999999999999" thickTop="1"/>
    <row r="10" spans="1:17">
      <c r="A10" s="25"/>
      <c r="C10" s="18" t="s">
        <v>137</v>
      </c>
      <c r="D10" s="19">
        <f>'Personal File'!E3</f>
        <v>4</v>
      </c>
    </row>
    <row r="11" spans="1:17">
      <c r="C11" s="18" t="s">
        <v>298</v>
      </c>
      <c r="D11" s="19">
        <f>ROUNDDOWN('Personal File'!E4+(0.5*('Personal File'!E3+'Personal File'!E5)),0)</f>
        <v>4</v>
      </c>
    </row>
    <row r="12" spans="1:17">
      <c r="C12" s="18"/>
      <c r="D12" s="19"/>
    </row>
    <row r="13" spans="1:17" ht="23.4" thickBot="1">
      <c r="A13" s="383" t="s">
        <v>296</v>
      </c>
      <c r="B13" s="384"/>
      <c r="C13" s="384"/>
      <c r="D13" s="384"/>
      <c r="E13" s="384"/>
      <c r="F13" s="384"/>
      <c r="G13" s="384"/>
      <c r="H13" s="384"/>
      <c r="I13" s="384"/>
      <c r="J13" s="384"/>
    </row>
    <row r="14" spans="1:17" ht="18" thickTop="1" thickBot="1">
      <c r="A14" s="385" t="s">
        <v>285</v>
      </c>
      <c r="B14" s="386" t="s">
        <v>105</v>
      </c>
      <c r="C14" s="386" t="s">
        <v>98</v>
      </c>
      <c r="D14" s="387" t="s">
        <v>99</v>
      </c>
      <c r="E14" s="387" t="s">
        <v>100</v>
      </c>
      <c r="F14" s="387" t="s">
        <v>101</v>
      </c>
      <c r="G14" s="387" t="s">
        <v>102</v>
      </c>
      <c r="H14" s="387" t="s">
        <v>103</v>
      </c>
      <c r="I14" s="387" t="s">
        <v>106</v>
      </c>
      <c r="J14" s="387" t="s">
        <v>179</v>
      </c>
      <c r="K14" s="388" t="s">
        <v>180</v>
      </c>
    </row>
    <row r="15" spans="1:17">
      <c r="A15" s="389">
        <v>1</v>
      </c>
      <c r="B15" s="403" t="s">
        <v>220</v>
      </c>
      <c r="C15" s="403">
        <v>3</v>
      </c>
      <c r="D15" s="390"/>
      <c r="E15" s="390"/>
      <c r="F15" s="390"/>
      <c r="G15" s="390"/>
      <c r="H15" s="390"/>
      <c r="I15" s="390"/>
      <c r="J15" s="390"/>
      <c r="K15" s="391"/>
    </row>
    <row r="16" spans="1:17">
      <c r="A16" s="392">
        <v>2</v>
      </c>
      <c r="B16" s="393">
        <v>5</v>
      </c>
      <c r="C16" s="393">
        <v>3</v>
      </c>
      <c r="D16" s="394"/>
      <c r="E16" s="394"/>
      <c r="F16" s="394"/>
      <c r="G16" s="394"/>
      <c r="H16" s="394"/>
      <c r="I16" s="394"/>
      <c r="J16" s="394"/>
      <c r="K16" s="395"/>
    </row>
    <row r="17" spans="1:17">
      <c r="A17" s="392">
        <v>3</v>
      </c>
      <c r="B17" s="393">
        <v>5</v>
      </c>
      <c r="C17" s="393">
        <v>4</v>
      </c>
      <c r="D17" s="394"/>
      <c r="E17" s="394"/>
      <c r="F17" s="394"/>
      <c r="G17" s="394"/>
      <c r="H17" s="394"/>
      <c r="I17" s="394"/>
      <c r="J17" s="394"/>
      <c r="K17" s="395"/>
    </row>
    <row r="18" spans="1:17">
      <c r="A18" s="397">
        <v>4</v>
      </c>
      <c r="B18" s="398">
        <v>6</v>
      </c>
      <c r="C18" s="398">
        <v>4</v>
      </c>
      <c r="D18" s="398">
        <v>3</v>
      </c>
      <c r="E18" s="394"/>
      <c r="F18" s="394"/>
      <c r="G18" s="394"/>
      <c r="H18" s="394"/>
      <c r="I18" s="394"/>
      <c r="J18" s="394"/>
      <c r="K18" s="395"/>
    </row>
    <row r="19" spans="1:17">
      <c r="A19" s="392">
        <v>5</v>
      </c>
      <c r="B19" s="393">
        <v>6</v>
      </c>
      <c r="C19" s="393">
        <v>5</v>
      </c>
      <c r="D19" s="396">
        <v>3</v>
      </c>
      <c r="E19" s="394"/>
      <c r="F19" s="394"/>
      <c r="G19" s="394"/>
      <c r="H19" s="394"/>
      <c r="I19" s="394"/>
      <c r="J19" s="394"/>
      <c r="K19" s="395"/>
    </row>
    <row r="20" spans="1:17">
      <c r="A20" s="392">
        <v>6</v>
      </c>
      <c r="B20" s="393">
        <v>7</v>
      </c>
      <c r="C20" s="393">
        <v>5</v>
      </c>
      <c r="D20" s="396">
        <v>4</v>
      </c>
      <c r="E20" s="396">
        <v>3</v>
      </c>
      <c r="F20" s="394"/>
      <c r="G20" s="394"/>
      <c r="H20" s="394"/>
      <c r="I20" s="394"/>
      <c r="J20" s="394"/>
      <c r="K20" s="395"/>
    </row>
    <row r="21" spans="1:17">
      <c r="A21" s="392">
        <v>7</v>
      </c>
      <c r="B21" s="393">
        <v>7</v>
      </c>
      <c r="C21" s="393">
        <v>6</v>
      </c>
      <c r="D21" s="396">
        <v>4</v>
      </c>
      <c r="E21" s="396">
        <v>3</v>
      </c>
      <c r="F21" s="394"/>
      <c r="G21" s="394"/>
      <c r="H21" s="394"/>
      <c r="I21" s="394"/>
      <c r="J21" s="394"/>
      <c r="K21" s="395"/>
    </row>
    <row r="22" spans="1:17">
      <c r="A22" s="392">
        <v>8</v>
      </c>
      <c r="B22" s="393">
        <v>8</v>
      </c>
      <c r="C22" s="393">
        <v>6</v>
      </c>
      <c r="D22" s="396">
        <v>5</v>
      </c>
      <c r="E22" s="396">
        <v>4</v>
      </c>
      <c r="F22" s="396">
        <v>3</v>
      </c>
      <c r="G22" s="394"/>
      <c r="H22" s="394"/>
      <c r="I22" s="394"/>
      <c r="J22" s="394"/>
      <c r="K22" s="395"/>
    </row>
    <row r="23" spans="1:17">
      <c r="A23" s="392">
        <v>9</v>
      </c>
      <c r="B23" s="393">
        <v>8</v>
      </c>
      <c r="C23" s="393">
        <v>6</v>
      </c>
      <c r="D23" s="396">
        <v>5</v>
      </c>
      <c r="E23" s="396">
        <v>4</v>
      </c>
      <c r="F23" s="396">
        <v>3</v>
      </c>
      <c r="G23" s="394"/>
      <c r="H23" s="394"/>
      <c r="I23" s="394"/>
      <c r="J23" s="394"/>
      <c r="K23" s="395"/>
    </row>
    <row r="24" spans="1:17">
      <c r="A24" s="392">
        <v>10</v>
      </c>
      <c r="B24" s="393">
        <v>9</v>
      </c>
      <c r="C24" s="393">
        <v>6</v>
      </c>
      <c r="D24" s="396">
        <v>6</v>
      </c>
      <c r="E24" s="396">
        <v>5</v>
      </c>
      <c r="F24" s="396">
        <v>4</v>
      </c>
      <c r="G24" s="396">
        <v>3</v>
      </c>
      <c r="H24" s="394"/>
      <c r="I24" s="394"/>
      <c r="J24" s="394"/>
      <c r="K24" s="395"/>
      <c r="M24" s="325"/>
      <c r="N24" s="325"/>
      <c r="O24" s="325"/>
      <c r="P24" s="325"/>
      <c r="Q24" s="325"/>
    </row>
    <row r="25" spans="1:17" s="325" customFormat="1">
      <c r="A25" s="392">
        <v>11</v>
      </c>
      <c r="B25" s="393">
        <v>9</v>
      </c>
      <c r="C25" s="393">
        <v>6</v>
      </c>
      <c r="D25" s="396">
        <v>6</v>
      </c>
      <c r="E25" s="396">
        <v>5</v>
      </c>
      <c r="F25" s="396">
        <v>4</v>
      </c>
      <c r="G25" s="396">
        <v>3</v>
      </c>
      <c r="H25" s="394"/>
      <c r="I25" s="394"/>
      <c r="J25" s="394"/>
      <c r="K25" s="395"/>
      <c r="L25" s="51"/>
      <c r="M25" s="51"/>
      <c r="N25" s="51"/>
      <c r="O25" s="51"/>
      <c r="P25" s="51"/>
      <c r="Q25" s="51"/>
    </row>
    <row r="26" spans="1:17">
      <c r="A26" s="392">
        <v>12</v>
      </c>
      <c r="B26" s="393">
        <v>9</v>
      </c>
      <c r="C26" s="393">
        <v>6</v>
      </c>
      <c r="D26" s="396">
        <v>6</v>
      </c>
      <c r="E26" s="396">
        <v>6</v>
      </c>
      <c r="F26" s="396">
        <v>5</v>
      </c>
      <c r="G26" s="396">
        <v>4</v>
      </c>
      <c r="H26" s="396">
        <v>3</v>
      </c>
      <c r="I26" s="394"/>
      <c r="J26" s="394"/>
      <c r="K26" s="395"/>
      <c r="L26" s="325"/>
    </row>
    <row r="27" spans="1:17">
      <c r="A27" s="392">
        <v>13</v>
      </c>
      <c r="B27" s="393">
        <v>9</v>
      </c>
      <c r="C27" s="393">
        <v>6</v>
      </c>
      <c r="D27" s="396">
        <v>6</v>
      </c>
      <c r="E27" s="396">
        <v>6</v>
      </c>
      <c r="F27" s="396">
        <v>5</v>
      </c>
      <c r="G27" s="396">
        <v>4</v>
      </c>
      <c r="H27" s="396">
        <v>3</v>
      </c>
      <c r="I27" s="394"/>
      <c r="J27" s="394"/>
      <c r="K27" s="395"/>
    </row>
    <row r="28" spans="1:17">
      <c r="A28" s="392">
        <v>14</v>
      </c>
      <c r="B28" s="393">
        <v>9</v>
      </c>
      <c r="C28" s="393">
        <v>6</v>
      </c>
      <c r="D28" s="396">
        <v>6</v>
      </c>
      <c r="E28" s="396">
        <v>6</v>
      </c>
      <c r="F28" s="396">
        <v>6</v>
      </c>
      <c r="G28" s="396">
        <v>5</v>
      </c>
      <c r="H28" s="396">
        <v>4</v>
      </c>
      <c r="I28" s="396">
        <v>3</v>
      </c>
      <c r="J28" s="394"/>
      <c r="K28" s="395"/>
    </row>
    <row r="29" spans="1:17">
      <c r="A29" s="392">
        <v>15</v>
      </c>
      <c r="B29" s="393">
        <v>9</v>
      </c>
      <c r="C29" s="393">
        <v>6</v>
      </c>
      <c r="D29" s="396">
        <v>6</v>
      </c>
      <c r="E29" s="396">
        <v>6</v>
      </c>
      <c r="F29" s="396">
        <v>6</v>
      </c>
      <c r="G29" s="396">
        <v>5</v>
      </c>
      <c r="H29" s="396">
        <v>4</v>
      </c>
      <c r="I29" s="396">
        <v>3</v>
      </c>
      <c r="J29" s="394"/>
      <c r="K29" s="395"/>
    </row>
    <row r="30" spans="1:17">
      <c r="A30" s="392">
        <v>16</v>
      </c>
      <c r="B30" s="393">
        <v>9</v>
      </c>
      <c r="C30" s="393">
        <v>6</v>
      </c>
      <c r="D30" s="396">
        <v>6</v>
      </c>
      <c r="E30" s="396">
        <v>6</v>
      </c>
      <c r="F30" s="396">
        <v>6</v>
      </c>
      <c r="G30" s="396">
        <v>6</v>
      </c>
      <c r="H30" s="396">
        <v>5</v>
      </c>
      <c r="I30" s="396">
        <v>4</v>
      </c>
      <c r="J30" s="396">
        <v>3</v>
      </c>
      <c r="K30" s="395"/>
    </row>
    <row r="31" spans="1:17">
      <c r="A31" s="392">
        <v>17</v>
      </c>
      <c r="B31" s="393">
        <v>9</v>
      </c>
      <c r="C31" s="393">
        <v>6</v>
      </c>
      <c r="D31" s="396">
        <v>6</v>
      </c>
      <c r="E31" s="396">
        <v>6</v>
      </c>
      <c r="F31" s="396">
        <v>6</v>
      </c>
      <c r="G31" s="396">
        <v>6</v>
      </c>
      <c r="H31" s="396">
        <v>5</v>
      </c>
      <c r="I31" s="396">
        <v>4</v>
      </c>
      <c r="J31" s="396">
        <v>3</v>
      </c>
      <c r="K31" s="395"/>
    </row>
    <row r="32" spans="1:17">
      <c r="A32" s="404">
        <v>18</v>
      </c>
      <c r="B32" s="405">
        <v>9</v>
      </c>
      <c r="C32" s="405">
        <v>6</v>
      </c>
      <c r="D32" s="406">
        <v>6</v>
      </c>
      <c r="E32" s="406">
        <v>6</v>
      </c>
      <c r="F32" s="406">
        <v>6</v>
      </c>
      <c r="G32" s="406">
        <v>6</v>
      </c>
      <c r="H32" s="406">
        <v>6</v>
      </c>
      <c r="I32" s="406">
        <v>5</v>
      </c>
      <c r="J32" s="406">
        <v>4</v>
      </c>
      <c r="K32" s="407">
        <v>3</v>
      </c>
    </row>
    <row r="33" spans="1:11">
      <c r="A33" s="404">
        <v>19</v>
      </c>
      <c r="B33" s="405">
        <v>9</v>
      </c>
      <c r="C33" s="405">
        <v>6</v>
      </c>
      <c r="D33" s="406">
        <v>6</v>
      </c>
      <c r="E33" s="406">
        <v>6</v>
      </c>
      <c r="F33" s="406">
        <v>6</v>
      </c>
      <c r="G33" s="406">
        <v>6</v>
      </c>
      <c r="H33" s="406">
        <v>6</v>
      </c>
      <c r="I33" s="406">
        <v>5</v>
      </c>
      <c r="J33" s="406">
        <v>4</v>
      </c>
      <c r="K33" s="407">
        <v>3</v>
      </c>
    </row>
    <row r="34" spans="1:11" ht="17.399999999999999" thickBot="1">
      <c r="A34" s="399">
        <v>20</v>
      </c>
      <c r="B34" s="408" t="s">
        <v>262</v>
      </c>
      <c r="C34" s="400">
        <v>6</v>
      </c>
      <c r="D34" s="401">
        <v>6</v>
      </c>
      <c r="E34" s="401">
        <v>6</v>
      </c>
      <c r="F34" s="401">
        <v>6</v>
      </c>
      <c r="G34" s="401">
        <v>6</v>
      </c>
      <c r="H34" s="401">
        <v>6</v>
      </c>
      <c r="I34" s="401">
        <v>6</v>
      </c>
      <c r="J34" s="401">
        <v>5</v>
      </c>
      <c r="K34" s="402">
        <v>4</v>
      </c>
    </row>
    <row r="35" spans="1:11" ht="17.399999999999999" thickTop="1"/>
  </sheetData>
  <conditionalFormatting sqref="Q3:Q5">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showGridLines="0" workbookViewId="0">
      <selection activeCell="C10" sqref="C10"/>
    </sheetView>
  </sheetViews>
  <sheetFormatPr defaultColWidth="13" defaultRowHeight="16.8"/>
  <cols>
    <col min="1" max="1" width="37.09765625" style="51" bestFit="1" customWidth="1"/>
    <col min="2" max="2" width="2" style="19" bestFit="1" customWidth="1"/>
    <col min="3" max="3" width="39.3984375" style="51" bestFit="1" customWidth="1"/>
    <col min="4" max="4" width="2.19921875" style="51" customWidth="1"/>
    <col min="5" max="5" width="26.09765625" style="51" bestFit="1" customWidth="1"/>
    <col min="6" max="16384" width="13" style="51"/>
  </cols>
  <sheetData>
    <row r="1" spans="1:5" ht="24" thickTop="1" thickBot="1">
      <c r="A1" s="73" t="s">
        <v>107</v>
      </c>
      <c r="C1" s="431" t="s">
        <v>259</v>
      </c>
      <c r="E1" s="536" t="s">
        <v>369</v>
      </c>
    </row>
    <row r="2" spans="1:5">
      <c r="A2" s="74" t="s">
        <v>176</v>
      </c>
      <c r="C2" s="432" t="s">
        <v>260</v>
      </c>
      <c r="E2" s="537" t="str">
        <f>CONCATENATE("Detect Magic @ will, CL ",'Personal File'!$E$5)</f>
        <v>Detect Magic @ will, CL 2</v>
      </c>
    </row>
    <row r="3" spans="1:5" ht="17.399999999999999" thickBot="1">
      <c r="A3" s="202" t="s">
        <v>235</v>
      </c>
      <c r="C3" s="433"/>
      <c r="E3" s="538"/>
    </row>
    <row r="4" spans="1:5" ht="18" thickTop="1" thickBot="1">
      <c r="A4" s="75" t="str">
        <f>CONCATENATE("1st:  Protection Devotion +",2+ROUNDDOWN(SUM('Personal File'!$E$3:$E$5)/4,0))</f>
        <v>1st:  Protection Devotion +3</v>
      </c>
    </row>
    <row r="5" spans="1:5" ht="24" thickTop="1" thickBot="1">
      <c r="A5" s="435" t="s">
        <v>261</v>
      </c>
      <c r="C5" s="429" t="s">
        <v>295</v>
      </c>
      <c r="E5" s="545" t="s">
        <v>374</v>
      </c>
    </row>
    <row r="6" spans="1:5" ht="17.399999999999999" thickBot="1">
      <c r="A6" s="201" t="s">
        <v>324</v>
      </c>
      <c r="C6" s="430" t="s">
        <v>339</v>
      </c>
      <c r="E6" s="546" t="s">
        <v>375</v>
      </c>
    </row>
    <row r="7" spans="1:5" ht="18" thickTop="1" thickBot="1">
      <c r="A7" s="25"/>
      <c r="C7" s="485" t="s">
        <v>340</v>
      </c>
    </row>
    <row r="8" spans="1:5" ht="24" thickTop="1" thickBot="1">
      <c r="A8" s="174" t="s">
        <v>84</v>
      </c>
      <c r="C8" s="495" t="s">
        <v>346</v>
      </c>
      <c r="D8" s="488"/>
      <c r="E8" s="489" t="s">
        <v>299</v>
      </c>
    </row>
    <row r="9" spans="1:5">
      <c r="A9" s="76" t="s">
        <v>85</v>
      </c>
      <c r="B9" s="492">
        <v>1</v>
      </c>
      <c r="C9" s="493" t="s">
        <v>341</v>
      </c>
      <c r="D9" s="488">
        <f t="shared" ref="D9:D13" ca="1" si="0">RAND()</f>
        <v>0.44140222656929118</v>
      </c>
      <c r="E9" s="490" t="str">
        <f ca="1">VLOOKUP(MATCH(LARGE($D$9:$D$13,1),$D$9:$D$13,0),$B$9:$C$13,2,FALSE)</f>
        <v>Battle Leader’s Charge</v>
      </c>
    </row>
    <row r="10" spans="1:5">
      <c r="A10" s="8" t="s">
        <v>307</v>
      </c>
      <c r="B10" s="492">
        <v>2</v>
      </c>
      <c r="C10" s="493" t="s">
        <v>342</v>
      </c>
      <c r="D10" s="488">
        <f t="shared" ca="1" si="0"/>
        <v>0.74471529738553688</v>
      </c>
      <c r="E10" s="490" t="str">
        <f ca="1">VLOOKUP(MATCH(LARGE($D$9:$D$13,2),$D$9:$D$13,0),$B$9:$C$13,2,FALSE)</f>
        <v>Shield Block</v>
      </c>
    </row>
    <row r="11" spans="1:5" ht="17.399999999999999" thickBot="1">
      <c r="A11" s="77" t="s">
        <v>255</v>
      </c>
      <c r="B11" s="492">
        <v>3</v>
      </c>
      <c r="C11" s="493" t="s">
        <v>343</v>
      </c>
      <c r="D11" s="488">
        <f t="shared" ca="1" si="0"/>
        <v>0.47950532077667374</v>
      </c>
      <c r="E11" s="490" t="str">
        <f ca="1">VLOOKUP(MATCH(LARGE($D$9:$D$13,3),$D$9:$D$13,0),$B$9:$C$13,2,FALSE)</f>
        <v>Stone Vise</v>
      </c>
    </row>
    <row r="12" spans="1:5" ht="18" thickTop="1" thickBot="1">
      <c r="A12" s="25"/>
      <c r="B12" s="492">
        <v>4</v>
      </c>
      <c r="C12" s="493" t="s">
        <v>344</v>
      </c>
      <c r="D12" s="488">
        <f t="shared" ca="1" si="0"/>
        <v>0.10404158384646056</v>
      </c>
      <c r="E12" s="490" t="str">
        <f ca="1">VLOOKUP(MATCH(LARGE($D$9:$D$13,4),$D$9:$D$13,0),$B$9:$C$13,2,FALSE)</f>
        <v>Foehammer</v>
      </c>
    </row>
    <row r="13" spans="1:5" ht="24" thickTop="1" thickBot="1">
      <c r="A13" s="175" t="s">
        <v>70</v>
      </c>
      <c r="B13" s="492">
        <v>5</v>
      </c>
      <c r="C13" s="494" t="s">
        <v>345</v>
      </c>
      <c r="D13" s="488">
        <f t="shared" ca="1" si="0"/>
        <v>0.78983580875078252</v>
      </c>
      <c r="E13" s="491" t="str">
        <f ca="1">VLOOKUP(MATCH(LARGE($D$9:$D$13,5),$D$9:$D$13,0),$B$9:$C$13,2,FALSE)</f>
        <v>Crusader’s Strike</v>
      </c>
    </row>
    <row r="14" spans="1:5" ht="17.399999999999999" thickBot="1">
      <c r="A14" s="78" t="s">
        <v>258</v>
      </c>
      <c r="C14" s="486" t="s">
        <v>297</v>
      </c>
      <c r="D14" s="488"/>
    </row>
    <row r="15" spans="1:5" ht="17.399999999999999" thickTop="1"/>
    <row r="24" spans="1:4">
      <c r="D24" s="325"/>
    </row>
    <row r="25" spans="1:4" s="325" customFormat="1">
      <c r="A25" s="51"/>
      <c r="B25" s="487"/>
      <c r="C25" s="51"/>
      <c r="D25" s="51"/>
    </row>
    <row r="26" spans="1:4">
      <c r="A26" s="325"/>
      <c r="C26" s="325"/>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0"/>
  <sheetViews>
    <sheetView showGridLines="0" workbookViewId="0"/>
  </sheetViews>
  <sheetFormatPr defaultColWidth="13" defaultRowHeight="15.6"/>
  <cols>
    <col min="1" max="1" width="28.8984375" style="80" bestFit="1" customWidth="1"/>
    <col min="2" max="2" width="9.296875" style="80" bestFit="1" customWidth="1"/>
    <col min="3" max="3" width="4.296875" style="80" bestFit="1" customWidth="1"/>
    <col min="4" max="4" width="6.296875" style="80" bestFit="1" customWidth="1"/>
    <col min="5" max="5" width="8.09765625" style="80" bestFit="1" customWidth="1"/>
    <col min="6" max="6" width="9.8984375" style="80" bestFit="1" customWidth="1"/>
    <col min="7" max="7" width="4.3984375" style="80" bestFit="1" customWidth="1"/>
    <col min="8" max="8" width="4.69921875" style="80" bestFit="1" customWidth="1"/>
    <col min="9" max="9" width="5.69921875" style="80" bestFit="1" customWidth="1"/>
    <col min="10" max="10" width="6.296875" style="80" bestFit="1" customWidth="1"/>
    <col min="11" max="11" width="12.796875" style="80" bestFit="1" customWidth="1"/>
    <col min="12" max="12" width="1.3984375" style="15" customWidth="1"/>
    <col min="13" max="13" width="5.796875" style="15" bestFit="1" customWidth="1"/>
    <col min="14" max="14" width="17.796875" style="15" bestFit="1" customWidth="1"/>
    <col min="15" max="16384" width="13" style="15"/>
  </cols>
  <sheetData>
    <row r="1" spans="1:14" ht="23.4" thickBot="1">
      <c r="A1" s="72" t="s">
        <v>15</v>
      </c>
      <c r="B1" s="72"/>
      <c r="C1" s="72"/>
      <c r="D1" s="72"/>
      <c r="E1" s="72"/>
      <c r="F1" s="72"/>
      <c r="G1" s="72"/>
      <c r="H1" s="72"/>
      <c r="I1" s="72"/>
      <c r="J1" s="72"/>
      <c r="K1" s="72"/>
    </row>
    <row r="2" spans="1:14" ht="16.8" thickTop="1" thickBot="1">
      <c r="A2" s="101" t="s">
        <v>1</v>
      </c>
      <c r="B2" s="102" t="s">
        <v>2</v>
      </c>
      <c r="C2" s="102" t="s">
        <v>19</v>
      </c>
      <c r="D2" s="102" t="s">
        <v>20</v>
      </c>
      <c r="E2" s="103" t="s">
        <v>53</v>
      </c>
      <c r="F2" s="102" t="s">
        <v>16</v>
      </c>
      <c r="G2" s="102" t="s">
        <v>21</v>
      </c>
      <c r="H2" s="104" t="s">
        <v>86</v>
      </c>
      <c r="I2" s="105" t="s">
        <v>108</v>
      </c>
      <c r="J2" s="104" t="s">
        <v>77</v>
      </c>
      <c r="K2" s="106" t="s">
        <v>75</v>
      </c>
      <c r="L2" s="137"/>
      <c r="M2" s="120" t="s">
        <v>121</v>
      </c>
    </row>
    <row r="3" spans="1:14">
      <c r="A3" s="347" t="s">
        <v>331</v>
      </c>
      <c r="B3" s="381" t="s">
        <v>350</v>
      </c>
      <c r="C3" s="381" t="str">
        <f>'Personal File'!$C$11</f>
        <v>+2</v>
      </c>
      <c r="D3" s="532">
        <f>1+1+2</f>
        <v>4</v>
      </c>
      <c r="E3" s="349" t="s">
        <v>125</v>
      </c>
      <c r="F3" s="348" t="s">
        <v>184</v>
      </c>
      <c r="G3" s="350">
        <v>6</v>
      </c>
      <c r="H3" s="348" t="str">
        <f>CONCATENATE("+",'Personal File'!$B$9+'Personal File'!$C$11+D3)</f>
        <v>+10</v>
      </c>
      <c r="I3" s="351">
        <f t="shared" ref="I3:I10" ca="1" si="0">RANDBETWEEN(1,20)</f>
        <v>10</v>
      </c>
      <c r="J3" s="352">
        <f t="shared" ref="J3:J4" ca="1" si="1">I3+H3</f>
        <v>20</v>
      </c>
      <c r="K3" s="353"/>
      <c r="L3" s="137"/>
      <c r="M3" s="141">
        <v>2335</v>
      </c>
    </row>
    <row r="4" spans="1:14">
      <c r="A4" s="347" t="s">
        <v>362</v>
      </c>
      <c r="B4" s="381" t="s">
        <v>217</v>
      </c>
      <c r="C4" s="348">
        <f>'Personal File'!$C$11-1</f>
        <v>1</v>
      </c>
      <c r="D4" s="532">
        <v>2</v>
      </c>
      <c r="E4" s="349" t="s">
        <v>363</v>
      </c>
      <c r="F4" s="348" t="s">
        <v>184</v>
      </c>
      <c r="G4" s="350">
        <v>2</v>
      </c>
      <c r="H4" s="348" t="str">
        <f>CONCATENATE("+",'Personal File'!$B$9+'Personal File'!$C$11+D4)</f>
        <v>+8</v>
      </c>
      <c r="I4" s="351">
        <f t="shared" ca="1" si="0"/>
        <v>4</v>
      </c>
      <c r="J4" s="352">
        <f t="shared" ca="1" si="1"/>
        <v>12</v>
      </c>
      <c r="K4" s="353"/>
      <c r="L4" s="137"/>
      <c r="M4" s="141">
        <v>28</v>
      </c>
      <c r="N4" s="137" t="s">
        <v>389</v>
      </c>
    </row>
    <row r="5" spans="1:14">
      <c r="A5" s="347" t="s">
        <v>187</v>
      </c>
      <c r="B5" s="348" t="s">
        <v>122</v>
      </c>
      <c r="C5" s="348" t="str">
        <f>'Personal File'!$C$11</f>
        <v>+2</v>
      </c>
      <c r="D5" s="532">
        <v>2</v>
      </c>
      <c r="E5" s="349" t="s">
        <v>127</v>
      </c>
      <c r="F5" s="348" t="s">
        <v>218</v>
      </c>
      <c r="G5" s="350">
        <v>6</v>
      </c>
      <c r="H5" s="348" t="str">
        <f>CONCATENATE("+",'Personal File'!$B$9+'Personal File'!$C$11+D5)</f>
        <v>+8</v>
      </c>
      <c r="I5" s="351">
        <f t="shared" ca="1" si="0"/>
        <v>18</v>
      </c>
      <c r="J5" s="352">
        <f t="shared" ref="J5" ca="1" si="2">I5+H5</f>
        <v>26</v>
      </c>
      <c r="K5" s="353"/>
      <c r="L5" s="137"/>
      <c r="M5" s="141">
        <v>8</v>
      </c>
    </row>
    <row r="6" spans="1:14">
      <c r="A6" s="347" t="s">
        <v>188</v>
      </c>
      <c r="B6" s="348" t="s">
        <v>217</v>
      </c>
      <c r="C6" s="348" t="str">
        <f>'Personal File'!$C$11</f>
        <v>+2</v>
      </c>
      <c r="D6" s="532">
        <v>2</v>
      </c>
      <c r="E6" s="349" t="s">
        <v>125</v>
      </c>
      <c r="F6" s="348" t="s">
        <v>357</v>
      </c>
      <c r="G6" s="350">
        <v>1</v>
      </c>
      <c r="H6" s="348" t="str">
        <f>CONCATENATE("+",'Personal File'!$B$9+'Personal File'!$C$11+D6)</f>
        <v>+8</v>
      </c>
      <c r="I6" s="351">
        <f t="shared" ca="1" si="0"/>
        <v>9</v>
      </c>
      <c r="J6" s="352">
        <f t="shared" ref="J6" ca="1" si="3">I6+H6</f>
        <v>17</v>
      </c>
      <c r="K6" s="353"/>
      <c r="L6" s="137"/>
      <c r="M6" s="141">
        <v>2</v>
      </c>
    </row>
    <row r="7" spans="1:14">
      <c r="A7" s="347" t="s">
        <v>347</v>
      </c>
      <c r="B7" s="348" t="s">
        <v>217</v>
      </c>
      <c r="C7" s="348" t="str">
        <f>'Personal File'!$C$11</f>
        <v>+2</v>
      </c>
      <c r="D7" s="532">
        <v>2</v>
      </c>
      <c r="E7" s="349" t="s">
        <v>127</v>
      </c>
      <c r="F7" s="348" t="s">
        <v>219</v>
      </c>
      <c r="G7" s="350">
        <v>1</v>
      </c>
      <c r="H7" s="348" t="str">
        <f>CONCATENATE("+",'Personal File'!$B$9+'Personal File'!$C$11+D7)</f>
        <v>+8</v>
      </c>
      <c r="I7" s="351">
        <f t="shared" ca="1" si="0"/>
        <v>6</v>
      </c>
      <c r="J7" s="352">
        <f t="shared" ref="J7" ca="1" si="4">I7+H7</f>
        <v>14</v>
      </c>
      <c r="K7" s="353" t="s">
        <v>189</v>
      </c>
      <c r="L7" s="137"/>
      <c r="M7" s="141">
        <v>10</v>
      </c>
    </row>
    <row r="8" spans="1:14">
      <c r="A8" s="559" t="s">
        <v>348</v>
      </c>
      <c r="B8" s="560" t="s">
        <v>217</v>
      </c>
      <c r="C8" s="560">
        <f>('Personal File'!$C$11/2)-1</f>
        <v>0</v>
      </c>
      <c r="D8" s="560">
        <v>2</v>
      </c>
      <c r="E8" s="561" t="s">
        <v>127</v>
      </c>
      <c r="F8" s="560" t="s">
        <v>219</v>
      </c>
      <c r="G8" s="562" t="s">
        <v>386</v>
      </c>
      <c r="H8" s="560" t="str">
        <f>CONCATENATE("+",'Personal File'!$B$9+'Personal File'!$C$11+D8)</f>
        <v>+8</v>
      </c>
      <c r="I8" s="351">
        <f t="shared" ca="1" si="0"/>
        <v>20</v>
      </c>
      <c r="J8" s="563">
        <f t="shared" ref="J8" ca="1" si="5">I8+H8</f>
        <v>28</v>
      </c>
      <c r="K8" s="564" t="s">
        <v>190</v>
      </c>
      <c r="L8" s="137"/>
      <c r="M8" s="141">
        <v>25</v>
      </c>
      <c r="N8" s="137" t="s">
        <v>384</v>
      </c>
    </row>
    <row r="9" spans="1:14">
      <c r="A9" s="157" t="s">
        <v>130</v>
      </c>
      <c r="B9" s="122" t="s">
        <v>131</v>
      </c>
      <c r="C9" s="200" t="str">
        <f>'Personal File'!$C$11</f>
        <v>+2</v>
      </c>
      <c r="D9" s="532">
        <v>2</v>
      </c>
      <c r="E9" s="332" t="s">
        <v>127</v>
      </c>
      <c r="F9" s="97" t="s">
        <v>132</v>
      </c>
      <c r="G9" s="333">
        <v>0</v>
      </c>
      <c r="H9" s="165" t="str">
        <f>CONCATENATE("+",'Personal File'!$B$9+'Personal File'!$C$11+D9)</f>
        <v>+8</v>
      </c>
      <c r="I9" s="136">
        <f t="shared" ca="1" si="0"/>
        <v>20</v>
      </c>
      <c r="J9" s="166">
        <f t="shared" ref="J9:J10" ca="1" si="6">I9+H9</f>
        <v>28</v>
      </c>
      <c r="K9" s="334"/>
      <c r="M9" s="140" t="s">
        <v>126</v>
      </c>
    </row>
    <row r="10" spans="1:14" ht="16.2" thickBot="1">
      <c r="A10" s="161" t="s">
        <v>377</v>
      </c>
      <c r="B10" s="162" t="s">
        <v>126</v>
      </c>
      <c r="C10" s="162" t="s">
        <v>126</v>
      </c>
      <c r="D10" s="162">
        <v>0</v>
      </c>
      <c r="E10" s="163" t="s">
        <v>126</v>
      </c>
      <c r="F10" s="162" t="s">
        <v>126</v>
      </c>
      <c r="G10" s="164" t="s">
        <v>126</v>
      </c>
      <c r="H10" s="162" t="str">
        <f>CONCATENATE("+",'Personal File'!$B$9+'Personal File'!$C$12+D10)</f>
        <v>+6</v>
      </c>
      <c r="I10" s="117">
        <f t="shared" ca="1" si="0"/>
        <v>19</v>
      </c>
      <c r="J10" s="167">
        <f t="shared" ca="1" si="6"/>
        <v>25</v>
      </c>
      <c r="K10" s="168"/>
      <c r="M10" s="169" t="s">
        <v>126</v>
      </c>
    </row>
    <row r="11" spans="1:14" ht="6" customHeight="1" thickTop="1" thickBot="1"/>
    <row r="12" spans="1:14" ht="16.8" thickTop="1" thickBot="1">
      <c r="A12" s="101" t="s">
        <v>4</v>
      </c>
      <c r="B12" s="102" t="s">
        <v>5</v>
      </c>
      <c r="C12" s="102" t="s">
        <v>19</v>
      </c>
      <c r="D12" s="102" t="s">
        <v>20</v>
      </c>
      <c r="E12" s="103" t="s">
        <v>53</v>
      </c>
      <c r="F12" s="102" t="s">
        <v>6</v>
      </c>
      <c r="G12" s="102" t="s">
        <v>21</v>
      </c>
      <c r="H12" s="104" t="s">
        <v>86</v>
      </c>
      <c r="I12" s="105" t="s">
        <v>108</v>
      </c>
      <c r="J12" s="104" t="s">
        <v>77</v>
      </c>
      <c r="K12" s="106" t="s">
        <v>75</v>
      </c>
      <c r="L12" s="137"/>
      <c r="M12" s="120" t="s">
        <v>121</v>
      </c>
    </row>
    <row r="13" spans="1:14">
      <c r="A13" s="151" t="s">
        <v>141</v>
      </c>
      <c r="B13" s="152" t="s">
        <v>126</v>
      </c>
      <c r="C13" s="152" t="s">
        <v>126</v>
      </c>
      <c r="D13" s="152">
        <v>0</v>
      </c>
      <c r="E13" s="153" t="s">
        <v>126</v>
      </c>
      <c r="F13" s="152" t="s">
        <v>126</v>
      </c>
      <c r="G13" s="152" t="s">
        <v>126</v>
      </c>
      <c r="H13" s="152" t="str">
        <f>CONCATENATE("+",Spellcasting!$D$10+D13)</f>
        <v>+4</v>
      </c>
      <c r="I13" s="136">
        <f t="shared" ref="I13:I18" ca="1" si="7">RANDBETWEEN(1,20)</f>
        <v>16</v>
      </c>
      <c r="J13" s="156">
        <f ca="1">I13+H13</f>
        <v>20</v>
      </c>
      <c r="K13" s="154"/>
      <c r="L13" s="137"/>
      <c r="M13" s="155" t="s">
        <v>126</v>
      </c>
    </row>
    <row r="14" spans="1:14">
      <c r="A14" s="157" t="s">
        <v>263</v>
      </c>
      <c r="B14" s="122" t="s">
        <v>122</v>
      </c>
      <c r="C14" s="158" t="s">
        <v>51</v>
      </c>
      <c r="D14" s="158" t="s">
        <v>264</v>
      </c>
      <c r="E14" s="122" t="s">
        <v>125</v>
      </c>
      <c r="F14" s="158" t="s">
        <v>133</v>
      </c>
      <c r="G14" s="159">
        <v>4</v>
      </c>
      <c r="H14" s="123" t="str">
        <f>CONCATENATE("+",'Personal File'!$B$9+'Personal File'!$C$12+D14)</f>
        <v>+7</v>
      </c>
      <c r="I14" s="136">
        <f t="shared" ca="1" si="7"/>
        <v>19</v>
      </c>
      <c r="J14" s="126">
        <f ca="1">I14+H14</f>
        <v>26</v>
      </c>
      <c r="K14" s="160"/>
      <c r="L14" s="137"/>
      <c r="M14" s="139">
        <v>335</v>
      </c>
    </row>
    <row r="15" spans="1:14">
      <c r="A15" s="157" t="s">
        <v>192</v>
      </c>
      <c r="B15" s="411" t="s">
        <v>276</v>
      </c>
      <c r="C15" s="158" t="s">
        <v>51</v>
      </c>
      <c r="D15" s="158" t="s">
        <v>51</v>
      </c>
      <c r="E15" s="122">
        <v>20</v>
      </c>
      <c r="F15" s="158" t="s">
        <v>216</v>
      </c>
      <c r="G15" s="159" t="s">
        <v>386</v>
      </c>
      <c r="H15" s="123" t="str">
        <f>CONCATENATE("+",'Personal File'!$B$9+'Personal File'!$C$12+D15)</f>
        <v>+6</v>
      </c>
      <c r="I15" s="136">
        <f t="shared" ca="1" si="7"/>
        <v>14</v>
      </c>
      <c r="J15" s="126">
        <f ca="1">I15+H15</f>
        <v>20</v>
      </c>
      <c r="K15" s="160">
        <v>1</v>
      </c>
      <c r="L15" s="137"/>
      <c r="M15" s="139">
        <f>10*K15</f>
        <v>10</v>
      </c>
      <c r="N15" s="137" t="s">
        <v>384</v>
      </c>
    </row>
    <row r="16" spans="1:14">
      <c r="A16" s="157" t="s">
        <v>193</v>
      </c>
      <c r="B16" s="412" t="s">
        <v>276</v>
      </c>
      <c r="C16" s="158" t="s">
        <v>51</v>
      </c>
      <c r="D16" s="158" t="s">
        <v>51</v>
      </c>
      <c r="E16" s="122">
        <v>20</v>
      </c>
      <c r="F16" s="158" t="s">
        <v>216</v>
      </c>
      <c r="G16" s="159">
        <f>K16</f>
        <v>1</v>
      </c>
      <c r="H16" s="123" t="str">
        <f>CONCATENATE("+",'Personal File'!$B$9+'Personal File'!$C$12+D16)</f>
        <v>+6</v>
      </c>
      <c r="I16" s="136">
        <f t="shared" ca="1" si="7"/>
        <v>10</v>
      </c>
      <c r="J16" s="126">
        <f t="shared" ref="J16:J17" ca="1" si="8">I16+H16</f>
        <v>16</v>
      </c>
      <c r="K16" s="160">
        <v>1</v>
      </c>
      <c r="L16" s="137"/>
      <c r="M16" s="139">
        <f>10*K16</f>
        <v>10</v>
      </c>
    </row>
    <row r="17" spans="1:13">
      <c r="A17" s="478" t="s">
        <v>316</v>
      </c>
      <c r="B17" s="484" t="s">
        <v>276</v>
      </c>
      <c r="C17" s="479" t="s">
        <v>51</v>
      </c>
      <c r="D17" s="479" t="s">
        <v>51</v>
      </c>
      <c r="E17" s="480" t="s">
        <v>127</v>
      </c>
      <c r="F17" s="479" t="s">
        <v>338</v>
      </c>
      <c r="G17" s="481" t="s">
        <v>126</v>
      </c>
      <c r="H17" s="481" t="str">
        <f>CONCATENATE("+",'Personal File'!$B$9+'Personal File'!$C$12+D17)</f>
        <v>+6</v>
      </c>
      <c r="I17" s="136">
        <f t="shared" ca="1" si="7"/>
        <v>13</v>
      </c>
      <c r="J17" s="482">
        <f t="shared" ca="1" si="8"/>
        <v>19</v>
      </c>
      <c r="K17" s="483"/>
      <c r="L17" s="137"/>
      <c r="M17" s="477" t="s">
        <v>126</v>
      </c>
    </row>
    <row r="18" spans="1:13" ht="16.2" thickBot="1">
      <c r="A18" s="354" t="s">
        <v>142</v>
      </c>
      <c r="B18" s="162" t="s">
        <v>126</v>
      </c>
      <c r="C18" s="162" t="s">
        <v>126</v>
      </c>
      <c r="D18" s="162">
        <v>0</v>
      </c>
      <c r="E18" s="163" t="s">
        <v>126</v>
      </c>
      <c r="F18" s="162" t="s">
        <v>126</v>
      </c>
      <c r="G18" s="162" t="s">
        <v>126</v>
      </c>
      <c r="H18" s="162" t="str">
        <f>CONCATENATE("+",'Personal File'!$B$9+'Personal File'!$C$12+D18)</f>
        <v>+6</v>
      </c>
      <c r="I18" s="117">
        <f t="shared" ca="1" si="7"/>
        <v>11</v>
      </c>
      <c r="J18" s="167">
        <f ca="1">I18+H18</f>
        <v>17</v>
      </c>
      <c r="K18" s="355"/>
      <c r="L18" s="137"/>
      <c r="M18" s="356" t="s">
        <v>126</v>
      </c>
    </row>
    <row r="19" spans="1:13" ht="6" customHeight="1" thickTop="1" thickBot="1">
      <c r="D19" s="107"/>
      <c r="E19" s="107"/>
      <c r="G19" s="100"/>
      <c r="H19" s="100"/>
      <c r="I19" s="100"/>
      <c r="J19" s="100"/>
      <c r="L19" s="137"/>
    </row>
    <row r="20" spans="1:13" ht="16.8" thickTop="1" thickBot="1">
      <c r="A20" s="101" t="s">
        <v>58</v>
      </c>
      <c r="B20" s="102" t="s">
        <v>9</v>
      </c>
      <c r="C20" s="102" t="s">
        <v>24</v>
      </c>
      <c r="D20" s="102" t="s">
        <v>77</v>
      </c>
      <c r="E20" s="102" t="s">
        <v>78</v>
      </c>
      <c r="F20" s="102" t="s">
        <v>79</v>
      </c>
      <c r="G20" s="102" t="s">
        <v>21</v>
      </c>
      <c r="H20" s="108" t="s">
        <v>75</v>
      </c>
      <c r="I20" s="109"/>
      <c r="J20" s="109"/>
      <c r="K20" s="110"/>
      <c r="L20" s="137"/>
      <c r="M20" s="120" t="s">
        <v>121</v>
      </c>
    </row>
    <row r="21" spans="1:13">
      <c r="A21" s="85" t="s">
        <v>277</v>
      </c>
      <c r="B21" s="500">
        <f>4+1</f>
        <v>5</v>
      </c>
      <c r="C21" s="501">
        <v>5</v>
      </c>
      <c r="D21" s="500">
        <v>-1</v>
      </c>
      <c r="E21" s="534">
        <v>0.2</v>
      </c>
      <c r="F21" s="501" t="s">
        <v>110</v>
      </c>
      <c r="G21" s="502">
        <v>25</v>
      </c>
      <c r="H21" s="503"/>
      <c r="I21" s="504"/>
      <c r="J21" s="504"/>
      <c r="K21" s="505"/>
      <c r="L21" s="137"/>
      <c r="M21" s="139">
        <v>2750</v>
      </c>
    </row>
    <row r="22" spans="1:13">
      <c r="A22" s="347" t="s">
        <v>367</v>
      </c>
      <c r="B22" s="381">
        <v>1</v>
      </c>
      <c r="C22" s="526" t="s">
        <v>126</v>
      </c>
      <c r="D22" s="381">
        <v>-1</v>
      </c>
      <c r="E22" s="535">
        <v>0.05</v>
      </c>
      <c r="F22" s="526" t="s">
        <v>126</v>
      </c>
      <c r="G22" s="527">
        <v>0.5</v>
      </c>
      <c r="H22" s="528"/>
      <c r="I22" s="529"/>
      <c r="J22" s="529"/>
      <c r="K22" s="530"/>
      <c r="L22" s="137"/>
      <c r="M22" s="139">
        <v>2300</v>
      </c>
    </row>
    <row r="23" spans="1:13">
      <c r="A23" s="506" t="s">
        <v>286</v>
      </c>
      <c r="B23" s="507">
        <v>2</v>
      </c>
      <c r="C23" s="507" t="s">
        <v>126</v>
      </c>
      <c r="D23" s="125">
        <v>0</v>
      </c>
      <c r="E23" s="535">
        <v>0.05</v>
      </c>
      <c r="F23" s="125" t="s">
        <v>126</v>
      </c>
      <c r="G23" s="123">
        <v>5</v>
      </c>
      <c r="H23" s="508"/>
      <c r="I23" s="509"/>
      <c r="J23" s="509"/>
      <c r="K23" s="192"/>
      <c r="L23" s="137"/>
      <c r="M23" s="139">
        <v>1165</v>
      </c>
    </row>
    <row r="24" spans="1:13" ht="16.2" thickBot="1">
      <c r="A24" s="90" t="s">
        <v>333</v>
      </c>
      <c r="B24" s="116" t="s">
        <v>334</v>
      </c>
      <c r="C24" s="170" t="s">
        <v>126</v>
      </c>
      <c r="D24" s="116" t="s">
        <v>126</v>
      </c>
      <c r="E24" s="171" t="s">
        <v>126</v>
      </c>
      <c r="F24" s="170" t="s">
        <v>126</v>
      </c>
      <c r="G24" s="118">
        <v>0</v>
      </c>
      <c r="H24" s="119"/>
      <c r="I24" s="111"/>
      <c r="J24" s="111"/>
      <c r="K24" s="173"/>
      <c r="M24" s="142">
        <v>500</v>
      </c>
    </row>
    <row r="25" spans="1:13" ht="6.75" customHeight="1" thickTop="1" thickBot="1"/>
    <row r="26" spans="1:13" ht="16.8" thickTop="1" thickBot="1">
      <c r="D26" s="112" t="s">
        <v>59</v>
      </c>
      <c r="E26" s="113"/>
      <c r="F26" s="108" t="s">
        <v>3</v>
      </c>
      <c r="G26" s="102" t="s">
        <v>21</v>
      </c>
      <c r="H26" s="104" t="s">
        <v>86</v>
      </c>
      <c r="I26" s="108" t="s">
        <v>75</v>
      </c>
      <c r="J26" s="109"/>
      <c r="K26" s="110"/>
      <c r="M26" s="120" t="s">
        <v>121</v>
      </c>
    </row>
    <row r="27" spans="1:13">
      <c r="D27" s="518" t="s">
        <v>119</v>
      </c>
      <c r="E27" s="519"/>
      <c r="F27" s="520">
        <v>10</v>
      </c>
      <c r="G27" s="521">
        <f>F27/10</f>
        <v>1</v>
      </c>
      <c r="H27" s="521" t="s">
        <v>120</v>
      </c>
      <c r="I27" s="522"/>
      <c r="J27" s="523"/>
      <c r="K27" s="524"/>
      <c r="M27" s="525">
        <f>F27/10</f>
        <v>1</v>
      </c>
    </row>
    <row r="28" spans="1:13" ht="16.2" thickBot="1">
      <c r="D28" s="510"/>
      <c r="E28" s="511"/>
      <c r="F28" s="512"/>
      <c r="G28" s="513"/>
      <c r="H28" s="514"/>
      <c r="I28" s="515"/>
      <c r="J28" s="114"/>
      <c r="K28" s="516"/>
      <c r="M28" s="517"/>
    </row>
    <row r="29" spans="1:13" ht="16.8" thickTop="1" thickBot="1"/>
    <row r="30" spans="1:13" ht="16.8" thickTop="1" thickBot="1">
      <c r="D30" s="112" t="s">
        <v>144</v>
      </c>
      <c r="E30" s="109"/>
      <c r="F30" s="109"/>
      <c r="G30" s="109"/>
      <c r="H30" s="185" t="s">
        <v>3</v>
      </c>
      <c r="I30" s="185" t="s">
        <v>0</v>
      </c>
      <c r="J30" s="185" t="s">
        <v>145</v>
      </c>
      <c r="K30" s="110" t="s">
        <v>75</v>
      </c>
      <c r="L30" s="137"/>
      <c r="M30" s="186" t="s">
        <v>121</v>
      </c>
    </row>
    <row r="31" spans="1:13">
      <c r="D31" s="188" t="s">
        <v>265</v>
      </c>
      <c r="E31" s="189"/>
      <c r="F31" s="189"/>
      <c r="G31" s="190"/>
      <c r="H31" s="191">
        <v>1</v>
      </c>
      <c r="I31" s="125">
        <v>1</v>
      </c>
      <c r="J31" s="125">
        <v>1</v>
      </c>
      <c r="K31" s="192"/>
      <c r="L31" s="137"/>
      <c r="M31" s="187">
        <f t="shared" ref="M31:M39" si="9">25*H31*I31*J31</f>
        <v>25</v>
      </c>
    </row>
    <row r="32" spans="1:13">
      <c r="C32" s="531"/>
      <c r="D32" s="472" t="s">
        <v>364</v>
      </c>
      <c r="E32" s="473"/>
      <c r="F32" s="473"/>
      <c r="G32" s="474"/>
      <c r="H32" s="475">
        <v>1</v>
      </c>
      <c r="I32" s="476">
        <v>3</v>
      </c>
      <c r="J32" s="476">
        <v>8</v>
      </c>
      <c r="K32" s="172"/>
      <c r="L32" s="137"/>
      <c r="M32" s="187">
        <f t="shared" si="9"/>
        <v>600</v>
      </c>
    </row>
    <row r="33" spans="3:13">
      <c r="C33" s="531"/>
      <c r="D33" s="472" t="s">
        <v>365</v>
      </c>
      <c r="E33" s="473"/>
      <c r="F33" s="473"/>
      <c r="G33" s="474"/>
      <c r="H33" s="475">
        <v>1</v>
      </c>
      <c r="I33" s="476">
        <v>3</v>
      </c>
      <c r="J33" s="476">
        <v>8</v>
      </c>
      <c r="K33" s="172"/>
      <c r="L33" s="137"/>
      <c r="M33" s="187">
        <f t="shared" si="9"/>
        <v>600</v>
      </c>
    </row>
    <row r="34" spans="3:13">
      <c r="D34" s="472" t="s">
        <v>366</v>
      </c>
      <c r="E34" s="473"/>
      <c r="F34" s="473"/>
      <c r="G34" s="474"/>
      <c r="H34" s="475">
        <v>1</v>
      </c>
      <c r="I34" s="476">
        <v>3</v>
      </c>
      <c r="J34" s="476">
        <v>8</v>
      </c>
      <c r="K34" s="172"/>
      <c r="L34" s="137"/>
      <c r="M34" s="187">
        <f t="shared" si="9"/>
        <v>600</v>
      </c>
    </row>
    <row r="35" spans="3:13">
      <c r="D35" s="472" t="s">
        <v>335</v>
      </c>
      <c r="E35" s="473"/>
      <c r="F35" s="473"/>
      <c r="G35" s="474"/>
      <c r="H35" s="475">
        <v>0</v>
      </c>
      <c r="I35" s="476">
        <v>1</v>
      </c>
      <c r="J35" s="476">
        <v>2</v>
      </c>
      <c r="K35" s="172"/>
      <c r="L35" s="137"/>
      <c r="M35" s="187">
        <f>25*H35*I35*J35</f>
        <v>0</v>
      </c>
    </row>
    <row r="36" spans="3:13">
      <c r="D36" s="472" t="s">
        <v>287</v>
      </c>
      <c r="E36" s="473"/>
      <c r="F36" s="473"/>
      <c r="G36" s="474"/>
      <c r="H36" s="475">
        <v>1</v>
      </c>
      <c r="I36" s="476">
        <v>1</v>
      </c>
      <c r="J36" s="476">
        <v>1</v>
      </c>
      <c r="K36" s="172"/>
      <c r="L36" s="137"/>
      <c r="M36" s="187">
        <f t="shared" ref="M36:M38" si="10">25*H36*I36*J36</f>
        <v>25</v>
      </c>
    </row>
    <row r="37" spans="3:13">
      <c r="D37" s="472" t="s">
        <v>361</v>
      </c>
      <c r="E37" s="473"/>
      <c r="F37" s="473"/>
      <c r="G37" s="474"/>
      <c r="H37" s="475">
        <v>1</v>
      </c>
      <c r="I37" s="476">
        <v>1</v>
      </c>
      <c r="J37" s="476">
        <v>1</v>
      </c>
      <c r="K37" s="172"/>
      <c r="L37" s="137"/>
      <c r="M37" s="187">
        <f t="shared" si="10"/>
        <v>25</v>
      </c>
    </row>
    <row r="38" spans="3:13">
      <c r="D38" s="472" t="s">
        <v>360</v>
      </c>
      <c r="E38" s="473"/>
      <c r="F38" s="473"/>
      <c r="G38" s="474"/>
      <c r="H38" s="475">
        <v>0</v>
      </c>
      <c r="I38" s="476">
        <v>2</v>
      </c>
      <c r="J38" s="476">
        <v>3</v>
      </c>
      <c r="K38" s="172"/>
      <c r="L38" s="137"/>
      <c r="M38" s="187">
        <f t="shared" si="10"/>
        <v>0</v>
      </c>
    </row>
    <row r="39" spans="3:13" ht="16.2" thickBot="1">
      <c r="D39" s="193" t="s">
        <v>359</v>
      </c>
      <c r="E39" s="194"/>
      <c r="F39" s="194"/>
      <c r="G39" s="195"/>
      <c r="H39" s="196">
        <v>1</v>
      </c>
      <c r="I39" s="197">
        <v>2</v>
      </c>
      <c r="J39" s="197">
        <v>3</v>
      </c>
      <c r="K39" s="198"/>
      <c r="L39" s="137"/>
      <c r="M39" s="199">
        <f t="shared" si="9"/>
        <v>150</v>
      </c>
    </row>
    <row r="40" spans="3:13" ht="16.2" thickTop="1"/>
  </sheetData>
  <phoneticPr fontId="0" type="noConversion"/>
  <conditionalFormatting sqref="I9:I10 I13:I14 I18 I3:I4">
    <cfRule type="cellIs" dxfId="10" priority="25" operator="equal">
      <formula>20</formula>
    </cfRule>
  </conditionalFormatting>
  <conditionalFormatting sqref="I10 I14">
    <cfRule type="cellIs" dxfId="9" priority="24" operator="equal">
      <formula>19</formula>
    </cfRule>
  </conditionalFormatting>
  <conditionalFormatting sqref="I6">
    <cfRule type="cellIs" dxfId="8" priority="11" operator="equal">
      <formula>20</formula>
    </cfRule>
  </conditionalFormatting>
  <conditionalFormatting sqref="I7">
    <cfRule type="cellIs" dxfId="7" priority="10" operator="equal">
      <formula>20</formula>
    </cfRule>
  </conditionalFormatting>
  <conditionalFormatting sqref="I15">
    <cfRule type="cellIs" dxfId="6" priority="8" operator="equal">
      <formula>20</formula>
    </cfRule>
  </conditionalFormatting>
  <conditionalFormatting sqref="I15">
    <cfRule type="cellIs" dxfId="5" priority="7" operator="equal">
      <formula>19</formula>
    </cfRule>
  </conditionalFormatting>
  <conditionalFormatting sqref="I16:I17">
    <cfRule type="cellIs" dxfId="4" priority="6" operator="equal">
      <formula>20</formula>
    </cfRule>
  </conditionalFormatting>
  <conditionalFormatting sqref="I16:I17">
    <cfRule type="cellIs" dxfId="3" priority="5" operator="equal">
      <formula>19</formula>
    </cfRule>
  </conditionalFormatting>
  <conditionalFormatting sqref="I5">
    <cfRule type="cellIs" dxfId="2" priority="3" operator="equal">
      <formula>20</formula>
    </cfRule>
  </conditionalFormatting>
  <conditionalFormatting sqref="I8">
    <cfRule type="cellIs" dxfId="1" priority="2" operator="equal">
      <formula>20</formula>
    </cfRule>
  </conditionalFormatting>
  <conditionalFormatting sqref="I3">
    <cfRule type="cellIs" dxfId="0" priority="1" operator="greaterThanOrEqual">
      <formula>17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7"/>
  <sheetViews>
    <sheetView showGridLines="0" workbookViewId="0"/>
  </sheetViews>
  <sheetFormatPr defaultColWidth="7.8984375" defaultRowHeight="15.6"/>
  <cols>
    <col min="1" max="1" width="28.796875" style="80" bestFit="1" customWidth="1"/>
    <col min="2" max="2" width="5.69921875" style="80" bestFit="1" customWidth="1"/>
    <col min="3" max="3" width="5.3984375" style="100" bestFit="1" customWidth="1"/>
    <col min="4" max="5" width="23.09765625" style="15" customWidth="1"/>
    <col min="6" max="6" width="1.19921875" style="80" customWidth="1"/>
    <col min="7" max="7" width="8.296875" style="15" bestFit="1" customWidth="1"/>
    <col min="8" max="16384" width="7.8984375" style="15"/>
  </cols>
  <sheetData>
    <row r="1" spans="1:7" ht="23.4" thickBot="1">
      <c r="A1" s="72" t="s">
        <v>72</v>
      </c>
      <c r="B1" s="72"/>
      <c r="C1" s="79"/>
      <c r="D1" s="72"/>
      <c r="E1" s="72"/>
    </row>
    <row r="2" spans="1:7" s="80" customFormat="1" ht="16.8" thickTop="1" thickBot="1">
      <c r="A2" s="81" t="s">
        <v>73</v>
      </c>
      <c r="B2" s="81" t="s">
        <v>3</v>
      </c>
      <c r="C2" s="82" t="s">
        <v>21</v>
      </c>
      <c r="D2" s="83" t="s">
        <v>74</v>
      </c>
      <c r="E2" s="84" t="s">
        <v>75</v>
      </c>
      <c r="G2" s="121" t="s">
        <v>121</v>
      </c>
    </row>
    <row r="3" spans="1:7">
      <c r="A3" s="347" t="s">
        <v>291</v>
      </c>
      <c r="B3" s="421">
        <v>1</v>
      </c>
      <c r="C3" s="422">
        <v>1</v>
      </c>
      <c r="D3" s="423"/>
      <c r="E3" s="424"/>
      <c r="G3" s="131">
        <v>1000</v>
      </c>
    </row>
    <row r="4" spans="1:7">
      <c r="A4" s="347" t="s">
        <v>292</v>
      </c>
      <c r="B4" s="421">
        <v>1</v>
      </c>
      <c r="C4" s="422">
        <v>0</v>
      </c>
      <c r="D4" s="427"/>
      <c r="E4" s="424"/>
      <c r="G4" s="131">
        <v>500</v>
      </c>
    </row>
    <row r="5" spans="1:7">
      <c r="A5" s="86" t="s">
        <v>378</v>
      </c>
      <c r="B5" s="413">
        <v>1</v>
      </c>
      <c r="C5" s="87">
        <v>1</v>
      </c>
      <c r="D5" s="88"/>
      <c r="E5" s="89"/>
      <c r="G5" s="209">
        <v>750</v>
      </c>
    </row>
    <row r="6" spans="1:7">
      <c r="A6" s="86" t="s">
        <v>332</v>
      </c>
      <c r="B6" s="413">
        <v>1</v>
      </c>
      <c r="C6" s="87">
        <v>0</v>
      </c>
      <c r="D6" s="88"/>
      <c r="E6" s="89"/>
      <c r="G6" s="209">
        <v>1400</v>
      </c>
    </row>
    <row r="7" spans="1:7">
      <c r="A7" s="347" t="s">
        <v>306</v>
      </c>
      <c r="B7" s="421">
        <v>4</v>
      </c>
      <c r="C7" s="422">
        <v>0</v>
      </c>
      <c r="D7" s="427" t="s">
        <v>305</v>
      </c>
      <c r="E7" s="424"/>
      <c r="G7" s="131">
        <f>B7*8</f>
        <v>32</v>
      </c>
    </row>
    <row r="8" spans="1:7">
      <c r="A8" s="86" t="s">
        <v>123</v>
      </c>
      <c r="B8" s="413">
        <v>1</v>
      </c>
      <c r="C8" s="87">
        <v>2</v>
      </c>
      <c r="D8" s="88"/>
      <c r="E8" s="89"/>
      <c r="G8" s="209">
        <v>5</v>
      </c>
    </row>
    <row r="9" spans="1:7">
      <c r="A9" s="86" t="s">
        <v>210</v>
      </c>
      <c r="B9" s="413">
        <v>1</v>
      </c>
      <c r="C9" s="87" t="s">
        <v>211</v>
      </c>
      <c r="D9" s="88"/>
      <c r="E9" s="89"/>
      <c r="G9" s="209" t="s">
        <v>129</v>
      </c>
    </row>
    <row r="10" spans="1:7" ht="16.2" thickBot="1">
      <c r="A10" s="90" t="s">
        <v>191</v>
      </c>
      <c r="B10" s="146">
        <v>1</v>
      </c>
      <c r="C10" s="92">
        <v>1</v>
      </c>
      <c r="D10" s="93"/>
      <c r="E10" s="94"/>
      <c r="G10" s="132">
        <v>25</v>
      </c>
    </row>
    <row r="11" spans="1:7" ht="24" thickTop="1" thickBot="1">
      <c r="A11" s="72" t="s">
        <v>76</v>
      </c>
      <c r="B11" s="72"/>
      <c r="C11" s="95"/>
      <c r="D11" s="72"/>
      <c r="E11" s="96"/>
      <c r="G11" s="133"/>
    </row>
    <row r="12" spans="1:7" ht="16.8" thickTop="1" thickBot="1">
      <c r="A12" s="81" t="s">
        <v>73</v>
      </c>
      <c r="B12" s="81" t="s">
        <v>3</v>
      </c>
      <c r="C12" s="82" t="s">
        <v>21</v>
      </c>
      <c r="D12" s="83" t="s">
        <v>74</v>
      </c>
      <c r="E12" s="84" t="s">
        <v>75</v>
      </c>
      <c r="G12" s="134" t="s">
        <v>121</v>
      </c>
    </row>
    <row r="13" spans="1:7">
      <c r="A13" s="86" t="s">
        <v>196</v>
      </c>
      <c r="B13" s="97">
        <v>493</v>
      </c>
      <c r="C13" s="380">
        <f t="shared" ref="C13:C14" si="0">B13/100</f>
        <v>4.93</v>
      </c>
      <c r="D13" s="88"/>
      <c r="E13" s="89"/>
      <c r="G13" s="131">
        <f>B13</f>
        <v>493</v>
      </c>
    </row>
    <row r="14" spans="1:7">
      <c r="A14" s="206" t="s">
        <v>351</v>
      </c>
      <c r="B14" s="97">
        <v>51</v>
      </c>
      <c r="C14" s="380">
        <f t="shared" si="0"/>
        <v>0.51</v>
      </c>
      <c r="D14" s="415"/>
      <c r="E14" s="89"/>
      <c r="G14" s="131">
        <f>B14*5</f>
        <v>255</v>
      </c>
    </row>
    <row r="15" spans="1:7">
      <c r="A15" s="206" t="s">
        <v>382</v>
      </c>
      <c r="B15" s="207">
        <v>1</v>
      </c>
      <c r="C15" s="87">
        <v>0</v>
      </c>
      <c r="D15" s="208" t="s">
        <v>383</v>
      </c>
      <c r="E15" s="135"/>
      <c r="F15"/>
      <c r="G15" s="416">
        <v>0</v>
      </c>
    </row>
    <row r="16" spans="1:7">
      <c r="A16" s="206" t="s">
        <v>336</v>
      </c>
      <c r="B16" s="97" t="s">
        <v>262</v>
      </c>
      <c r="C16" s="87">
        <v>1</v>
      </c>
      <c r="D16" s="415"/>
      <c r="E16" s="89"/>
      <c r="G16" s="131">
        <v>50</v>
      </c>
    </row>
    <row r="17" spans="1:7">
      <c r="A17" s="206" t="s">
        <v>197</v>
      </c>
      <c r="B17" s="207">
        <v>4</v>
      </c>
      <c r="C17" s="87">
        <f>B17/10</f>
        <v>0.4</v>
      </c>
      <c r="D17" s="208"/>
      <c r="E17" s="135"/>
      <c r="G17" s="209">
        <f>8*B17</f>
        <v>32</v>
      </c>
    </row>
    <row r="18" spans="1:7">
      <c r="A18" s="206" t="s">
        <v>199</v>
      </c>
      <c r="B18" s="207">
        <v>2</v>
      </c>
      <c r="C18" s="87">
        <f>B18/10</f>
        <v>0.2</v>
      </c>
      <c r="D18" s="208"/>
      <c r="E18" s="135"/>
      <c r="G18" s="209">
        <f>50*B18</f>
        <v>100</v>
      </c>
    </row>
    <row r="19" spans="1:7">
      <c r="A19" s="206" t="s">
        <v>198</v>
      </c>
      <c r="B19" s="207">
        <v>4</v>
      </c>
      <c r="C19" s="87">
        <v>0</v>
      </c>
      <c r="D19" s="208"/>
      <c r="E19" s="135"/>
      <c r="G19" s="209">
        <v>0</v>
      </c>
    </row>
    <row r="20" spans="1:7">
      <c r="A20" s="206" t="s">
        <v>194</v>
      </c>
      <c r="B20" s="207">
        <v>1</v>
      </c>
      <c r="C20" s="87">
        <v>3</v>
      </c>
      <c r="D20" s="208" t="s">
        <v>195</v>
      </c>
      <c r="E20" s="135"/>
      <c r="G20" s="209">
        <v>15</v>
      </c>
    </row>
    <row r="21" spans="1:7">
      <c r="A21" s="206" t="s">
        <v>246</v>
      </c>
      <c r="B21" s="207">
        <v>1</v>
      </c>
      <c r="C21" s="87">
        <v>1</v>
      </c>
      <c r="D21" s="208"/>
      <c r="E21" s="135"/>
      <c r="G21" s="209">
        <v>110</v>
      </c>
    </row>
    <row r="22" spans="1:7">
      <c r="A22" s="554" t="s">
        <v>248</v>
      </c>
      <c r="B22" s="555">
        <v>1</v>
      </c>
      <c r="C22" s="556" t="s">
        <v>386</v>
      </c>
      <c r="D22" s="557" t="s">
        <v>384</v>
      </c>
      <c r="E22" s="558"/>
      <c r="G22" s="209">
        <v>30</v>
      </c>
    </row>
    <row r="23" spans="1:7">
      <c r="A23" s="554" t="s">
        <v>247</v>
      </c>
      <c r="B23" s="555">
        <v>1</v>
      </c>
      <c r="C23" s="556" t="s">
        <v>385</v>
      </c>
      <c r="D23" s="557" t="s">
        <v>384</v>
      </c>
      <c r="E23" s="558"/>
      <c r="G23" s="209">
        <v>50</v>
      </c>
    </row>
    <row r="24" spans="1:7">
      <c r="A24" s="206" t="s">
        <v>266</v>
      </c>
      <c r="B24" s="207">
        <v>1</v>
      </c>
      <c r="C24" s="87">
        <v>5</v>
      </c>
      <c r="D24" s="208" t="s">
        <v>267</v>
      </c>
      <c r="E24" s="135"/>
      <c r="G24" s="209">
        <v>10</v>
      </c>
    </row>
    <row r="25" spans="1:7">
      <c r="A25" s="206" t="s">
        <v>278</v>
      </c>
      <c r="B25" s="207">
        <v>1</v>
      </c>
      <c r="C25" s="87">
        <v>4</v>
      </c>
      <c r="D25" s="208" t="s">
        <v>279</v>
      </c>
      <c r="E25" s="135"/>
      <c r="G25" s="209">
        <v>1</v>
      </c>
    </row>
    <row r="26" spans="1:7">
      <c r="A26" s="206" t="s">
        <v>283</v>
      </c>
      <c r="B26" s="207">
        <v>1</v>
      </c>
      <c r="C26" s="87">
        <v>5</v>
      </c>
      <c r="D26" s="208"/>
      <c r="E26" s="135"/>
      <c r="G26" s="209">
        <v>80</v>
      </c>
    </row>
    <row r="27" spans="1:7">
      <c r="A27" s="206" t="s">
        <v>284</v>
      </c>
      <c r="B27" s="207">
        <v>1</v>
      </c>
      <c r="C27" s="87">
        <v>1</v>
      </c>
      <c r="D27" s="208"/>
      <c r="E27" s="135"/>
      <c r="G27" s="209">
        <v>50</v>
      </c>
    </row>
    <row r="28" spans="1:7">
      <c r="A28" s="206" t="s">
        <v>280</v>
      </c>
      <c r="B28" s="207">
        <v>1</v>
      </c>
      <c r="C28" s="87">
        <v>1</v>
      </c>
      <c r="D28" s="208"/>
      <c r="E28" s="135"/>
      <c r="G28" s="209">
        <v>25</v>
      </c>
    </row>
    <row r="29" spans="1:7">
      <c r="A29" s="206" t="s">
        <v>281</v>
      </c>
      <c r="B29" s="207">
        <v>1</v>
      </c>
      <c r="C29" s="87">
        <v>2</v>
      </c>
      <c r="D29" s="208"/>
      <c r="E29" s="135"/>
      <c r="G29" s="209">
        <v>15</v>
      </c>
    </row>
    <row r="30" spans="1:7">
      <c r="A30" s="206" t="s">
        <v>308</v>
      </c>
      <c r="B30" s="207">
        <v>1</v>
      </c>
      <c r="C30" s="87">
        <v>0.5</v>
      </c>
      <c r="D30" s="208"/>
      <c r="E30" s="135"/>
      <c r="G30" s="209">
        <v>20</v>
      </c>
    </row>
    <row r="31" spans="1:7">
      <c r="A31" s="206" t="s">
        <v>304</v>
      </c>
      <c r="B31" s="207">
        <v>1</v>
      </c>
      <c r="C31" s="87">
        <v>0</v>
      </c>
      <c r="D31" s="208"/>
      <c r="E31" s="135"/>
      <c r="G31" s="209">
        <v>1</v>
      </c>
    </row>
    <row r="32" spans="1:7">
      <c r="A32" s="206" t="s">
        <v>309</v>
      </c>
      <c r="B32" s="207">
        <v>1</v>
      </c>
      <c r="C32" s="87">
        <v>0.5</v>
      </c>
      <c r="D32" s="208"/>
      <c r="E32" s="135"/>
      <c r="G32" s="414">
        <f>B32/10</f>
        <v>0.1</v>
      </c>
    </row>
    <row r="33" spans="1:7">
      <c r="A33" s="206" t="s">
        <v>202</v>
      </c>
      <c r="B33" s="207">
        <v>1</v>
      </c>
      <c r="C33" s="87">
        <v>4</v>
      </c>
      <c r="D33" s="208"/>
      <c r="E33" s="135"/>
      <c r="G33" s="209">
        <v>1</v>
      </c>
    </row>
    <row r="34" spans="1:7">
      <c r="A34" s="206" t="s">
        <v>205</v>
      </c>
      <c r="B34" s="207">
        <v>5</v>
      </c>
      <c r="C34" s="87">
        <f>B34</f>
        <v>5</v>
      </c>
      <c r="D34" s="208"/>
      <c r="E34" s="135"/>
      <c r="G34" s="414">
        <f>B34/10</f>
        <v>0.5</v>
      </c>
    </row>
    <row r="35" spans="1:7">
      <c r="A35" s="206" t="s">
        <v>249</v>
      </c>
      <c r="B35" s="207">
        <v>5</v>
      </c>
      <c r="C35" s="87">
        <v>0</v>
      </c>
      <c r="D35" s="208"/>
      <c r="E35" s="135"/>
      <c r="G35" s="209">
        <f>B35</f>
        <v>5</v>
      </c>
    </row>
    <row r="36" spans="1:7">
      <c r="A36" s="548" t="s">
        <v>245</v>
      </c>
      <c r="B36" s="549">
        <v>2</v>
      </c>
      <c r="C36" s="550">
        <v>1</v>
      </c>
      <c r="D36" s="551"/>
      <c r="E36" s="552"/>
      <c r="G36" s="553">
        <f>25*B36</f>
        <v>50</v>
      </c>
    </row>
    <row r="37" spans="1:7">
      <c r="A37" s="548" t="s">
        <v>379</v>
      </c>
      <c r="B37" s="549">
        <v>1</v>
      </c>
      <c r="C37" s="550">
        <v>0</v>
      </c>
      <c r="D37" s="551" t="s">
        <v>380</v>
      </c>
      <c r="E37" s="552"/>
      <c r="G37" s="553">
        <v>0</v>
      </c>
    </row>
    <row r="38" spans="1:7" ht="16.2" thickBot="1">
      <c r="A38" s="90" t="s">
        <v>381</v>
      </c>
      <c r="B38" s="91">
        <v>1</v>
      </c>
      <c r="C38" s="99">
        <v>0</v>
      </c>
      <c r="D38" s="93"/>
      <c r="E38" s="94"/>
      <c r="G38" s="132">
        <v>0</v>
      </c>
    </row>
    <row r="39" spans="1:7" ht="22.8" thickTop="1" thickBot="1">
      <c r="A39" s="419" t="s">
        <v>289</v>
      </c>
      <c r="B39" s="418"/>
      <c r="C39" s="418"/>
      <c r="D39" s="419"/>
      <c r="E39" s="418"/>
      <c r="F39" s="363"/>
      <c r="G39" s="363">
        <v>2000</v>
      </c>
    </row>
    <row r="40" spans="1:7" ht="16.8" thickTop="1" thickBot="1">
      <c r="A40" s="81" t="s">
        <v>73</v>
      </c>
      <c r="B40" s="81" t="s">
        <v>3</v>
      </c>
      <c r="C40" s="82" t="s">
        <v>21</v>
      </c>
      <c r="D40" s="83" t="s">
        <v>74</v>
      </c>
      <c r="E40" s="84" t="s">
        <v>75</v>
      </c>
      <c r="G40" s="134" t="s">
        <v>121</v>
      </c>
    </row>
    <row r="41" spans="1:7">
      <c r="A41" s="206" t="s">
        <v>250</v>
      </c>
      <c r="B41" s="97">
        <v>1</v>
      </c>
      <c r="C41" s="98">
        <v>5</v>
      </c>
      <c r="D41" s="415"/>
      <c r="E41" s="89"/>
      <c r="G41" s="209">
        <v>10</v>
      </c>
    </row>
    <row r="42" spans="1:7">
      <c r="A42" s="206" t="s">
        <v>352</v>
      </c>
      <c r="B42" s="97">
        <v>1</v>
      </c>
      <c r="C42" s="98">
        <v>1</v>
      </c>
      <c r="D42" s="208" t="s">
        <v>353</v>
      </c>
      <c r="E42" s="89"/>
      <c r="G42" s="209">
        <v>1</v>
      </c>
    </row>
    <row r="43" spans="1:7">
      <c r="A43" s="206" t="s">
        <v>354</v>
      </c>
      <c r="B43" s="97">
        <v>1</v>
      </c>
      <c r="C43" s="98">
        <v>0.5</v>
      </c>
      <c r="D43" s="208"/>
      <c r="E43" s="89"/>
      <c r="G43" s="209">
        <v>1</v>
      </c>
    </row>
    <row r="44" spans="1:7">
      <c r="A44" s="206" t="s">
        <v>355</v>
      </c>
      <c r="B44" s="97">
        <v>12</v>
      </c>
      <c r="C44" s="98">
        <f>B44/12</f>
        <v>1</v>
      </c>
      <c r="D44" s="208" t="s">
        <v>356</v>
      </c>
      <c r="E44" s="89"/>
      <c r="G44" s="209">
        <f>B44/12</f>
        <v>1</v>
      </c>
    </row>
    <row r="45" spans="1:7">
      <c r="A45" s="206" t="s">
        <v>300</v>
      </c>
      <c r="B45" s="97">
        <v>1</v>
      </c>
      <c r="C45" s="98">
        <v>20</v>
      </c>
      <c r="D45" s="415"/>
      <c r="E45" s="89"/>
      <c r="G45" s="209">
        <v>10</v>
      </c>
    </row>
    <row r="46" spans="1:7">
      <c r="A46" s="206" t="s">
        <v>301</v>
      </c>
      <c r="B46" s="97">
        <v>1</v>
      </c>
      <c r="C46" s="98">
        <v>5</v>
      </c>
      <c r="D46" s="415"/>
      <c r="E46" s="89"/>
      <c r="G46" s="209">
        <v>4</v>
      </c>
    </row>
    <row r="47" spans="1:7">
      <c r="A47" s="206" t="s">
        <v>302</v>
      </c>
      <c r="B47" s="97">
        <v>1</v>
      </c>
      <c r="C47" s="98">
        <v>5</v>
      </c>
      <c r="D47" s="415"/>
      <c r="E47" s="89"/>
      <c r="G47" s="209">
        <v>2</v>
      </c>
    </row>
    <row r="48" spans="1:7">
      <c r="A48" s="206" t="s">
        <v>303</v>
      </c>
      <c r="B48" s="97">
        <v>1</v>
      </c>
      <c r="C48" s="98">
        <v>2</v>
      </c>
      <c r="D48" s="415"/>
      <c r="E48" s="89"/>
      <c r="G48" s="414">
        <v>0.5</v>
      </c>
    </row>
    <row r="49" spans="1:7">
      <c r="A49" s="206" t="s">
        <v>251</v>
      </c>
      <c r="B49" s="97">
        <v>1</v>
      </c>
      <c r="C49" s="98">
        <v>1</v>
      </c>
      <c r="D49" s="415"/>
      <c r="E49" s="89"/>
      <c r="G49" s="209">
        <v>1</v>
      </c>
    </row>
    <row r="50" spans="1:7">
      <c r="A50" s="206" t="s">
        <v>252</v>
      </c>
      <c r="B50" s="97">
        <v>1</v>
      </c>
      <c r="C50" s="98">
        <v>1</v>
      </c>
      <c r="D50" s="415"/>
      <c r="E50" s="89"/>
      <c r="G50" s="416">
        <f>6*0.05</f>
        <v>0.30000000000000004</v>
      </c>
    </row>
    <row r="51" spans="1:7">
      <c r="A51" s="206" t="s">
        <v>200</v>
      </c>
      <c r="B51" s="97">
        <v>1</v>
      </c>
      <c r="C51" s="98">
        <v>5</v>
      </c>
      <c r="D51" s="415"/>
      <c r="E51" s="89"/>
      <c r="G51" s="209">
        <v>1</v>
      </c>
    </row>
    <row r="52" spans="1:7">
      <c r="A52" s="206" t="s">
        <v>253</v>
      </c>
      <c r="B52" s="97">
        <v>20</v>
      </c>
      <c r="C52" s="380">
        <f>B52/1000</f>
        <v>0.02</v>
      </c>
      <c r="D52" s="415"/>
      <c r="E52" s="89"/>
      <c r="G52" s="414">
        <f>0.5*B52</f>
        <v>10</v>
      </c>
    </row>
    <row r="53" spans="1:7">
      <c r="A53" s="206" t="s">
        <v>201</v>
      </c>
      <c r="B53" s="97">
        <v>1</v>
      </c>
      <c r="C53" s="98">
        <v>3</v>
      </c>
      <c r="D53" s="415"/>
      <c r="E53" s="89"/>
      <c r="G53" s="209">
        <v>0.5</v>
      </c>
    </row>
    <row r="54" spans="1:7">
      <c r="A54" s="206" t="s">
        <v>203</v>
      </c>
      <c r="B54" s="97">
        <v>1</v>
      </c>
      <c r="C54" s="98">
        <v>5</v>
      </c>
      <c r="D54" s="415"/>
      <c r="E54" s="89"/>
      <c r="G54" s="209">
        <v>55</v>
      </c>
    </row>
    <row r="55" spans="1:7">
      <c r="A55" s="206" t="s">
        <v>204</v>
      </c>
      <c r="B55" s="97">
        <v>10</v>
      </c>
      <c r="C55" s="98">
        <f>B55</f>
        <v>10</v>
      </c>
      <c r="D55" s="415"/>
      <c r="E55" s="89"/>
      <c r="G55" s="209">
        <f>B55</f>
        <v>10</v>
      </c>
    </row>
    <row r="56" spans="1:7">
      <c r="A56" s="206" t="s">
        <v>205</v>
      </c>
      <c r="B56" s="207">
        <v>5</v>
      </c>
      <c r="C56" s="87">
        <f>B56</f>
        <v>5</v>
      </c>
      <c r="D56" s="208"/>
      <c r="E56" s="135"/>
      <c r="G56" s="414">
        <f>B56/10</f>
        <v>0.5</v>
      </c>
    </row>
    <row r="57" spans="1:7">
      <c r="A57" s="206" t="s">
        <v>206</v>
      </c>
      <c r="B57" s="97">
        <v>1</v>
      </c>
      <c r="C57" s="98">
        <v>0</v>
      </c>
      <c r="D57" s="415"/>
      <c r="E57" s="89"/>
      <c r="G57" s="414">
        <v>0.1</v>
      </c>
    </row>
    <row r="58" spans="1:7">
      <c r="A58" s="206" t="s">
        <v>207</v>
      </c>
      <c r="B58" s="97">
        <v>1</v>
      </c>
      <c r="C58" s="98">
        <v>10</v>
      </c>
      <c r="D58" s="415"/>
      <c r="E58" s="89"/>
      <c r="G58" s="209">
        <v>5</v>
      </c>
    </row>
    <row r="59" spans="1:7">
      <c r="A59" s="206" t="s">
        <v>208</v>
      </c>
      <c r="B59" s="207">
        <v>1</v>
      </c>
      <c r="C59" s="87">
        <v>10</v>
      </c>
      <c r="D59" s="208"/>
      <c r="E59" s="135"/>
      <c r="G59" s="209">
        <v>1</v>
      </c>
    </row>
    <row r="60" spans="1:7">
      <c r="A60" s="206" t="s">
        <v>209</v>
      </c>
      <c r="B60" s="207">
        <v>1</v>
      </c>
      <c r="C60" s="87">
        <v>8</v>
      </c>
      <c r="D60" s="208"/>
      <c r="E60" s="135"/>
      <c r="G60" s="209">
        <v>2</v>
      </c>
    </row>
    <row r="61" spans="1:7">
      <c r="A61" s="206" t="s">
        <v>212</v>
      </c>
      <c r="B61" s="207">
        <v>1</v>
      </c>
      <c r="C61" s="87">
        <v>4</v>
      </c>
      <c r="D61" s="208"/>
      <c r="E61" s="135"/>
      <c r="G61" s="209">
        <v>1</v>
      </c>
    </row>
    <row r="62" spans="1:7">
      <c r="A62" s="206" t="s">
        <v>128</v>
      </c>
      <c r="B62" s="207">
        <v>1</v>
      </c>
      <c r="C62" s="87">
        <v>5</v>
      </c>
      <c r="D62" s="208" t="s">
        <v>213</v>
      </c>
      <c r="E62" s="135"/>
      <c r="G62" s="209">
        <v>2</v>
      </c>
    </row>
    <row r="63" spans="1:7">
      <c r="A63" s="206" t="s">
        <v>128</v>
      </c>
      <c r="B63" s="207">
        <v>1</v>
      </c>
      <c r="C63" s="87">
        <v>5</v>
      </c>
      <c r="D63" s="208" t="s">
        <v>214</v>
      </c>
      <c r="E63" s="135"/>
      <c r="G63" s="209">
        <v>2</v>
      </c>
    </row>
    <row r="64" spans="1:7" ht="16.2" thickBot="1">
      <c r="A64" s="90" t="s">
        <v>215</v>
      </c>
      <c r="B64" s="91">
        <v>5</v>
      </c>
      <c r="C64" s="99">
        <f>B64</f>
        <v>5</v>
      </c>
      <c r="D64" s="93"/>
      <c r="E64" s="94"/>
      <c r="G64" s="357">
        <f>B64/2</f>
        <v>2.5</v>
      </c>
    </row>
    <row r="65" spans="1:7" ht="16.8" thickTop="1" thickBot="1">
      <c r="A65" s="358" t="s">
        <v>290</v>
      </c>
      <c r="B65" s="420">
        <f>C65/120</f>
        <v>0.97100000000000009</v>
      </c>
      <c r="C65" s="82">
        <f>SUM(C41:C64)</f>
        <v>116.52000000000001</v>
      </c>
    </row>
    <row r="66" spans="1:7">
      <c r="E66" s="56" t="s">
        <v>124</v>
      </c>
      <c r="G66" s="417">
        <f>SUM(G3:G64,Martial!M3:M39)</f>
        <v>18733</v>
      </c>
    </row>
    <row r="67" spans="1:7">
      <c r="E67" s="56" t="s">
        <v>288</v>
      </c>
      <c r="G67" s="434">
        <v>19000</v>
      </c>
    </row>
  </sheetData>
  <sortState xmlns:xlrd2="http://schemas.microsoft.com/office/spreadsheetml/2017/richdata2" ref="A11:G20">
    <sortCondition ref="A11:A20"/>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370" customWidth="1"/>
    <col min="3" max="3" width="6.3984375" style="20" customWidth="1"/>
    <col min="4" max="16384" width="9" style="20"/>
  </cols>
  <sheetData>
    <row r="1" spans="1:3">
      <c r="A1" s="359" t="s">
        <v>226</v>
      </c>
      <c r="B1" s="360" t="str">
        <f>'Personal File'!A1</f>
        <v>Elsabet</v>
      </c>
      <c r="C1" s="361" t="s">
        <v>227</v>
      </c>
    </row>
    <row r="2" spans="1:3">
      <c r="A2" s="362" t="s">
        <v>358</v>
      </c>
      <c r="B2" s="363" t="s">
        <v>228</v>
      </c>
      <c r="C2" s="364">
        <v>0.2</v>
      </c>
    </row>
    <row r="3" spans="1:3">
      <c r="A3" s="362" t="s">
        <v>236</v>
      </c>
      <c r="B3" s="363" t="s">
        <v>228</v>
      </c>
      <c r="C3" s="364">
        <v>0.2</v>
      </c>
    </row>
    <row r="4" spans="1:3">
      <c r="A4" s="362" t="s">
        <v>237</v>
      </c>
      <c r="B4" s="363" t="s">
        <v>228</v>
      </c>
      <c r="C4" s="364">
        <v>0.2</v>
      </c>
    </row>
    <row r="5" spans="1:3">
      <c r="A5" s="362" t="s">
        <v>238</v>
      </c>
      <c r="B5" s="363" t="s">
        <v>228</v>
      </c>
      <c r="C5" s="364">
        <v>0.2</v>
      </c>
    </row>
    <row r="6" spans="1:3">
      <c r="A6" s="362" t="s">
        <v>239</v>
      </c>
      <c r="B6" s="363" t="s">
        <v>228</v>
      </c>
      <c r="C6" s="364">
        <v>0.2</v>
      </c>
    </row>
    <row r="7" spans="1:3">
      <c r="A7" s="359" t="s">
        <v>52</v>
      </c>
      <c r="B7" s="360"/>
      <c r="C7" s="361">
        <f>SUM(C2:C6)</f>
        <v>1</v>
      </c>
    </row>
    <row r="8" spans="1:3">
      <c r="A8" s="359"/>
      <c r="B8" s="360"/>
      <c r="C8" s="361"/>
    </row>
    <row r="9" spans="1:3">
      <c r="A9" s="359" t="s">
        <v>229</v>
      </c>
      <c r="B9" s="365">
        <v>0</v>
      </c>
      <c r="C9" s="366"/>
    </row>
    <row r="10" spans="1:3">
      <c r="A10" s="359" t="s">
        <v>230</v>
      </c>
      <c r="B10" s="365">
        <v>5000</v>
      </c>
      <c r="C10" s="366"/>
    </row>
    <row r="11" spans="1:3">
      <c r="A11" s="359" t="s">
        <v>231</v>
      </c>
      <c r="B11" s="365">
        <f>IF(B9=0,B10*C7,(B10*C7*(1-(B9/4))))</f>
        <v>5000</v>
      </c>
      <c r="C11" s="366"/>
    </row>
    <row r="12" spans="1:3">
      <c r="A12" s="359" t="s">
        <v>232</v>
      </c>
      <c r="B12" s="367">
        <v>0</v>
      </c>
      <c r="C12" s="368"/>
    </row>
    <row r="13" spans="1:3">
      <c r="A13" s="359" t="s">
        <v>52</v>
      </c>
      <c r="B13" s="369">
        <f>SUM(B11:B12)</f>
        <v>5000</v>
      </c>
      <c r="C13" s="366"/>
    </row>
    <row r="14" spans="1:3">
      <c r="A14" s="359" t="s">
        <v>233</v>
      </c>
      <c r="B14" s="365">
        <v>23680</v>
      </c>
      <c r="C14" s="366"/>
    </row>
    <row r="15" spans="1:3">
      <c r="A15" s="359" t="s">
        <v>234</v>
      </c>
      <c r="B15" s="369">
        <f>SUM(B13:B14)</f>
        <v>28680</v>
      </c>
      <c r="C15" s="366"/>
    </row>
    <row r="17" spans="1:2">
      <c r="A17" s="359" t="s">
        <v>376</v>
      </c>
      <c r="B17" s="20"/>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Invocations</vt:lpstr>
      <vt:lpstr>Spells</vt:lpstr>
      <vt:lpstr>Spellcasting</vt:lpstr>
      <vt:lpstr>Feats</vt:lpstr>
      <vt:lpstr>Martial</vt:lpstr>
      <vt:lpstr>Equipment</vt:lpstr>
      <vt:lpstr>XP Awards</vt:lpstr>
      <vt:lpstr>Invocations!Print_Area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2021-04-09T19:34:59Z</dcterms:modified>
</cp:coreProperties>
</file>