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AD3FAEDD-C532-4635-AE3A-7F5903A235A5}"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ayaheine" sheetId="29" r:id="rId3"/>
    <sheet name="Spells" sheetId="28" r:id="rId4"/>
    <sheet name="Feats" sheetId="26" r:id="rId5"/>
    <sheet name="Martial" sheetId="6" r:id="rId6"/>
    <sheet name="Equipment" sheetId="19" r:id="rId7"/>
    <sheet name="XP Award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Mayaheine!$A$1:$I$37</definedName>
    <definedName name="_xlnm.Print_Area" localSheetId="0">'Personal File'!$A$1:$H$29</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5" l="1"/>
  <c r="I4" i="6" l="1"/>
  <c r="G14" i="19" l="1"/>
  <c r="C14" i="19"/>
  <c r="B3" i="15" l="1"/>
  <c r="H35" i="15" l="1"/>
  <c r="H34" i="15"/>
  <c r="H33" i="15"/>
  <c r="H32" i="15"/>
  <c r="H31" i="15"/>
  <c r="H29" i="15"/>
  <c r="H28" i="15"/>
  <c r="H27" i="15"/>
  <c r="H26" i="15"/>
  <c r="H25" i="15"/>
  <c r="H24" i="15"/>
  <c r="H23" i="15"/>
  <c r="H22" i="15"/>
  <c r="H21" i="15"/>
  <c r="H20" i="15"/>
  <c r="H19" i="15"/>
  <c r="H11" i="15"/>
  <c r="B8" i="4"/>
  <c r="B5" i="15"/>
  <c r="B4" i="15"/>
  <c r="K20" i="28"/>
  <c r="K19" i="28"/>
  <c r="I15" i="28"/>
  <c r="I10" i="28"/>
  <c r="I13" i="28"/>
  <c r="I11" i="28"/>
  <c r="I12" i="28" s="1"/>
  <c r="O7" i="28"/>
  <c r="I7" i="28"/>
  <c r="H7" i="28"/>
  <c r="I14" i="28" l="1"/>
  <c r="C7" i="27" l="1"/>
  <c r="B11" i="27" s="1"/>
  <c r="B13" i="27" s="1"/>
  <c r="B15" i="27" s="1"/>
  <c r="B1" i="27" l="1"/>
  <c r="C11" i="19" l="1"/>
  <c r="G20" i="19"/>
  <c r="C20" i="19"/>
  <c r="M18" i="6"/>
  <c r="G18" i="6"/>
  <c r="F26" i="15" l="1"/>
  <c r="F33" i="15"/>
  <c r="F39" i="15"/>
  <c r="F23" i="15"/>
  <c r="F21" i="15"/>
  <c r="F16" i="15"/>
  <c r="F9" i="15"/>
  <c r="F7" i="15"/>
  <c r="H40" i="15" l="1"/>
  <c r="H39" i="15"/>
  <c r="H38" i="15"/>
  <c r="H37" i="15"/>
  <c r="H36" i="15"/>
  <c r="H18" i="15"/>
  <c r="H17" i="15"/>
  <c r="H16" i="15"/>
  <c r="H15" i="15"/>
  <c r="H14" i="15"/>
  <c r="H13" i="15"/>
  <c r="H12" i="15"/>
  <c r="H10" i="15"/>
  <c r="H9" i="15"/>
  <c r="H8" i="15"/>
  <c r="I3" i="6" l="1"/>
  <c r="H7" i="15" l="1"/>
  <c r="E46" i="15" l="1"/>
  <c r="H3" i="15" l="1"/>
  <c r="H4" i="15"/>
  <c r="H5" i="15"/>
  <c r="I9" i="6" l="1"/>
  <c r="I10" i="6" l="1"/>
  <c r="I6" i="6"/>
  <c r="I5" i="6" l="1"/>
  <c r="B42" i="15" l="1"/>
  <c r="C15" i="4" l="1"/>
  <c r="C14" i="4"/>
  <c r="C13" i="4"/>
  <c r="C12" i="4"/>
  <c r="E12" i="4" s="1"/>
  <c r="C11" i="4"/>
  <c r="C10" i="4"/>
  <c r="F4" i="15" l="1"/>
  <c r="F3" i="15"/>
  <c r="F5" i="15"/>
  <c r="H4" i="6"/>
  <c r="J4" i="6" s="1"/>
  <c r="C4" i="6"/>
  <c r="C3" i="6"/>
  <c r="C9" i="6"/>
  <c r="C5" i="6"/>
  <c r="E45" i="15"/>
  <c r="E44" i="15"/>
  <c r="E43" i="15"/>
  <c r="T6" i="28"/>
  <c r="D6" i="28"/>
  <c r="D7" i="28"/>
  <c r="T5" i="28"/>
  <c r="D5" i="28"/>
  <c r="D4" i="28"/>
  <c r="T4" i="28"/>
  <c r="T3" i="28"/>
  <c r="D3" i="28"/>
  <c r="T7" i="28"/>
  <c r="T8" i="28"/>
  <c r="D8" i="28"/>
  <c r="C7" i="26"/>
  <c r="C5" i="26"/>
  <c r="E13" i="4"/>
  <c r="E15" i="4" s="1"/>
  <c r="E14" i="4" s="1"/>
  <c r="H5" i="6"/>
  <c r="J5" i="6" s="1"/>
  <c r="H3" i="6"/>
  <c r="J3" i="6" s="1"/>
  <c r="D3" i="15"/>
  <c r="D10" i="15"/>
  <c r="E10" i="15" s="1"/>
  <c r="D4" i="15"/>
  <c r="D21" i="15"/>
  <c r="E21" i="15" s="1"/>
  <c r="D33" i="15"/>
  <c r="E33" i="15" s="1"/>
  <c r="D7" i="15"/>
  <c r="E7" i="15" s="1"/>
  <c r="D26" i="15"/>
  <c r="E26" i="15" s="1"/>
  <c r="D39" i="15"/>
  <c r="E39" i="15" s="1"/>
  <c r="D27" i="15"/>
  <c r="E27" i="15" s="1"/>
  <c r="D41" i="15"/>
  <c r="E41" i="15" s="1"/>
  <c r="D16" i="15"/>
  <c r="E16" i="15" s="1"/>
  <c r="D30" i="15"/>
  <c r="E30" i="15" s="1"/>
  <c r="D8" i="15"/>
  <c r="E8" i="15" s="1"/>
  <c r="D22" i="15"/>
  <c r="E22" i="15" s="1"/>
  <c r="D18" i="15"/>
  <c r="E18" i="15" s="1"/>
  <c r="D15" i="15"/>
  <c r="E15" i="15" s="1"/>
  <c r="D13" i="15"/>
  <c r="E13" i="15" s="1"/>
  <c r="D19" i="15"/>
  <c r="E19" i="15" s="1"/>
  <c r="D28" i="15"/>
  <c r="E28" i="15" s="1"/>
  <c r="D40" i="15"/>
  <c r="E40" i="15" s="1"/>
  <c r="J6" i="6"/>
  <c r="D32" i="15"/>
  <c r="E32" i="15" s="1"/>
  <c r="D5" i="15"/>
  <c r="D29" i="15"/>
  <c r="E29" i="15" s="1"/>
  <c r="D20" i="15"/>
  <c r="E20" i="15" s="1"/>
  <c r="D37" i="15"/>
  <c r="E37" i="15" s="1"/>
  <c r="D25" i="15"/>
  <c r="E25" i="15" s="1"/>
  <c r="D36" i="15"/>
  <c r="E36" i="15" s="1"/>
  <c r="D23" i="15"/>
  <c r="E23" i="15" s="1"/>
  <c r="D38" i="15"/>
  <c r="E38" i="15" s="1"/>
  <c r="D9" i="15"/>
  <c r="E9" i="15" s="1"/>
  <c r="D6" i="15"/>
  <c r="E6" i="15" s="1"/>
  <c r="D14" i="15"/>
  <c r="E14" i="15" s="1"/>
  <c r="D24" i="15"/>
  <c r="E24" i="15" s="1"/>
  <c r="D11" i="15"/>
  <c r="E11" i="15" s="1"/>
  <c r="D17" i="15"/>
  <c r="E17" i="15" s="1"/>
  <c r="D35" i="15"/>
  <c r="E35" i="15" s="1"/>
  <c r="D12" i="15"/>
  <c r="E12" i="15" s="1"/>
  <c r="D34" i="15"/>
  <c r="E34" i="15" s="1"/>
  <c r="D31" i="15"/>
  <c r="E31" i="15" s="1"/>
  <c r="H9" i="6"/>
  <c r="J9" i="6" s="1"/>
  <c r="H10" i="6"/>
  <c r="J10" i="6" s="1"/>
  <c r="B9" i="4"/>
  <c r="H41" i="15"/>
  <c r="H6" i="15"/>
  <c r="E3" i="15" l="1"/>
  <c r="G3" i="15"/>
  <c r="I3" i="15" s="1"/>
  <c r="E4" i="15"/>
  <c r="G4" i="15"/>
  <c r="I4" i="15" s="1"/>
  <c r="E42" i="15"/>
  <c r="E5" i="15"/>
  <c r="G5" i="15"/>
  <c r="I5" i="15" s="1"/>
  <c r="G24" i="15"/>
  <c r="I24" i="15" s="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 r="C9" i="19"/>
  <c r="E11" i="4" s="1"/>
  <c r="G9" i="19"/>
  <c r="G2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59D40EE7-379D-49C1-B667-645BC460BB9E}">
      <text>
        <r>
          <rPr>
            <sz val="12"/>
            <color indexed="81"/>
            <rFont val="Times New Roman"/>
            <family val="1"/>
          </rPr>
          <t>Next level at 3000 XPs</t>
        </r>
      </text>
    </comment>
    <comment ref="E10" authorId="0" shapeId="0" xr:uid="{D7575C40-C41E-4009-8440-0A518A622DCC}">
      <text>
        <r>
          <rPr>
            <sz val="12"/>
            <color indexed="81"/>
            <rFont val="Times New Roman"/>
            <family val="1"/>
          </rPr>
          <t>See PHB 162</t>
        </r>
      </text>
    </comment>
    <comment ref="E12" authorId="0" shapeId="0" xr:uid="{00000000-0006-0000-0000-000004000000}">
      <text>
        <r>
          <rPr>
            <sz val="12"/>
            <color indexed="81"/>
            <rFont val="Times New Roman"/>
            <family val="1"/>
          </rPr>
          <t>[(2 * 8 Paladin) * 75%]
[(1 * 6 Cleric) * 75%]
+ (3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4A34CAD2-C508-4295-9FC4-EACB099323E4}">
      <text>
        <r>
          <rPr>
            <sz val="12"/>
            <color indexed="81"/>
            <rFont val="Times New Roman"/>
            <family val="1"/>
          </rPr>
          <t>Divine Grace
Snake Blood +2</t>
        </r>
      </text>
    </comment>
    <comment ref="F4" authorId="0" shapeId="0" xr:uid="{19BD0A83-D98A-467F-A0C6-70E29CF1B22B}">
      <text>
        <r>
          <rPr>
            <sz val="12"/>
            <color indexed="81"/>
            <rFont val="Times New Roman"/>
            <family val="1"/>
          </rPr>
          <t>Divine Grace
Snake Blood +1</t>
        </r>
      </text>
    </comment>
    <comment ref="F5" authorId="0" shapeId="0" xr:uid="{CE106C98-BAA5-4910-BCC2-3713490380AD}">
      <text>
        <r>
          <rPr>
            <sz val="12"/>
            <color indexed="81"/>
            <rFont val="Times New Roman"/>
            <family val="1"/>
          </rPr>
          <t>Divine Grace</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6" authorId="0" shapeId="0" xr:uid="{FEAABE47-FE22-4571-B027-838DB519F77D}">
      <text>
        <r>
          <rPr>
            <sz val="12"/>
            <color indexed="81"/>
            <rFont val="Times New Roman"/>
            <family val="1"/>
          </rPr>
          <t>Armor penalty</t>
        </r>
      </text>
    </comment>
    <comment ref="F33" authorId="0" shapeId="0" xr:uid="{590B8E20-33CF-45A1-9151-6E34B1F8BCD7}">
      <text>
        <r>
          <rPr>
            <sz val="12"/>
            <color indexed="81"/>
            <rFont val="Times New Roman"/>
            <family val="1"/>
          </rPr>
          <t>Armor penalty</t>
        </r>
      </text>
    </comment>
    <comment ref="F39" authorId="0" shapeId="0" xr:uid="{9B6B967C-7166-4A3D-A949-9124D3193379}">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D3638862-A12B-4330-B99C-7F9F26280C83}">
      <text>
        <r>
          <rPr>
            <sz val="12"/>
            <color indexed="81"/>
            <rFont val="Times New Roman"/>
            <family val="1"/>
          </rPr>
          <t>Phosphorescent moss</t>
        </r>
      </text>
    </comment>
    <comment ref="E12" authorId="0" shapeId="0" xr:uid="{F0D3D0D0-A118-45FB-ACFC-B1519EFDFEAB}">
      <text>
        <r>
          <rPr>
            <sz val="12"/>
            <color indexed="81"/>
            <rFont val="Times New Roman"/>
            <family val="1"/>
          </rPr>
          <t>Copper wire</t>
        </r>
      </text>
    </comment>
    <comment ref="E15" authorId="0" shapeId="0" xr:uid="{B70BF837-A78A-4B8E-B551-EC9A21B3F7C7}">
      <text>
        <r>
          <rPr>
            <sz val="12"/>
            <color indexed="81"/>
            <rFont val="Times New Roman"/>
            <family val="1"/>
          </rPr>
          <t>Prism, lens, or monocle</t>
        </r>
      </text>
    </comment>
    <comment ref="E16" authorId="0" shapeId="0" xr:uid="{63E846B4-A48B-4C2B-80EF-EF8C119A2AD3}">
      <text>
        <r>
          <rPr>
            <sz val="12"/>
            <color indexed="81"/>
            <rFont val="Times New Roman"/>
            <family val="1"/>
          </rPr>
          <t>Miniature cloak</t>
        </r>
      </text>
    </comment>
    <comment ref="E24" authorId="0" shapeId="0" xr:uid="{D01D321E-9E84-4989-AB80-268590ABB8D4}">
      <text>
        <r>
          <rPr>
            <sz val="12"/>
            <color indexed="81"/>
            <rFont val="Times New Roman"/>
            <family val="1"/>
          </rPr>
          <t>Pure Water</t>
        </r>
      </text>
    </comment>
    <comment ref="E26" authorId="0" shapeId="0" xr:uid="{A9B16558-E231-43E3-9D31-AE4AE297DEE7}">
      <text>
        <r>
          <rPr>
            <sz val="12"/>
            <color indexed="81"/>
            <rFont val="Times New Roman"/>
            <family val="1"/>
          </rPr>
          <t>holy water, holy symbol, 100 XP</t>
        </r>
      </text>
    </comment>
    <comment ref="E29" authorId="0" shapeId="0" xr:uid="{FC2F1EB3-9937-4D23-A63A-55FC4FF67549}">
      <text>
        <r>
          <rPr>
            <sz val="12"/>
            <color indexed="81"/>
            <rFont val="Times New Roman"/>
            <family val="1"/>
          </rPr>
          <t>Soot &amp; Salt</t>
        </r>
      </text>
    </comment>
    <comment ref="E32" authorId="0" shapeId="0" xr:uid="{8EC5151A-6708-4474-B3B3-C8D8341E0D58}">
      <text>
        <r>
          <rPr>
            <sz val="12"/>
            <color indexed="81"/>
            <rFont val="Times New Roman"/>
            <family val="1"/>
          </rPr>
          <t>Bacteria culture</t>
        </r>
      </text>
    </comment>
    <comment ref="E36" authorId="0" shapeId="0" xr:uid="{FAADF92A-1CBB-488F-B1B8-B5AB0E7A635E}">
      <text>
        <r>
          <rPr>
            <sz val="12"/>
            <color indexed="81"/>
            <rFont val="Times New Roman"/>
            <family val="1"/>
          </rPr>
          <t>Earth from grave</t>
        </r>
      </text>
    </comment>
    <comment ref="E40" authorId="0" shapeId="0" xr:uid="{EFD6F808-94C7-4E15-B95F-32161C461122}">
      <text>
        <r>
          <rPr>
            <sz val="12"/>
            <color indexed="81"/>
            <rFont val="Times New Roman"/>
            <family val="1"/>
          </rPr>
          <t>powdered black gemstone</t>
        </r>
      </text>
    </comment>
    <comment ref="E52" authorId="0" shapeId="0" xr:uid="{0B54E08C-86D8-42BE-93FE-FB795A78C135}">
      <text>
        <r>
          <rPr>
            <sz val="12"/>
            <color indexed="81"/>
            <rFont val="Times New Roman"/>
            <family val="1"/>
          </rPr>
          <t>vial with the diluted poison from four separate venomous creatures</t>
        </r>
      </text>
    </comment>
    <comment ref="E54" authorId="0" shapeId="0" xr:uid="{7A0EEF28-D716-42E1-885E-C9E56FB1EDD9}">
      <text>
        <r>
          <rPr>
            <sz val="12"/>
            <color indexed="81"/>
            <rFont val="Times New Roman"/>
            <family val="1"/>
          </rPr>
          <t>Pinch of dirt</t>
        </r>
      </text>
    </comment>
    <comment ref="E56" authorId="0" shapeId="0" xr:uid="{7CF0524D-E5B3-430E-AF59-984EDEBCB208}">
      <text>
        <r>
          <rPr>
            <sz val="12"/>
            <color indexed="81"/>
            <rFont val="Times New Roman"/>
            <family val="1"/>
          </rPr>
          <t>Imbued weapon</t>
        </r>
      </text>
    </comment>
    <comment ref="E61" authorId="0" shapeId="0" xr:uid="{79FD6235-97BD-4212-A5A3-FFF830EEE727}">
      <text>
        <r>
          <rPr>
            <sz val="12"/>
            <color indexed="81"/>
            <rFont val="Times New Roman"/>
            <family val="1"/>
          </rPr>
          <t>Powdered silver</t>
        </r>
      </text>
    </comment>
    <comment ref="E64" authorId="0" shapeId="0" xr:uid="{EA6B25DF-8BC8-4DA3-B4F4-35F5DA09E757}">
      <text>
        <r>
          <rPr>
            <sz val="12"/>
            <color indexed="81"/>
            <rFont val="Times New Roman"/>
            <family val="1"/>
          </rPr>
          <t>hair of unwilling humanoid</t>
        </r>
      </text>
    </comment>
    <comment ref="E66" authorId="0" shapeId="0" xr:uid="{5E91AF93-CD61-4F8D-869A-FE3F2AA1651E}">
      <text>
        <r>
          <rPr>
            <sz val="12"/>
            <color indexed="81"/>
            <rFont val="Times New Roman"/>
            <family val="1"/>
          </rPr>
          <t>Parchment w/ holy text</t>
        </r>
      </text>
    </comment>
    <comment ref="E68" authorId="0" shapeId="0" xr:uid="{FB8B9697-AA23-4A4E-82EB-41486258DEB6}">
      <text>
        <r>
          <rPr>
            <sz val="12"/>
            <color indexed="81"/>
            <rFont val="Times New Roman"/>
            <family val="1"/>
          </rPr>
          <t>a tear</t>
        </r>
      </text>
    </comment>
    <comment ref="E71" authorId="0" shapeId="0" xr:uid="{31145E83-508D-4914-81A4-E5806C5FB98D}">
      <text>
        <r>
          <rPr>
            <sz val="12"/>
            <color indexed="81"/>
            <rFont val="Times New Roman"/>
            <family val="1"/>
          </rPr>
          <t>puffball mushroom</t>
        </r>
      </text>
    </comment>
    <comment ref="E72" authorId="0" shapeId="0" xr:uid="{74A64FA0-BDD2-4D6F-85FF-E85B243F716B}">
      <text>
        <r>
          <rPr>
            <sz val="12"/>
            <rFont val="Times New Roman"/>
            <family val="1"/>
          </rPr>
          <t>Bag and candle</t>
        </r>
      </text>
    </comment>
    <comment ref="E73" authorId="0" shapeId="0" xr:uid="{F3878EEE-1684-4311-ADE8-0278A14084FF}">
      <text/>
    </comment>
    <comment ref="E74" authorId="0" shapeId="0" xr:uid="{4608D8D6-7ADC-4314-A101-D2BC2B4C11B9}">
      <text>
        <r>
          <rPr>
            <sz val="12"/>
            <color indexed="81"/>
            <rFont val="Times New Roman"/>
            <family val="1"/>
          </rPr>
          <t>drop of bile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4B0CB2-A16E-457F-B83B-CEC3AAE221A9}">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2" authorId="0" shapeId="0" xr:uid="{6FAC8D94-E7FA-42F5-B365-1E171A49E35C}">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A14A7FD9-D43F-4C59-9F85-8FE356761E0C}">
      <text>
        <r>
          <rPr>
            <sz val="12"/>
            <color indexed="81"/>
            <rFont val="Times New Roman"/>
            <family val="1"/>
          </rPr>
          <t xml:space="preserve">The taint of the yuan-ti runs in your veins.  No outward signs give away your heritage, but you are something more—or less—than human.
</t>
        </r>
        <r>
          <rPr>
            <b/>
            <sz val="12"/>
            <color indexed="81"/>
            <rFont val="Times New Roman"/>
            <family val="1"/>
          </rPr>
          <t xml:space="preserve">Prerequisite:  </t>
        </r>
        <r>
          <rPr>
            <sz val="12"/>
            <color indexed="81"/>
            <rFont val="Times New Roman"/>
            <family val="1"/>
          </rPr>
          <t xml:space="preserve">Human (Chult, the Lake of Steam, Lapaliiya, Samarach, Tashalar, Tharsult, Thindol, the Vilhon Reach, or the Western Heartlands).
</t>
        </r>
        <r>
          <rPr>
            <b/>
            <sz val="12"/>
            <color indexed="81"/>
            <rFont val="Times New Roman"/>
            <family val="1"/>
          </rPr>
          <t xml:space="preserve">Benefit:  </t>
        </r>
        <r>
          <rPr>
            <sz val="12"/>
            <color indexed="81"/>
            <rFont val="Times New Roman"/>
            <family val="1"/>
          </rPr>
          <t xml:space="preserve">You gain a +2 bonus on Reflex saving throws and a +2 bonus on Fortitude saves against poison.
</t>
        </r>
        <r>
          <rPr>
            <b/>
            <sz val="12"/>
            <color indexed="81"/>
            <rFont val="Times New Roman"/>
            <family val="1"/>
          </rPr>
          <t xml:space="preserve">Special:  </t>
        </r>
        <r>
          <rPr>
            <sz val="12"/>
            <color indexed="81"/>
            <rFont val="Times New Roman"/>
            <family val="1"/>
          </rPr>
          <t xml:space="preserve">You may select this feat only as a 1st-level character.  You may have only one regional feat.
Player’s Guide to Faerûn 43 – 44 </t>
        </r>
      </text>
    </comment>
    <comment ref="C4" authorId="0" shapeId="0" xr:uid="{0825C447-214C-4AF3-AE8F-F7D769657AD1}">
      <text>
        <r>
          <rPr>
            <sz val="12"/>
            <color indexed="81"/>
            <rFont val="Times New Roman"/>
            <family val="1"/>
          </rPr>
          <t>At will, a paladin can use detect evil, as the spell.
PHB 44</t>
        </r>
      </text>
    </comment>
    <comment ref="A5" authorId="0" shapeId="0" xr:uid="{19CC9E28-C190-409A-97A0-9C8170F130D2}">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C5" authorId="0" shapeId="0" xr:uid="{97F4F475-B17A-4E78-9472-A39CC75F08FE}">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C6" authorId="0" shapeId="0" xr:uid="{76516917-04C6-4078-8BAA-90AA852F01C1}">
      <text>
        <r>
          <rPr>
            <sz val="12"/>
            <color indexed="81"/>
            <rFont val="Times New Roman"/>
            <family val="1"/>
          </rPr>
          <t>At 2nd level, a paladin gains a bonus equal to her Charisma bonus (if any) on all saving throws.
PHB 44</t>
        </r>
      </text>
    </comment>
    <comment ref="C7" authorId="0" shapeId="0" xr:uid="{F6FE0808-31A7-430D-A3A3-0BC4B77D68D6}">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C13" authorId="0" shapeId="0" xr:uid="{A78391A1-CA41-425A-8235-EE5CCDC9FD89}">
      <text>
        <r>
          <rPr>
            <b/>
            <sz val="12"/>
            <color indexed="81"/>
            <rFont val="Times New Roman"/>
            <family val="1"/>
          </rPr>
          <t>Protection Domain</t>
        </r>
        <r>
          <rPr>
            <sz val="12"/>
            <color indexed="81"/>
            <rFont val="Times New Roman"/>
            <family val="1"/>
          </rPr>
          <t xml:space="preserve">
1 Sanctuary:  Opponents can’t attack you, and you can’t attack.
2 Shield Other:  You take half of subject’s damage.
3 Protection from Energy:  Absorb 12 points/level of damage from one kind of energy.
4 Spell Immunity:  Subject is immune to one spell per four levels.
5 Spell Resistance:  Subject gains SR 12 + level.
6 Antimagic Field:  Negates magic within 10 ft.
7 Repulsion:  Creatures can’t approach you.
8 Mind Blank:  Subject is immune to mental/emotional magic and
scrying.
9 Prismatic Sphere:  As prismatic wall, but surrounds on all sides.</t>
        </r>
      </text>
    </comment>
    <comment ref="C14" authorId="0" shapeId="0" xr:uid="{C8CA40AF-EC51-4C6C-9EB9-266E0D422A45}">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t>
        </r>
      </text>
    </comment>
    <comment ref="C15" authorId="0" shapeId="0" xr:uid="{36307492-E55F-45B8-9C13-E9EC16DCC8F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16" authorId="0" shapeId="0" xr:uid="{F2CE66AD-6B06-4195-B136-546F35016CB9}">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93186003-5391-4763-87B3-65AFBD0E1D2F}">
      <text>
        <r>
          <rPr>
            <sz val="12"/>
            <color indexed="81"/>
            <rFont val="Times New Roman"/>
            <family val="1"/>
          </rPr>
          <t>If using 2H, -1/+1</t>
        </r>
      </text>
    </comment>
    <comment ref="D3" authorId="0" shapeId="0" xr:uid="{48E16255-551B-46DE-936B-2B167347FC63}">
      <text>
        <r>
          <rPr>
            <sz val="12"/>
            <color indexed="81"/>
            <rFont val="Times New Roman"/>
            <family val="1"/>
          </rPr>
          <t>Weapon Focus +1</t>
        </r>
      </text>
    </comment>
    <comment ref="C4" authorId="0" shapeId="0" xr:uid="{3E7B718F-0912-409C-A47C-3913D2C5E4CF}">
      <text>
        <r>
          <rPr>
            <sz val="12"/>
            <color indexed="81"/>
            <rFont val="Times New Roman"/>
            <family val="1"/>
          </rPr>
          <t>If using 2H, -1/+1</t>
        </r>
      </text>
    </comment>
    <comment ref="D4" authorId="0" shapeId="0" xr:uid="{67C82105-36F9-47D0-B59E-5A0ECB08F23A}">
      <text>
        <r>
          <rPr>
            <sz val="12"/>
            <color indexed="81"/>
            <rFont val="Times New Roman"/>
            <family val="1"/>
          </rPr>
          <t>Weapon Focus +1</t>
        </r>
      </text>
    </comment>
    <comment ref="D12"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<sst xmlns="http://schemas.openxmlformats.org/spreadsheetml/2006/main" count="925" uniqueCount="378">
  <si>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</si>
  <si>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</si>
  <si>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</si>
  <si>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</si>
  <si>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</si>
  <si>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</si>
  <si>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</si>
  <si>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</si>
  <si>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</si>
  <si>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</si>
  <si>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</si>
  <si>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</si>
  <si>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</si>
  <si>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</si>
  <si>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</si>
  <si>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</si>
  <si>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</si>
  <si>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</si>
  <si>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</si>
  <si>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</si>
  <si>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</si>
  <si>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</si>
  <si>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</si>
  <si>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</si>
  <si>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</si>
  <si>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</si>
  <si>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</si>
  <si>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</si>
  <si>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</si>
  <si>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</si>
  <si>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</si>
  <si>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</si>
  <si>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</si>
  <si>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</si>
  <si>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</si>
  <si>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</si>
  <si>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</si>
  <si>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</si>
  <si>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</si>
  <si>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</si>
  <si>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</si>
  <si>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</si>
  <si>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</si>
  <si>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</si>
  <si>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</si>
  <si>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</si>
  <si>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</si>
  <si>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</si>
  <si>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</si>
  <si>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</si>
  <si>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</si>
  <si>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</si>
  <si>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</si>
  <si>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</si>
  <si>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</si>
  <si>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</si>
  <si>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</si>
  <si>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</si>
  <si>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</si>
  <si>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</si>
  <si>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</si>
  <si>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</si>
  <si>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</si>
  <si>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</si>
  <si>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</si>
  <si>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</si>
  <si>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</si>
  <si>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</si>
  <si>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</si>
  <si>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</si>
  <si>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Weapon Proficiencies</t>
  </si>
  <si>
    <t>Atk</t>
  </si>
  <si>
    <t>Feats</t>
  </si>
  <si>
    <t>Roll</t>
  </si>
  <si>
    <t>Skill/Save</t>
  </si>
  <si>
    <t>Human</t>
  </si>
  <si>
    <t>Knowledge:  Religion</t>
  </si>
  <si>
    <t>Perform:  [type]</t>
  </si>
  <si>
    <t>human</t>
  </si>
  <si>
    <t>+0</t>
  </si>
  <si>
    <t>Value</t>
  </si>
  <si>
    <t>Total Equity:</t>
  </si>
  <si>
    <t>19-20/x2</t>
  </si>
  <si>
    <t>-</t>
  </si>
  <si>
    <t>x2</t>
  </si>
  <si>
    <t>Grapple, Unarmed Strike</t>
  </si>
  <si>
    <t>1d3</t>
  </si>
  <si>
    <t>Bludgeon</t>
  </si>
  <si>
    <t>Race</t>
  </si>
  <si>
    <t>Class</t>
  </si>
  <si>
    <t>Sex</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</si>
  <si>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</si>
  <si>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</si>
  <si>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</si>
  <si>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</si>
  <si>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</si>
  <si>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</si>
  <si>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</si>
  <si>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</si>
  <si>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</si>
  <si>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</si>
  <si>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</si>
  <si>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</si>
  <si>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</si>
  <si>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</si>
  <si>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</si>
  <si>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</si>
  <si>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</si>
  <si>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</si>
  <si>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</si>
  <si>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</si>
  <si>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</si>
  <si>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</si>
  <si>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Mayaheine</t>
  </si>
  <si>
    <t>Female</t>
  </si>
  <si>
    <t>5’ 11”</t>
  </si>
  <si>
    <t>Profession:  [type]</t>
  </si>
  <si>
    <t>Slashing</t>
  </si>
  <si>
    <t>AC</t>
  </si>
  <si>
    <t xml:space="preserve">Silver Holy Symbol of Mayaheine </t>
  </si>
  <si>
    <t>Backpack</t>
  </si>
  <si>
    <t>Gold Coins</t>
  </si>
  <si>
    <t>Bedroll</t>
  </si>
  <si>
    <t>Waterskin</t>
  </si>
  <si>
    <t>Flint &amp; Steel</t>
  </si>
  <si>
    <t>Played by Larry Creager</t>
  </si>
  <si>
    <t>Firehair</t>
  </si>
  <si>
    <t>160 lbs.</t>
  </si>
  <si>
    <t>Lawful Good</t>
  </si>
  <si>
    <t>Baldur’s Gate</t>
  </si>
  <si>
    <t>Human:  Dodge</t>
  </si>
  <si>
    <t>Common, Celestial</t>
  </si>
  <si>
    <t>Paladin</t>
  </si>
  <si>
    <t>Simple and Martial Weapons</t>
  </si>
  <si>
    <t>All Armor &amp; Shields (not tower)</t>
  </si>
  <si>
    <t>x3</t>
  </si>
  <si>
    <t>60’</t>
  </si>
  <si>
    <t>Arrows</t>
  </si>
  <si>
    <t>Embossed with holy symbol</t>
  </si>
  <si>
    <t>Buckler</t>
  </si>
  <si>
    <t>Whetstone</t>
  </si>
  <si>
    <t>Rations</t>
  </si>
  <si>
    <t>Cleric’s Vestments</t>
  </si>
  <si>
    <t>20’</t>
  </si>
  <si>
    <t>paladin 1</t>
  </si>
  <si>
    <t>Regional:  Snake Blood</t>
  </si>
  <si>
    <t>XP</t>
  </si>
  <si>
    <t>Character:</t>
  </si>
  <si>
    <t>%</t>
  </si>
  <si>
    <t>Excellent</t>
  </si>
  <si>
    <t>Missed Posts</t>
  </si>
  <si>
    <t>Maximum award for this segment</t>
  </si>
  <si>
    <t xml:space="preserve"> Character award for this segment</t>
  </si>
  <si>
    <t>Extra XPs</t>
  </si>
  <si>
    <t>Previous XP Balance</t>
  </si>
  <si>
    <t>Current XP Balance</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</si>
  <si>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</si>
  <si>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</si>
  <si>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</si>
  <si>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</si>
  <si>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</si>
  <si>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</si>
  <si>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Cleric of Mayaheine</t>
  </si>
  <si>
    <t>Paladin Features</t>
  </si>
  <si>
    <t>Aura of Good 1/day</t>
  </si>
  <si>
    <t>Detect Evil</t>
  </si>
  <si>
    <t>Turn Undead</t>
  </si>
  <si>
    <t>Code of Conduct</t>
  </si>
  <si>
    <t>1st:  Exotic Weapon Prof.:  Bastard Sword</t>
  </si>
  <si>
    <t>Domain Powers</t>
  </si>
  <si>
    <t>War</t>
  </si>
  <si>
    <t>Daily Spells</t>
  </si>
  <si>
    <t>Spells per Day</t>
  </si>
  <si>
    <t>Spell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</si>
  <si>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</si>
  <si>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</si>
  <si>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</si>
  <si>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</si>
  <si>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</si>
  <si>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</si>
  <si>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</si>
  <si>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</si>
  <si>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</si>
  <si>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</si>
  <si>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</si>
  <si>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</si>
  <si>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</si>
  <si>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</si>
  <si>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</si>
  <si>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</si>
  <si>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</si>
  <si>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</si>
  <si>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</si>
  <si>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</si>
  <si>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</si>
  <si>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</si>
  <si>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</si>
  <si>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</si>
  <si>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</si>
  <si>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</si>
  <si>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</si>
  <si>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</si>
  <si>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</si>
  <si>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</si>
  <si>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</si>
  <si>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</si>
  <si>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</si>
  <si>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</si>
  <si>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Turns Used</t>
  </si>
  <si>
    <t>Effective Turning Level:</t>
  </si>
  <si>
    <t>Cleric Features</t>
  </si>
  <si>
    <t>cleric 1</t>
  </si>
  <si>
    <t>Craft:  [type]</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</si>
  <si>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</si>
  <si>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</si>
  <si>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</si>
  <si>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</si>
  <si>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</si>
  <si>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</si>
  <si>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</si>
  <si>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</si>
  <si>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</si>
  <si>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</si>
  <si>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</si>
  <si>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</si>
  <si>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</si>
  <si>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</si>
  <si>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</si>
  <si>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</si>
  <si>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</si>
  <si>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</si>
  <si>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</si>
  <si>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</si>
  <si>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</si>
  <si>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</si>
  <si>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</si>
  <si>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</si>
  <si>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</si>
  <si>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</si>
  <si>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Inflict Minor Wounds</t>
  </si>
  <si>
    <t>Necromancy</t>
  </si>
  <si>
    <t>instant</t>
  </si>
  <si>
    <t>Light</t>
  </si>
  <si>
    <t>Evocation</t>
  </si>
  <si>
    <t>V M/DF</t>
  </si>
  <si>
    <t>10’</t>
  </si>
  <si>
    <t>V S F</t>
  </si>
  <si>
    <t>100’ + 10’/lvl</t>
  </si>
  <si>
    <t>Preserve Organ</t>
  </si>
  <si>
    <t>V S DF</t>
  </si>
  <si>
    <t>10 minutes</t>
  </si>
  <si>
    <t>24 hours</t>
  </si>
  <si>
    <t>Book of Vile Darkness</t>
  </si>
  <si>
    <t>Purify Food &amp; Drink</t>
  </si>
  <si>
    <t>Personal</t>
  </si>
  <si>
    <t>Resistance</t>
  </si>
  <si>
    <t>Abjuration</t>
  </si>
  <si>
    <t>V S M/DF</t>
  </si>
  <si>
    <t>Slash Tongue</t>
  </si>
  <si>
    <t>1 round</t>
  </si>
  <si>
    <t>Summon Holy Symbol</t>
  </si>
  <si>
    <t>0’</t>
  </si>
  <si>
    <t>1 rnd/lvl</t>
  </si>
  <si>
    <t>Complete Champion</t>
  </si>
  <si>
    <t>Virtue</t>
  </si>
  <si>
    <t>Angry Ache</t>
  </si>
  <si>
    <t>Bane</t>
  </si>
  <si>
    <t>Enchantment</t>
  </si>
  <si>
    <t>50’</t>
  </si>
  <si>
    <t>Blade of Blood</t>
  </si>
  <si>
    <t>Swift</t>
  </si>
  <si>
    <t>PHB II</t>
  </si>
  <si>
    <t>Bless</t>
  </si>
  <si>
    <t>Bless Water</t>
  </si>
  <si>
    <t>V S M</t>
  </si>
  <si>
    <t>Blood Wind</t>
  </si>
  <si>
    <t>Savage Species</t>
  </si>
  <si>
    <t>Burial Blessing</t>
  </si>
  <si>
    <t>V S M XP</t>
  </si>
  <si>
    <t>Permanent</t>
  </si>
  <si>
    <t>Defenders of the Faith</t>
  </si>
  <si>
    <t>Cause Fear</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</si>
  <si>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</si>
  <si>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</si>
  <si>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</si>
  <si>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</si>
  <si>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</si>
  <si>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</si>
  <si>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</si>
  <si>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</si>
  <si>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</si>
  <si>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</si>
  <si>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</si>
  <si>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</si>
  <si>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</si>
  <si>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</si>
  <si>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40’</t>
  </si>
  <si>
    <t>Divine Inspiration</t>
  </si>
  <si>
    <t>Sacrifice</t>
  </si>
  <si>
    <t>Book of Exalted Deeds</t>
  </si>
  <si>
    <t>Doom</t>
  </si>
  <si>
    <t>Ebon Eyes</t>
  </si>
  <si>
    <t>Endure Elements</t>
  </si>
  <si>
    <t>Entropic Shield</t>
  </si>
  <si>
    <t>Extract Drug</t>
  </si>
  <si>
    <t>Eyes of the Avoral</t>
  </si>
  <si>
    <t>V S F DF</t>
  </si>
  <si>
    <t>1 hr/lvl</t>
  </si>
  <si>
    <t>Grave Strike</t>
  </si>
  <si>
    <t>V DF</t>
  </si>
  <si>
    <t>Complete Adventurer</t>
  </si>
  <si>
    <t>Guiding Light</t>
  </si>
  <si>
    <t>Healthful Rest</t>
  </si>
  <si>
    <t>Heartache</t>
  </si>
  <si>
    <t>Hide from Undead</t>
  </si>
  <si>
    <t>Impede</t>
  </si>
  <si>
    <t>Inflict Light Wounds</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</si>
  <si>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</si>
  <si>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</si>
  <si>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</si>
  <si>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</si>
  <si>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</si>
  <si>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</si>
  <si>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</si>
  <si>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</si>
  <si>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</si>
  <si>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</si>
  <si>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</si>
  <si>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</si>
  <si>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</si>
  <si>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</si>
  <si>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</si>
  <si>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Resist Planar Alignment</t>
  </si>
  <si>
    <t>Sacrificial Skill</t>
  </si>
  <si>
    <t>Slow Consumption</t>
  </si>
  <si>
    <t>V S Location</t>
  </si>
  <si>
    <t>Sorrow</t>
  </si>
  <si>
    <t>Spell Flower</t>
  </si>
  <si>
    <t>Spider Hand</t>
  </si>
  <si>
    <t>Stupor</t>
  </si>
  <si>
    <t>S M</t>
  </si>
  <si>
    <t>Summon Undead I</t>
  </si>
  <si>
    <t>Libris Mortis</t>
  </si>
  <si>
    <t>Suspend Disease</t>
  </si>
  <si>
    <t>Twilight Luck</t>
  </si>
  <si>
    <t>V Abstinence</t>
  </si>
  <si>
    <t>Vigor, Lesser</t>
  </si>
  <si>
    <t>special</t>
  </si>
  <si>
    <t>Vision of Heaven</t>
  </si>
  <si>
    <t>Spells Granted by Mayaheine</t>
  </si>
  <si>
    <t>Protection</t>
  </si>
  <si>
    <t>Protective Ward</t>
  </si>
  <si>
    <t>Weapon Focus:  Bastard Sword</t>
  </si>
  <si>
    <t>Tomorrow’s Spells</t>
  </si>
  <si>
    <t>Effective Paladin Caster Level:</t>
  </si>
  <si>
    <t>Effective Cleric Caster Level:</t>
  </si>
  <si>
    <t>SF</t>
  </si>
  <si>
    <t>MW Composite Longbow +2 Str</t>
  </si>
  <si>
    <t>110’</t>
  </si>
  <si>
    <t>Belt Pouch</t>
  </si>
  <si>
    <t>six</t>
  </si>
  <si>
    <t>five</t>
  </si>
  <si>
    <t>3rd:  Combat Casting</t>
  </si>
  <si>
    <t>Combat Casting +4</t>
  </si>
  <si>
    <t>paladin 2</t>
  </si>
  <si>
    <t>MW Full Plate</t>
  </si>
  <si>
    <t>Flint and Steel</t>
  </si>
  <si>
    <t>Everburning Torch</t>
  </si>
  <si>
    <t>Clerical Vestments</t>
  </si>
  <si>
    <t>Trail Rations</t>
  </si>
  <si>
    <t>+2 vs. Poison</t>
  </si>
  <si>
    <t>Divine Grace</t>
  </si>
  <si>
    <t>1d10</t>
  </si>
  <si>
    <t>Bastard Sword, 2-handed</t>
  </si>
  <si>
    <t>Bastard Sword, 1-handed</t>
  </si>
  <si>
    <t>Laryssa</t>
  </si>
  <si>
    <t>1d8</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</si>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</sst>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i/>
      <sz val="22"/>
      <color rgb="FFFF0000"/>
      <name val="Times New Roman"/>
      <family val="1"/>
    </font>
    <font>
      <b/>
      <sz val="12"/>
      <color indexed="81"/>
      <name val="Times New Roman"/>
      <family val="1"/>
    </font>
    <font>
      <sz val="11"/>
      <name val="Times New Roman"/>
      <family val="1"/>
    </font>
    <font>
      <sz val="13"/>
      <color rgb="FFFF000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8"/>
      <color rgb="FF9966FF"/>
      <name val="Times New Roman"/>
      <family val="1"/>
    </font>
    <font>
      <i/>
      <sz val="18"/>
      <color theme="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hair">
        <color indexed="64"/>
      </bottom>
      <diagonal/>
    </border>
  </borders>
  <cellStyleXfs count="14">
    <xf numFmtId="0" fontId="0" fillId="0" borderId="0"/>
    <xf numFmtId="0" fontId="31"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4" fillId="0" borderId="0"/>
    <xf numFmtId="0" fontId="2" fillId="0" borderId="0"/>
    <xf numFmtId="0" fontId="35"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4" fillId="0" borderId="0"/>
  </cellStyleXfs>
  <cellXfs count="504">
    <xf numFmtId="0" fontId="0" fillId="0" borderId="0" xfId="0"/>
    <xf numFmtId="0" fontId="11" fillId="3" borderId="37" xfId="0" applyFont="1" applyFill="1" applyBorder="1" applyAlignment="1">
      <alignment horizontal="center" vertical="center" wrapText="1"/>
    </xf>
    <xf numFmtId="0" fontId="4" fillId="0" borderId="0" xfId="0" applyFont="1" applyBorder="1" applyAlignment="1">
      <alignment vertical="center"/>
    </xf>
    <xf numFmtId="0" fontId="19" fillId="2" borderId="59" xfId="0" applyFont="1" applyFill="1" applyBorder="1" applyAlignment="1">
      <alignment horizontal="left" vertical="center"/>
    </xf>
    <xf numFmtId="0" fontId="4" fillId="2" borderId="59" xfId="0" applyFont="1" applyFill="1" applyBorder="1" applyAlignment="1">
      <alignment horizontal="centerContinuous" vertical="center"/>
    </xf>
    <xf numFmtId="0" fontId="5" fillId="2" borderId="59" xfId="0" applyFont="1" applyFill="1" applyBorder="1" applyAlignment="1">
      <alignment horizontal="centerContinuous" vertical="center"/>
    </xf>
    <xf numFmtId="0" fontId="33" fillId="2" borderId="60"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3" xfId="0" applyFont="1" applyFill="1" applyBorder="1" applyAlignment="1">
      <alignment horizontal="right" vertical="center"/>
    </xf>
    <xf numFmtId="0" fontId="6" fillId="4" borderId="80" xfId="0" applyFont="1" applyFill="1" applyBorder="1" applyAlignment="1">
      <alignment horizontal="right" vertical="center"/>
    </xf>
    <xf numFmtId="49" fontId="7" fillId="0" borderId="64"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4"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0" fontId="12"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4"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8"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4"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6"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4"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3"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8" fillId="0" borderId="0" xfId="0" applyFont="1" applyBorder="1" applyAlignment="1">
      <alignment vertical="center"/>
    </xf>
    <xf numFmtId="0" fontId="30" fillId="0" borderId="0" xfId="0" applyFont="1" applyBorder="1" applyAlignment="1">
      <alignment vertical="center"/>
    </xf>
    <xf numFmtId="0" fontId="28"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vertical="center"/>
    </xf>
    <xf numFmtId="0" fontId="5" fillId="0" borderId="0" xfId="0" applyNumberFormat="1" applyFont="1" applyBorder="1" applyAlignment="1">
      <alignment horizontal="left" vertical="center"/>
    </xf>
    <xf numFmtId="0" fontId="3" fillId="0" borderId="0" xfId="0" applyFont="1" applyBorder="1" applyAlignment="1">
      <alignment horizontal="centerContinuous" vertical="center"/>
    </xf>
    <xf numFmtId="0" fontId="43" fillId="0" borderId="31" xfId="0" applyFont="1" applyBorder="1" applyAlignment="1">
      <alignment horizontal="centerContinuous" vertical="center"/>
    </xf>
    <xf numFmtId="0" fontId="25" fillId="0" borderId="35" xfId="0" applyFont="1" applyFill="1" applyBorder="1" applyAlignment="1">
      <alignment horizontal="centerContinuous" vertical="center"/>
    </xf>
    <xf numFmtId="0" fontId="46" fillId="0" borderId="35" xfId="0" applyFont="1" applyFill="1" applyBorder="1" applyAlignment="1">
      <alignment horizontal="center" vertical="center" shrinkToFit="1"/>
    </xf>
    <xf numFmtId="0" fontId="7" fillId="0" borderId="53"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54"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0" fillId="3" borderId="36" xfId="0" applyFont="1" applyFill="1" applyBorder="1" applyAlignment="1">
      <alignment horizontal="center" vertical="center"/>
    </xf>
    <xf numFmtId="164" fontId="20" fillId="3" borderId="37" xfId="0" applyNumberFormat="1" applyFont="1" applyFill="1" applyBorder="1" applyAlignment="1">
      <alignment horizontal="center" vertical="center"/>
    </xf>
    <xf numFmtId="0" fontId="20" fillId="3" borderId="36" xfId="0" applyFont="1" applyFill="1" applyBorder="1" applyAlignment="1">
      <alignment horizontal="right" vertical="center"/>
    </xf>
    <xf numFmtId="0" fontId="20" fillId="3" borderId="38" xfId="0" applyFont="1" applyFill="1" applyBorder="1" applyAlignment="1">
      <alignment vertical="center"/>
    </xf>
    <xf numFmtId="0" fontId="2" fillId="0" borderId="71" xfId="0"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Border="1" applyAlignment="1">
      <alignment horizontal="center" vertical="center"/>
    </xf>
    <xf numFmtId="0" fontId="2" fillId="0" borderId="72" xfId="0" applyFont="1" applyBorder="1" applyAlignment="1">
      <alignment horizontal="center" vertical="center" shrinkToFit="1"/>
    </xf>
    <xf numFmtId="164" fontId="2"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2" fillId="0" borderId="74" xfId="0" applyFont="1" applyBorder="1" applyAlignment="1">
      <alignment horizontal="center" vertical="center" shrinkToFit="1"/>
    </xf>
    <xf numFmtId="0" fontId="5" fillId="0" borderId="75" xfId="0" applyFont="1" applyBorder="1" applyAlignment="1">
      <alignment horizontal="center" vertical="center" shrinkToFit="1"/>
    </xf>
    <xf numFmtId="164" fontId="2" fillId="0" borderId="75" xfId="0" applyNumberFormat="1" applyFont="1" applyBorder="1" applyAlignment="1">
      <alignment horizontal="center"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shrinkToFit="1"/>
    </xf>
    <xf numFmtId="0" fontId="2" fillId="0" borderId="73"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4" xfId="0" applyFont="1" applyBorder="1" applyAlignment="1">
      <alignment horizontal="center" vertical="center" shrinkToFit="1"/>
    </xf>
    <xf numFmtId="0" fontId="2" fillId="0" borderId="39"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0" fillId="11" borderId="16" xfId="0" applyFont="1" applyFill="1" applyBorder="1" applyAlignment="1">
      <alignment horizontal="center" vertical="center"/>
    </xf>
    <xf numFmtId="0" fontId="20" fillId="11" borderId="17" xfId="0" applyFont="1" applyFill="1" applyBorder="1" applyAlignment="1">
      <alignment horizontal="center" vertical="center"/>
    </xf>
    <xf numFmtId="49" fontId="20" fillId="11" borderId="17" xfId="0" applyNumberFormat="1" applyFont="1" applyFill="1" applyBorder="1" applyAlignment="1">
      <alignment horizontal="center" vertical="center"/>
    </xf>
    <xf numFmtId="0" fontId="20" fillId="11" borderId="21" xfId="0" applyFont="1" applyFill="1" applyBorder="1" applyAlignment="1">
      <alignment horizontal="center" vertical="center"/>
    </xf>
    <xf numFmtId="0" fontId="41" fillId="12" borderId="21" xfId="0" applyFont="1" applyFill="1" applyBorder="1" applyAlignment="1">
      <alignment horizontal="center" vertical="center"/>
    </xf>
    <xf numFmtId="0" fontId="20"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0" fillId="11" borderId="21" xfId="0" applyFont="1" applyFill="1" applyBorder="1" applyAlignment="1">
      <alignment horizontal="centerContinuous" vertical="center"/>
    </xf>
    <xf numFmtId="0" fontId="20" fillId="11" borderId="65" xfId="0" applyFont="1" applyFill="1" applyBorder="1" applyAlignment="1">
      <alignment horizontal="centerContinuous" vertical="center"/>
    </xf>
    <xf numFmtId="0" fontId="20" fillId="11" borderId="49" xfId="0" applyFont="1" applyFill="1" applyBorder="1" applyAlignment="1">
      <alignment horizontal="centerContinuous" vertical="center"/>
    </xf>
    <xf numFmtId="164" fontId="2" fillId="0" borderId="66" xfId="0" applyNumberFormat="1" applyFont="1" applyFill="1" applyBorder="1" applyAlignment="1">
      <alignment horizontal="centerContinuous" vertical="center"/>
    </xf>
    <xf numFmtId="0" fontId="5" fillId="0" borderId="67" xfId="0" quotePrefix="1" applyFont="1" applyBorder="1" applyAlignment="1">
      <alignment horizontal="centerContinuous" vertical="center"/>
    </xf>
    <xf numFmtId="164" fontId="2" fillId="0" borderId="68" xfId="0" applyNumberFormat="1" applyFont="1" applyFill="1" applyBorder="1" applyAlignment="1">
      <alignment horizontal="centerContinuous" vertical="center"/>
    </xf>
    <xf numFmtId="0" fontId="20" fillId="11" borderId="19" xfId="0" applyFont="1" applyFill="1" applyBorder="1" applyAlignment="1">
      <alignment horizontal="centerContinuous" vertical="center"/>
    </xf>
    <xf numFmtId="0" fontId="20" fillId="11" borderId="20" xfId="0" applyFont="1" applyFill="1" applyBorder="1" applyAlignment="1">
      <alignment horizontal="centerContinuous" vertical="center"/>
    </xf>
    <xf numFmtId="0" fontId="2" fillId="0" borderId="29"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49" fontId="16" fillId="0" borderId="33" xfId="0" applyNumberFormat="1" applyFont="1" applyBorder="1" applyAlignment="1">
      <alignment horizontal="center" shrinkToFit="1"/>
    </xf>
    <xf numFmtId="0" fontId="2" fillId="0" borderId="41" xfId="0" applyFont="1" applyBorder="1" applyAlignment="1">
      <alignment horizontal="center" vertical="center"/>
    </xf>
    <xf numFmtId="1" fontId="42" fillId="12" borderId="41" xfId="0" applyNumberFormat="1" applyFont="1" applyFill="1" applyBorder="1" applyAlignment="1">
      <alignment horizontal="center" vertical="center"/>
    </xf>
    <xf numFmtId="164" fontId="2" fillId="0" borderId="41" xfId="0" applyNumberFormat="1" applyFont="1" applyFill="1" applyBorder="1" applyAlignment="1">
      <alignment horizontal="center" vertical="center"/>
    </xf>
    <xf numFmtId="0" fontId="2" fillId="0" borderId="44" xfId="0" quotePrefix="1" applyFont="1" applyBorder="1" applyAlignment="1">
      <alignment horizontal="center" vertical="center"/>
    </xf>
    <xf numFmtId="0" fontId="2" fillId="0" borderId="44" xfId="0" applyFont="1" applyBorder="1" applyAlignment="1">
      <alignment horizontal="center" vertical="center"/>
    </xf>
    <xf numFmtId="9" fontId="2" fillId="0" borderId="44" xfId="0" applyNumberFormat="1" applyFont="1" applyBorder="1" applyAlignment="1">
      <alignment horizontal="center" vertical="center"/>
    </xf>
    <xf numFmtId="164" fontId="5" fillId="0" borderId="44"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164" fontId="2" fillId="0" borderId="86" xfId="0" applyNumberFormat="1" applyFont="1" applyFill="1" applyBorder="1" applyAlignment="1">
      <alignment horizontal="centerContinuous" vertical="center"/>
    </xf>
    <xf numFmtId="0" fontId="5" fillId="0" borderId="87" xfId="0" applyFont="1" applyFill="1" applyBorder="1" applyAlignment="1">
      <alignment horizontal="centerContinuous" vertical="center"/>
    </xf>
    <xf numFmtId="0" fontId="5" fillId="0" borderId="84" xfId="0" applyFont="1" applyFill="1" applyBorder="1" applyAlignment="1">
      <alignment horizontal="centerContinuous" vertical="center"/>
    </xf>
    <xf numFmtId="164" fontId="5"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0" fontId="20" fillId="11" borderId="31" xfId="0" applyFont="1" applyFill="1" applyBorder="1" applyAlignment="1">
      <alignment horizontal="center" vertical="center"/>
    </xf>
    <xf numFmtId="164" fontId="20" fillId="3" borderId="31" xfId="0" applyNumberFormat="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0" fontId="2" fillId="0" borderId="39" xfId="0" applyFont="1" applyBorder="1" applyAlignment="1">
      <alignment horizontal="center" vertical="center"/>
    </xf>
    <xf numFmtId="164" fontId="2" fillId="0" borderId="91" xfId="0" applyNumberFormat="1" applyFont="1" applyFill="1" applyBorder="1" applyAlignment="1">
      <alignment horizontal="centerContinuous" vertical="center"/>
    </xf>
    <xf numFmtId="164" fontId="2" fillId="0" borderId="39"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72" xfId="0" applyFont="1" applyFill="1" applyBorder="1" applyAlignment="1">
      <alignment horizontal="center" vertical="center" shrinkToFit="1"/>
    </xf>
    <xf numFmtId="0" fontId="2" fillId="0" borderId="39" xfId="0" applyFont="1" applyFill="1" applyBorder="1" applyAlignment="1">
      <alignment horizontal="center" vertical="center"/>
    </xf>
    <xf numFmtId="1" fontId="2" fillId="0" borderId="39" xfId="0" applyNumberFormat="1" applyFont="1" applyFill="1" applyBorder="1" applyAlignment="1">
      <alignment horizontal="center" vertical="center"/>
    </xf>
    <xf numFmtId="1" fontId="2" fillId="0" borderId="55"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1" fontId="5" fillId="0" borderId="0" xfId="0" applyNumberFormat="1" applyFont="1" applyBorder="1" applyAlignment="1">
      <alignment vertical="center"/>
    </xf>
    <xf numFmtId="1" fontId="20" fillId="3" borderId="31"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64" fontId="2" fillId="0" borderId="44" xfId="0" applyNumberFormat="1" applyFont="1" applyBorder="1" applyAlignment="1">
      <alignment horizontal="center" vertical="center" shrinkToFit="1"/>
    </xf>
    <xf numFmtId="0" fontId="2" fillId="0" borderId="40" xfId="0" applyFont="1" applyBorder="1" applyAlignment="1">
      <alignment horizontal="left" vertical="center" shrinkToFit="1"/>
    </xf>
    <xf numFmtId="1" fontId="42" fillId="12" borderId="39"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1" fontId="7" fillId="0" borderId="27" xfId="0" applyNumberFormat="1" applyFont="1" applyBorder="1" applyAlignment="1">
      <alignment horizontal="center" vertical="center"/>
    </xf>
    <xf numFmtId="1" fontId="2" fillId="0" borderId="35" xfId="0" applyNumberFormat="1" applyFont="1" applyFill="1" applyBorder="1" applyAlignment="1">
      <alignment horizontal="center" vertical="center"/>
    </xf>
    <xf numFmtId="1" fontId="2" fillId="10" borderId="77" xfId="0" applyNumberFormat="1" applyFont="1" applyFill="1" applyBorder="1" applyAlignment="1">
      <alignment horizontal="center" vertical="center"/>
    </xf>
    <xf numFmtId="1" fontId="2" fillId="0" borderId="77" xfId="0" applyNumberFormat="1" applyFont="1" applyFill="1" applyBorder="1" applyAlignment="1">
      <alignment horizontal="center" vertical="center"/>
    </xf>
    <xf numFmtId="1" fontId="2" fillId="0" borderId="48"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4" xfId="0" applyNumberFormat="1" applyFont="1" applyBorder="1" applyAlignment="1">
      <alignment horizontal="centerContinuous" vertical="center"/>
    </xf>
    <xf numFmtId="0" fontId="2" fillId="0" borderId="95" xfId="0" applyFont="1" applyBorder="1" applyAlignment="1">
      <alignment horizontal="centerContinuous" vertical="center"/>
    </xf>
    <xf numFmtId="0" fontId="5" fillId="0" borderId="41" xfId="0" applyFont="1" applyBorder="1" applyAlignment="1">
      <alignment horizontal="center" vertical="center" shrinkToFit="1"/>
    </xf>
    <xf numFmtId="0" fontId="2" fillId="0" borderId="72" xfId="0" applyFont="1" applyBorder="1" applyAlignment="1">
      <alignment horizontal="center" vertical="center"/>
    </xf>
    <xf numFmtId="49" fontId="2" fillId="0" borderId="39" xfId="0" applyNumberFormat="1" applyFont="1" applyBorder="1" applyAlignment="1">
      <alignment horizontal="center" vertical="center"/>
    </xf>
    <xf numFmtId="164" fontId="2" fillId="0" borderId="39" xfId="0" applyNumberFormat="1" applyFont="1" applyBorder="1" applyAlignment="1">
      <alignment horizontal="center" vertical="center"/>
    </xf>
    <xf numFmtId="0" fontId="2" fillId="0" borderId="40" xfId="0" applyFont="1" applyBorder="1" applyAlignment="1">
      <alignment horizontal="center" vertical="center"/>
    </xf>
    <xf numFmtId="0" fontId="2" fillId="13" borderId="73" xfId="0" applyFont="1" applyFill="1" applyBorder="1" applyAlignment="1">
      <alignment horizontal="center" vertical="center" shrinkToFit="1"/>
    </xf>
    <xf numFmtId="0" fontId="2" fillId="13" borderId="41" xfId="0" applyFont="1" applyFill="1" applyBorder="1" applyAlignment="1">
      <alignment horizontal="center" vertical="center"/>
    </xf>
    <xf numFmtId="49" fontId="2" fillId="13" borderId="41" xfId="0" applyNumberFormat="1" applyFont="1" applyFill="1" applyBorder="1" applyAlignment="1">
      <alignment horizontal="center" vertical="center"/>
    </xf>
    <xf numFmtId="164" fontId="2" fillId="13" borderId="41"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 fontId="5" fillId="0" borderId="39" xfId="0" applyNumberFormat="1" applyFont="1" applyBorder="1" applyAlignment="1">
      <alignment horizontal="center" vertical="center"/>
    </xf>
    <xf numFmtId="1" fontId="2" fillId="13" borderId="41" xfId="0" applyNumberFormat="1" applyFont="1" applyFill="1" applyBorder="1" applyAlignment="1">
      <alignment horizontal="center" vertical="center"/>
    </xf>
    <xf numFmtId="0" fontId="2" fillId="13" borderId="42" xfId="0" quotePrefix="1" applyFont="1" applyFill="1" applyBorder="1" applyAlignment="1">
      <alignment horizontal="center" vertical="center"/>
    </xf>
    <xf numFmtId="1" fontId="2" fillId="13" borderId="48" xfId="0" applyNumberFormat="1" applyFont="1" applyFill="1" applyBorder="1" applyAlignment="1">
      <alignment horizontal="center" vertical="center"/>
    </xf>
    <xf numFmtId="0" fontId="2" fillId="0" borderId="39" xfId="0" quotePrefix="1" applyFont="1" applyFill="1" applyBorder="1" applyAlignment="1">
      <alignment horizontal="center" vertical="center"/>
    </xf>
    <xf numFmtId="0" fontId="2" fillId="0" borderId="41" xfId="0" quotePrefix="1" applyFont="1" applyBorder="1" applyAlignment="1">
      <alignment horizontal="center" vertical="center"/>
    </xf>
    <xf numFmtId="9" fontId="2" fillId="0" borderId="39" xfId="0" applyNumberFormat="1" applyFont="1" applyFill="1" applyBorder="1" applyAlignment="1">
      <alignment horizontal="center" vertical="center"/>
    </xf>
    <xf numFmtId="9" fontId="2" fillId="0" borderId="41" xfId="0" applyNumberFormat="1" applyFont="1" applyBorder="1" applyAlignment="1">
      <alignment horizontal="center" vertical="center"/>
    </xf>
    <xf numFmtId="0" fontId="2" fillId="0" borderId="90" xfId="0" applyFont="1" applyFill="1" applyBorder="1" applyAlignment="1">
      <alignment horizontal="centerContinuous" vertical="center"/>
    </xf>
    <xf numFmtId="0" fontId="5" fillId="0" borderId="69" xfId="0" quotePrefix="1" applyFont="1" applyBorder="1" applyAlignment="1">
      <alignment horizontal="centerContinuous" vertical="center"/>
    </xf>
    <xf numFmtId="0" fontId="44" fillId="0" borderId="31" xfId="0" applyFont="1" applyBorder="1" applyAlignment="1">
      <alignment horizontal="centerContinuous" vertical="center"/>
    </xf>
    <xf numFmtId="0" fontId="45" fillId="0" borderId="31" xfId="0" applyFont="1" applyBorder="1" applyAlignment="1">
      <alignment horizontal="centerContinuous" vertical="center"/>
    </xf>
    <xf numFmtId="0" fontId="20" fillId="11" borderId="96" xfId="0" applyFont="1" applyFill="1" applyBorder="1" applyAlignment="1">
      <alignment horizontal="center" vertical="center"/>
    </xf>
    <xf numFmtId="1" fontId="20" fillId="11" borderId="31"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2" fillId="0" borderId="78" xfId="0" applyFont="1" applyFill="1" applyBorder="1" applyAlignment="1">
      <alignment horizontal="centerContinuous" vertical="center" shrinkToFit="1"/>
    </xf>
    <xf numFmtId="0" fontId="20" fillId="0" borderId="66" xfId="0" applyFont="1" applyFill="1" applyBorder="1" applyAlignment="1">
      <alignment horizontal="centerContinuous" vertical="center"/>
    </xf>
    <xf numFmtId="0" fontId="20" fillId="0" borderId="56" xfId="0" applyFont="1" applyFill="1" applyBorder="1" applyAlignment="1">
      <alignment horizontal="centerContinuous" vertical="center"/>
    </xf>
    <xf numFmtId="0" fontId="2" fillId="0" borderId="91" xfId="0" applyFont="1" applyFill="1" applyBorder="1" applyAlignment="1">
      <alignment horizontal="center" vertical="center"/>
    </xf>
    <xf numFmtId="0" fontId="2" fillId="0" borderId="67" xfId="0" applyFont="1" applyFill="1" applyBorder="1" applyAlignment="1">
      <alignment horizontal="centerContinuous" vertical="center"/>
    </xf>
    <xf numFmtId="0" fontId="2" fillId="0" borderId="79" xfId="0" applyFont="1" applyFill="1" applyBorder="1" applyAlignment="1">
      <alignment horizontal="centerContinuous" vertical="center" shrinkToFit="1"/>
    </xf>
    <xf numFmtId="0" fontId="2" fillId="0" borderId="68" xfId="0" applyFont="1" applyFill="1" applyBorder="1" applyAlignment="1">
      <alignment horizontal="centerContinuous" vertical="center"/>
    </xf>
    <xf numFmtId="0" fontId="2" fillId="0" borderId="5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41" xfId="0" applyNumberFormat="1" applyFont="1" applyFill="1" applyBorder="1" applyAlignment="1">
      <alignment horizontal="center" vertical="center"/>
    </xf>
    <xf numFmtId="0" fontId="2" fillId="0" borderId="69" xfId="0" applyFont="1" applyFill="1" applyBorder="1" applyAlignment="1">
      <alignment horizontal="centerContinuous" vertical="center"/>
    </xf>
    <xf numFmtId="1" fontId="2" fillId="0" borderId="48" xfId="0" applyNumberFormat="1" applyFont="1" applyBorder="1" applyAlignment="1">
      <alignment horizontal="center" vertical="center"/>
    </xf>
    <xf numFmtId="0" fontId="2" fillId="0" borderId="39" xfId="0" quotePrefix="1" applyFont="1" applyFill="1" applyBorder="1" applyAlignment="1">
      <alignment horizontal="center" vertical="center" wrapText="1"/>
    </xf>
    <xf numFmtId="1" fontId="7" fillId="0" borderId="27" xfId="0" applyNumberFormat="1" applyFont="1" applyFill="1" applyBorder="1" applyAlignment="1">
      <alignment horizontal="center" vertical="center"/>
    </xf>
    <xf numFmtId="0" fontId="25" fillId="0" borderId="48" xfId="0" applyFont="1" applyFill="1" applyBorder="1" applyAlignment="1">
      <alignment horizontal="centerContinuous" vertical="center"/>
    </xf>
    <xf numFmtId="0" fontId="46" fillId="0" borderId="35" xfId="0" applyFont="1" applyFill="1" applyBorder="1" applyAlignment="1">
      <alignment horizontal="centerContinuous" vertical="center"/>
    </xf>
    <xf numFmtId="1" fontId="7" fillId="0" borderId="82" xfId="0" applyNumberFormat="1" applyFont="1" applyFill="1" applyBorder="1" applyAlignment="1">
      <alignment horizontal="centerContinuous" vertical="center"/>
    </xf>
    <xf numFmtId="0" fontId="2" fillId="0" borderId="83"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1" xfId="0" applyFont="1" applyBorder="1" applyAlignment="1">
      <alignment horizontal="center" vertical="center" shrinkToFit="1"/>
    </xf>
    <xf numFmtId="1" fontId="2" fillId="0" borderId="92" xfId="0" applyNumberFormat="1" applyFont="1" applyBorder="1" applyAlignment="1">
      <alignment horizontal="center" vertical="center" shrinkToFit="1"/>
    </xf>
    <xf numFmtId="164" fontId="2" fillId="0" borderId="92" xfId="0" applyNumberFormat="1" applyFont="1" applyBorder="1" applyAlignment="1">
      <alignment horizontal="center" vertical="center" shrinkToFit="1"/>
    </xf>
    <xf numFmtId="0" fontId="2" fillId="0" borderId="97" xfId="0" applyFont="1" applyBorder="1" applyAlignment="1">
      <alignment horizontal="left" vertical="center"/>
    </xf>
    <xf numFmtId="0" fontId="2" fillId="0" borderId="93" xfId="0" applyFont="1" applyBorder="1" applyAlignment="1">
      <alignment horizontal="left" vertical="center" shrinkToFit="1"/>
    </xf>
    <xf numFmtId="0" fontId="2" fillId="0" borderId="78" xfId="0" applyFont="1" applyBorder="1" applyAlignment="1">
      <alignment horizontal="center" vertical="center" shrinkToFit="1"/>
    </xf>
    <xf numFmtId="1" fontId="2" fillId="0" borderId="39" xfId="0" applyNumberFormat="1" applyFont="1" applyBorder="1" applyAlignment="1">
      <alignment horizontal="center" vertical="center" shrinkToFit="1"/>
    </xf>
    <xf numFmtId="0" fontId="2" fillId="0" borderId="91" xfId="0" applyFont="1" applyBorder="1" applyAlignment="1">
      <alignment horizontal="left" vertical="center"/>
    </xf>
    <xf numFmtId="1" fontId="2" fillId="0" borderId="35" xfId="0" applyNumberFormat="1" applyFont="1" applyBorder="1" applyAlignment="1">
      <alignment horizontal="center" vertical="center" shrinkToFit="1"/>
    </xf>
    <xf numFmtId="0" fontId="23" fillId="0" borderId="22" xfId="0" applyFont="1" applyBorder="1" applyAlignment="1">
      <alignment horizontal="centerContinuous" vertical="center"/>
    </xf>
    <xf numFmtId="0" fontId="11" fillId="3" borderId="61"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NumberFormat="1" applyFont="1" applyFill="1" applyBorder="1" applyAlignment="1">
      <alignment horizontal="center" vertical="center"/>
    </xf>
    <xf numFmtId="0" fontId="40" fillId="12" borderId="36" xfId="0" applyNumberFormat="1" applyFont="1" applyFill="1" applyBorder="1" applyAlignment="1">
      <alignment horizontal="center" vertical="center"/>
    </xf>
    <xf numFmtId="0" fontId="11" fillId="3" borderId="62" xfId="0" applyFont="1" applyFill="1" applyBorder="1" applyAlignment="1">
      <alignment horizontal="center" vertical="center"/>
    </xf>
    <xf numFmtId="0" fontId="38" fillId="0" borderId="1" xfId="0" applyFont="1" applyFill="1" applyBorder="1" applyAlignment="1">
      <alignment vertical="center"/>
    </xf>
    <xf numFmtId="0" fontId="6" fillId="0" borderId="24" xfId="0" applyFont="1" applyFill="1" applyBorder="1" applyAlignment="1">
      <alignment horizontal="center" vertical="center"/>
    </xf>
    <xf numFmtId="0" fontId="46"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39" fillId="0" borderId="24" xfId="0" applyFont="1" applyFill="1" applyBorder="1" applyAlignment="1">
      <alignment horizontal="center" vertical="center"/>
    </xf>
    <xf numFmtId="1" fontId="7" fillId="0" borderId="24" xfId="0" applyNumberFormat="1" applyFont="1" applyFill="1" applyBorder="1" applyAlignment="1">
      <alignment horizontal="center" vertical="center"/>
    </xf>
    <xf numFmtId="0" fontId="37" fillId="12" borderId="25" xfId="0" applyNumberFormat="1" applyFont="1" applyFill="1" applyBorder="1" applyAlignment="1">
      <alignment horizontal="center" vertical="center"/>
    </xf>
    <xf numFmtId="0" fontId="7" fillId="0" borderId="26" xfId="0" quotePrefix="1" applyNumberFormat="1" applyFont="1" applyFill="1" applyBorder="1" applyAlignment="1">
      <alignment horizontal="center" vertical="center"/>
    </xf>
    <xf numFmtId="0" fontId="49" fillId="0" borderId="1" xfId="0" applyFont="1" applyFill="1" applyBorder="1" applyAlignment="1">
      <alignment vertical="center"/>
    </xf>
    <xf numFmtId="0" fontId="48" fillId="0" borderId="24" xfId="0" applyFont="1" applyFill="1" applyBorder="1" applyAlignment="1">
      <alignment horizontal="center" vertical="center"/>
    </xf>
    <xf numFmtId="0" fontId="12" fillId="0" borderId="25" xfId="0" applyNumberFormat="1" applyFont="1" applyFill="1" applyBorder="1" applyAlignment="1">
      <alignment horizontal="center" vertical="center"/>
    </xf>
    <xf numFmtId="0" fontId="39" fillId="0" borderId="32"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40" fillId="0" borderId="46" xfId="0" applyFont="1" applyFill="1" applyBorder="1" applyAlignment="1">
      <alignment horizontal="center" vertical="center"/>
    </xf>
    <xf numFmtId="1" fontId="7" fillId="0" borderId="46" xfId="0" applyNumberFormat="1" applyFont="1" applyFill="1" applyBorder="1" applyAlignment="1">
      <alignment horizontal="center" vertical="center"/>
    </xf>
    <xf numFmtId="0" fontId="37" fillId="12" borderId="46" xfId="0" applyNumberFormat="1" applyFont="1" applyFill="1" applyBorder="1" applyAlignment="1">
      <alignment horizontal="center" vertical="center"/>
    </xf>
    <xf numFmtId="0" fontId="7" fillId="0" borderId="33" xfId="0" quotePrefix="1" applyNumberFormat="1" applyFont="1" applyFill="1" applyBorder="1" applyAlignment="1">
      <alignment horizontal="center" vertical="center"/>
    </xf>
    <xf numFmtId="0" fontId="10" fillId="0" borderId="1" xfId="0" applyFont="1" applyFill="1" applyBorder="1" applyAlignment="1">
      <alignment vertical="center"/>
    </xf>
    <xf numFmtId="0" fontId="7"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49" fontId="48" fillId="0" borderId="24" xfId="0" applyNumberFormat="1" applyFont="1" applyFill="1" applyBorder="1" applyAlignment="1">
      <alignment horizontal="center" vertical="center"/>
    </xf>
    <xf numFmtId="0" fontId="48" fillId="0" borderId="25" xfId="0" applyNumberFormat="1" applyFont="1" applyFill="1" applyBorder="1" applyAlignment="1">
      <alignment horizontal="center" vertical="center"/>
    </xf>
    <xf numFmtId="0" fontId="49" fillId="0" borderId="25" xfId="0" applyNumberFormat="1" applyFont="1" applyFill="1" applyBorder="1" applyAlignment="1">
      <alignment horizontal="center" vertical="center"/>
    </xf>
    <xf numFmtId="0" fontId="13" fillId="9" borderId="1" xfId="0" applyFont="1" applyFill="1" applyBorder="1" applyAlignment="1">
      <alignment vertical="center"/>
    </xf>
    <xf numFmtId="0" fontId="7" fillId="9" borderId="24" xfId="0" applyNumberFormat="1" applyFont="1" applyFill="1" applyBorder="1" applyAlignment="1">
      <alignment horizontal="center" vertical="center"/>
    </xf>
    <xf numFmtId="49" fontId="22" fillId="9" borderId="24"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13" fillId="9" borderId="25" xfId="0" applyNumberFormat="1"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26"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9" fillId="7" borderId="1" xfId="0" applyFont="1" applyFill="1" applyBorder="1" applyAlignment="1">
      <alignment vertical="center"/>
    </xf>
    <xf numFmtId="0" fontId="7" fillId="7" borderId="24" xfId="0" applyNumberFormat="1" applyFont="1" applyFill="1" applyBorder="1" applyAlignment="1">
      <alignment horizontal="center" vertical="center"/>
    </xf>
    <xf numFmtId="49" fontId="25" fillId="7" borderId="24" xfId="0" applyNumberFormat="1" applyFont="1" applyFill="1" applyBorder="1" applyAlignment="1">
      <alignment horizontal="center" vertical="center"/>
    </xf>
    <xf numFmtId="0" fontId="25" fillId="7" borderId="25" xfId="0" applyNumberFormat="1" applyFont="1" applyFill="1" applyBorder="1" applyAlignment="1">
      <alignment horizontal="center" vertical="center"/>
    </xf>
    <xf numFmtId="0" fontId="9" fillId="7" borderId="25" xfId="0" applyNumberFormat="1" applyFont="1" applyFill="1" applyBorder="1" applyAlignment="1">
      <alignment horizontal="center" vertical="center"/>
    </xf>
    <xf numFmtId="49" fontId="7" fillId="7" borderId="25" xfId="0" applyNumberFormat="1" applyFont="1" applyFill="1" applyBorder="1" applyAlignment="1">
      <alignment horizontal="center" vertical="center"/>
    </xf>
    <xf numFmtId="0" fontId="7" fillId="7" borderId="26" xfId="0" quotePrefix="1" applyNumberFormat="1" applyFont="1" applyFill="1" applyBorder="1" applyAlignment="1">
      <alignment horizontal="center" vertical="center"/>
    </xf>
    <xf numFmtId="0" fontId="10" fillId="5" borderId="1" xfId="0" applyFont="1" applyFill="1" applyBorder="1" applyAlignment="1">
      <alignment vertical="center"/>
    </xf>
    <xf numFmtId="0" fontId="7"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quotePrefix="1"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10" fillId="6" borderId="1" xfId="0" applyFont="1" applyFill="1" applyBorder="1" applyAlignment="1">
      <alignment vertical="center"/>
    </xf>
    <xf numFmtId="0" fontId="7"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quotePrefix="1" applyNumberFormat="1" applyFont="1" applyFill="1" applyBorder="1" applyAlignment="1">
      <alignment horizontal="center" vertical="center"/>
    </xf>
    <xf numFmtId="0" fontId="10" fillId="7" borderId="1" xfId="0" applyFont="1" applyFill="1" applyBorder="1" applyAlignment="1">
      <alignment vertical="center"/>
    </xf>
    <xf numFmtId="49" fontId="16" fillId="7" borderId="24" xfId="0" applyNumberFormat="1" applyFont="1" applyFill="1" applyBorder="1" applyAlignment="1">
      <alignment horizontal="center" vertical="center"/>
    </xf>
    <xf numFmtId="0" fontId="16" fillId="7"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0" fontId="21"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49" fillId="5" borderId="1" xfId="0" applyFont="1" applyFill="1" applyBorder="1" applyAlignment="1">
      <alignment vertical="center"/>
    </xf>
    <xf numFmtId="49" fontId="48" fillId="5" borderId="24" xfId="0" applyNumberFormat="1" applyFont="1" applyFill="1" applyBorder="1" applyAlignment="1">
      <alignment horizontal="center" vertical="center"/>
    </xf>
    <xf numFmtId="0" fontId="48" fillId="5" borderId="25" xfId="0" applyNumberFormat="1" applyFont="1" applyFill="1" applyBorder="1" applyAlignment="1">
      <alignment horizontal="center" vertical="center"/>
    </xf>
    <xf numFmtId="0" fontId="49" fillId="5" borderId="25" xfId="0" applyNumberFormat="1" applyFont="1" applyFill="1" applyBorder="1" applyAlignment="1">
      <alignment horizontal="center" vertical="center"/>
    </xf>
    <xf numFmtId="49" fontId="26" fillId="9" borderId="24" xfId="0" applyNumberFormat="1" applyFont="1" applyFill="1" applyBorder="1" applyAlignment="1">
      <alignment horizontal="center" vertical="center"/>
    </xf>
    <xf numFmtId="0" fontId="26" fillId="9" borderId="25" xfId="0" applyNumberFormat="1" applyFont="1" applyFill="1" applyBorder="1" applyAlignment="1">
      <alignment horizontal="center" vertical="center"/>
    </xf>
    <xf numFmtId="0" fontId="21" fillId="9" borderId="25" xfId="0" applyNumberFormat="1" applyFont="1" applyFill="1" applyBorder="1" applyAlignment="1">
      <alignment horizontal="center" vertical="center"/>
    </xf>
    <xf numFmtId="0" fontId="21" fillId="9" borderId="1" xfId="0" applyFont="1" applyFill="1" applyBorder="1" applyAlignment="1">
      <alignment vertical="center"/>
    </xf>
    <xf numFmtId="0" fontId="10" fillId="10" borderId="1" xfId="0" applyFont="1" applyFill="1" applyBorder="1" applyAlignment="1">
      <alignment vertical="center"/>
    </xf>
    <xf numFmtId="0" fontId="7" fillId="10" borderId="24" xfId="0" applyNumberFormat="1" applyFont="1" applyFill="1" applyBorder="1" applyAlignment="1">
      <alignment horizontal="center"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49" fontId="7" fillId="10" borderId="25" xfId="0" applyNumberFormat="1" applyFont="1" applyFill="1" applyBorder="1" applyAlignment="1">
      <alignment horizontal="center" vertical="center"/>
    </xf>
    <xf numFmtId="0" fontId="7" fillId="10" borderId="26" xfId="0" quotePrefix="1" applyNumberFormat="1" applyFont="1" applyFill="1" applyBorder="1" applyAlignment="1">
      <alignment horizontal="center" vertical="center"/>
    </xf>
    <xf numFmtId="0" fontId="49" fillId="4" borderId="1" xfId="0" applyFont="1" applyFill="1" applyBorder="1" applyAlignment="1">
      <alignment vertical="center"/>
    </xf>
    <xf numFmtId="0" fontId="7" fillId="4" borderId="24" xfId="0" applyNumberFormat="1" applyFont="1" applyFill="1" applyBorder="1" applyAlignment="1">
      <alignment horizontal="center" vertical="center"/>
    </xf>
    <xf numFmtId="49" fontId="48" fillId="4" borderId="24" xfId="0" applyNumberFormat="1" applyFont="1" applyFill="1" applyBorder="1" applyAlignment="1">
      <alignment horizontal="center" vertical="center"/>
    </xf>
    <xf numFmtId="0" fontId="48" fillId="4" borderId="25" xfId="0" applyNumberFormat="1" applyFont="1" applyFill="1" applyBorder="1" applyAlignment="1">
      <alignment horizontal="center" vertical="center"/>
    </xf>
    <xf numFmtId="0" fontId="49" fillId="4" borderId="25" xfId="0" applyNumberFormat="1" applyFont="1" applyFill="1" applyBorder="1" applyAlignment="1">
      <alignment horizontal="center" vertical="center"/>
    </xf>
    <xf numFmtId="0" fontId="7" fillId="4" borderId="26" xfId="0" quotePrefix="1"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49" fillId="0" borderId="8" xfId="0" applyFont="1" applyFill="1" applyBorder="1" applyAlignment="1">
      <alignment vertical="center"/>
    </xf>
    <xf numFmtId="0" fontId="7" fillId="0" borderId="45" xfId="0" applyNumberFormat="1" applyFont="1" applyFill="1" applyBorder="1" applyAlignment="1">
      <alignment horizontal="center" vertical="center"/>
    </xf>
    <xf numFmtId="49" fontId="48" fillId="0" borderId="45" xfId="0" applyNumberFormat="1" applyFont="1" applyFill="1" applyBorder="1" applyAlignment="1">
      <alignment horizontal="center" vertical="center"/>
    </xf>
    <xf numFmtId="0" fontId="48" fillId="0" borderId="47" xfId="0" applyNumberFormat="1" applyFont="1" applyFill="1" applyBorder="1" applyAlignment="1">
      <alignment horizontal="center" vertical="center"/>
    </xf>
    <xf numFmtId="0" fontId="49" fillId="0" borderId="47"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0" fontId="37" fillId="12" borderId="45" xfId="0" applyNumberFormat="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47" fillId="0" borderId="0" xfId="0" applyFont="1" applyBorder="1" applyAlignment="1">
      <alignment vertical="center"/>
    </xf>
    <xf numFmtId="0" fontId="2" fillId="0" borderId="44" xfId="0" applyFont="1" applyFill="1" applyBorder="1" applyAlignment="1">
      <alignment horizontal="center" vertical="center"/>
    </xf>
    <xf numFmtId="49" fontId="2" fillId="0"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1" fontId="42" fillId="12" borderId="44" xfId="0" applyNumberFormat="1" applyFont="1" applyFill="1" applyBorder="1" applyAlignment="1">
      <alignment horizontal="center" vertical="center"/>
    </xf>
    <xf numFmtId="1" fontId="2" fillId="0" borderId="44" xfId="0" applyNumberFormat="1" applyFont="1" applyFill="1" applyBorder="1" applyAlignment="1">
      <alignment horizontal="center" vertical="center"/>
    </xf>
    <xf numFmtId="0" fontId="2" fillId="0" borderId="43" xfId="0" quotePrefix="1" applyFont="1" applyFill="1" applyBorder="1" applyAlignment="1">
      <alignment horizontal="center" vertical="center"/>
    </xf>
    <xf numFmtId="49" fontId="2" fillId="0" borderId="39" xfId="2" applyNumberFormat="1" applyFont="1" applyBorder="1" applyAlignment="1">
      <alignment horizontal="center" vertical="center"/>
    </xf>
    <xf numFmtId="164" fontId="5" fillId="0" borderId="39" xfId="0" applyNumberFormat="1" applyFont="1" applyBorder="1" applyAlignment="1">
      <alignment horizontal="center" vertical="center"/>
    </xf>
    <xf numFmtId="0" fontId="2" fillId="0" borderId="40" xfId="0" quotePrefix="1" applyFont="1" applyBorder="1" applyAlignment="1">
      <alignment horizontal="center" vertical="center"/>
    </xf>
    <xf numFmtId="0" fontId="6" fillId="4" borderId="30" xfId="0" applyFont="1" applyFill="1" applyBorder="1" applyAlignment="1">
      <alignment horizontal="right" vertical="center"/>
    </xf>
    <xf numFmtId="3" fontId="7" fillId="0" borderId="12" xfId="0" applyNumberFormat="1" applyFont="1" applyBorder="1" applyAlignment="1">
      <alignment horizontal="center" vertical="center"/>
    </xf>
    <xf numFmtId="2" fontId="2" fillId="0" borderId="48" xfId="0" applyNumberFormat="1" applyFont="1" applyFill="1" applyBorder="1" applyAlignment="1">
      <alignment horizontal="center" vertical="center"/>
    </xf>
    <xf numFmtId="0" fontId="2" fillId="13" borderId="73" xfId="0" applyFont="1" applyFill="1" applyBorder="1" applyAlignment="1">
      <alignment horizontal="center" vertical="center"/>
    </xf>
    <xf numFmtId="0" fontId="2" fillId="13" borderId="42" xfId="0" applyFont="1" applyFill="1" applyBorder="1" applyAlignment="1">
      <alignment horizontal="center" vertical="center"/>
    </xf>
    <xf numFmtId="0" fontId="2" fillId="13" borderId="48" xfId="0" applyFont="1" applyFill="1" applyBorder="1" applyAlignment="1">
      <alignment horizontal="center" vertical="center"/>
    </xf>
    <xf numFmtId="2" fontId="2" fillId="0" borderId="55" xfId="0" applyNumberFormat="1" applyFont="1" applyBorder="1" applyAlignment="1">
      <alignment horizontal="center" vertical="center" shrinkToFit="1"/>
    </xf>
    <xf numFmtId="2" fontId="2" fillId="0" borderId="35" xfId="0" applyNumberFormat="1" applyFont="1" applyBorder="1" applyAlignment="1">
      <alignment horizontal="center" vertical="center" shrinkToFit="1"/>
    </xf>
    <xf numFmtId="0" fontId="50" fillId="2" borderId="58" xfId="0" applyFont="1" applyFill="1" applyBorder="1" applyAlignment="1">
      <alignment horizontal="right" vertical="center"/>
    </xf>
    <xf numFmtId="0" fontId="50" fillId="2" borderId="59"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8"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52" fillId="0" borderId="0" xfId="0" applyFont="1" applyBorder="1" applyAlignment="1">
      <alignment horizontal="centerContinuous" vertical="center"/>
    </xf>
    <xf numFmtId="0" fontId="25" fillId="0" borderId="35" xfId="0" applyFont="1" applyBorder="1" applyAlignment="1">
      <alignment horizontal="centerContinuous" vertical="center"/>
    </xf>
    <xf numFmtId="0" fontId="25" fillId="0" borderId="35" xfId="0" applyFont="1" applyBorder="1" applyAlignment="1">
      <alignment horizontal="centerContinuous"/>
    </xf>
    <xf numFmtId="0" fontId="53" fillId="0" borderId="35" xfId="0" applyFont="1" applyBorder="1" applyAlignment="1">
      <alignment horizontal="centerContinuous" vertical="center"/>
    </xf>
    <xf numFmtId="0" fontId="54" fillId="0" borderId="31" xfId="0" applyFont="1" applyBorder="1" applyAlignment="1">
      <alignment horizontal="centerContinuous" vertical="center"/>
    </xf>
    <xf numFmtId="0" fontId="25" fillId="0" borderId="77" xfId="0" applyFont="1" applyBorder="1" applyAlignment="1">
      <alignment horizontal="centerContinuous" vertical="center" shrinkToFit="1"/>
    </xf>
    <xf numFmtId="0" fontId="25" fillId="0" borderId="55" xfId="0" applyFont="1" applyBorder="1" applyAlignment="1">
      <alignment horizontal="center" vertical="center" shrinkToFit="1"/>
    </xf>
    <xf numFmtId="0" fontId="25" fillId="0" borderId="54" xfId="0" quotePrefix="1" applyFont="1" applyBorder="1" applyAlignment="1">
      <alignment horizontal="center" vertical="center" shrinkToFit="1"/>
    </xf>
    <xf numFmtId="0" fontId="54" fillId="0" borderId="99" xfId="5" applyFont="1" applyBorder="1" applyAlignment="1">
      <alignment horizontal="centerContinuous" vertical="center" wrapText="1"/>
    </xf>
    <xf numFmtId="0" fontId="6" fillId="0" borderId="100" xfId="5" applyFont="1" applyBorder="1" applyAlignment="1">
      <alignment horizontal="centerContinuous" vertical="center" wrapText="1"/>
    </xf>
    <xf numFmtId="0" fontId="6" fillId="0" borderId="101" xfId="5" applyFont="1" applyBorder="1" applyAlignment="1">
      <alignment horizontal="centerContinuous" vertical="center" wrapText="1"/>
    </xf>
    <xf numFmtId="0" fontId="7" fillId="0" borderId="0" xfId="5" applyFont="1" applyAlignment="1">
      <alignment vertical="center" wrapText="1"/>
    </xf>
    <xf numFmtId="0" fontId="2" fillId="0" borderId="0" xfId="5" applyAlignment="1">
      <alignment vertical="center" wrapText="1"/>
    </xf>
    <xf numFmtId="0" fontId="54" fillId="0" borderId="0" xfId="5" applyFont="1" applyAlignment="1">
      <alignment horizontal="centerContinuous" vertical="center" wrapText="1"/>
    </xf>
    <xf numFmtId="0" fontId="15" fillId="0" borderId="0" xfId="5" applyFont="1" applyAlignment="1">
      <alignment horizontal="centerContinuous" vertical="center" wrapText="1"/>
    </xf>
    <xf numFmtId="0" fontId="55" fillId="0" borderId="0" xfId="5" applyFont="1" applyAlignment="1">
      <alignment horizontal="centerContinuous" vertical="center" wrapText="1"/>
    </xf>
    <xf numFmtId="0" fontId="11" fillId="14" borderId="32" xfId="5" applyFont="1" applyFill="1" applyBorder="1" applyAlignment="1">
      <alignment horizontal="centerContinuous" vertical="center" wrapText="1"/>
    </xf>
    <xf numFmtId="0" fontId="11" fillId="14" borderId="102" xfId="5" applyFont="1" applyFill="1" applyBorder="1" applyAlignment="1">
      <alignment horizontal="center" vertical="center" wrapText="1"/>
    </xf>
    <xf numFmtId="0" fontId="11" fillId="14" borderId="103" xfId="5" applyFont="1" applyFill="1" applyBorder="1" applyAlignment="1">
      <alignment horizontal="center" vertical="center" wrapText="1"/>
    </xf>
    <xf numFmtId="0" fontId="7" fillId="0" borderId="0" xfId="5" applyFont="1" applyAlignment="1">
      <alignment horizontal="left" vertical="center"/>
    </xf>
    <xf numFmtId="0" fontId="4" fillId="0" borderId="5" xfId="5" applyFont="1" applyBorder="1" applyAlignment="1">
      <alignment horizontal="centerContinuous" vertical="center"/>
    </xf>
    <xf numFmtId="0" fontId="2" fillId="0" borderId="6" xfId="5" applyBorder="1" applyAlignment="1">
      <alignment horizontal="centerContinuous" vertical="center" wrapText="1"/>
    </xf>
    <xf numFmtId="0" fontId="2" fillId="0" borderId="7" xfId="5" applyBorder="1" applyAlignment="1">
      <alignment horizontal="centerContinuous" vertical="center" wrapText="1"/>
    </xf>
    <xf numFmtId="0" fontId="46" fillId="0" borderId="1" xfId="5" applyFont="1" applyBorder="1" applyAlignment="1">
      <alignment horizontal="center" vertical="center" shrinkToFit="1"/>
    </xf>
    <xf numFmtId="0" fontId="7" fillId="0" borderId="24" xfId="5" applyFont="1" applyBorder="1" applyAlignment="1">
      <alignment horizontal="center" vertical="center"/>
    </xf>
    <xf numFmtId="49" fontId="7" fillId="0" borderId="24" xfId="5" applyNumberFormat="1" applyFont="1" applyBorder="1" applyAlignment="1">
      <alignment horizontal="center" vertical="center"/>
    </xf>
    <xf numFmtId="0" fontId="56" fillId="8" borderId="26" xfId="2" applyNumberFormat="1" applyFont="1" applyFill="1" applyBorder="1" applyAlignment="1">
      <alignment horizontal="center" vertical="center" shrinkToFit="1"/>
    </xf>
    <xf numFmtId="0" fontId="4" fillId="0" borderId="8"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04" xfId="5" applyFont="1" applyBorder="1" applyAlignment="1">
      <alignment horizontal="right" vertical="center" wrapText="1"/>
    </xf>
    <xf numFmtId="0" fontId="2" fillId="0" borderId="105" xfId="5" applyBorder="1" applyAlignment="1">
      <alignment horizontal="center" vertical="center" wrapText="1"/>
    </xf>
    <xf numFmtId="0" fontId="2" fillId="0" borderId="106" xfId="5" applyBorder="1" applyAlignment="1">
      <alignment horizontal="center" vertical="center" wrapText="1"/>
    </xf>
    <xf numFmtId="0" fontId="2" fillId="15" borderId="107" xfId="5" applyFill="1" applyBorder="1" applyAlignment="1">
      <alignment horizontal="center" vertical="center" wrapText="1"/>
    </xf>
    <xf numFmtId="0" fontId="4" fillId="0" borderId="35" xfId="5" applyFont="1" applyBorder="1" applyAlignment="1">
      <alignment horizontal="right" vertical="center" wrapText="1"/>
    </xf>
    <xf numFmtId="0" fontId="2" fillId="0" borderId="56" xfId="5" applyBorder="1" applyAlignment="1">
      <alignment horizontal="center" vertical="center" wrapText="1"/>
    </xf>
    <xf numFmtId="0" fontId="2" fillId="0" borderId="39" xfId="5" applyBorder="1" applyAlignment="1">
      <alignment horizontal="center" vertical="center" wrapText="1"/>
    </xf>
    <xf numFmtId="0" fontId="2" fillId="15" borderId="40" xfId="5" applyFill="1" applyBorder="1" applyAlignment="1">
      <alignment horizontal="center" vertical="center" wrapText="1"/>
    </xf>
    <xf numFmtId="0" fontId="4" fillId="0" borderId="48" xfId="5" applyFont="1" applyBorder="1" applyAlignment="1">
      <alignment horizontal="right" vertical="center" wrapText="1"/>
    </xf>
    <xf numFmtId="0" fontId="57" fillId="14" borderId="57" xfId="5" applyFont="1" applyFill="1" applyBorder="1" applyAlignment="1">
      <alignment horizontal="center" vertical="center" wrapText="1"/>
    </xf>
    <xf numFmtId="0" fontId="57" fillId="14" borderId="41" xfId="5" applyFont="1" applyFill="1" applyBorder="1" applyAlignment="1">
      <alignment horizontal="center" vertical="center" wrapText="1"/>
    </xf>
    <xf numFmtId="0" fontId="4" fillId="15" borderId="42" xfId="5" applyFont="1" applyFill="1" applyBorder="1" applyAlignment="1">
      <alignment horizontal="center" vertical="center" wrapText="1"/>
    </xf>
    <xf numFmtId="0" fontId="46" fillId="0" borderId="32" xfId="5" applyFont="1" applyBorder="1" applyAlignment="1">
      <alignment horizontal="center" vertical="center" shrinkToFit="1"/>
    </xf>
    <xf numFmtId="0" fontId="7" fillId="0" borderId="46" xfId="5" applyFont="1" applyBorder="1" applyAlignment="1">
      <alignment horizontal="center" vertical="center"/>
    </xf>
    <xf numFmtId="49" fontId="7" fillId="0" borderId="46" xfId="5" applyNumberFormat="1" applyFont="1" applyBorder="1" applyAlignment="1">
      <alignment horizontal="center" vertical="center"/>
    </xf>
    <xf numFmtId="0" fontId="56" fillId="8" borderId="33" xfId="2" applyNumberFormat="1" applyFont="1" applyFill="1" applyBorder="1" applyAlignment="1">
      <alignment horizontal="center" vertical="center" shrinkToFit="1"/>
    </xf>
    <xf numFmtId="0" fontId="54" fillId="0" borderId="108" xfId="5" applyFont="1" applyBorder="1" applyAlignment="1">
      <alignment horizontal="centerContinuous" vertical="center"/>
    </xf>
    <xf numFmtId="0" fontId="54" fillId="0" borderId="109" xfId="5" applyFont="1" applyBorder="1" applyAlignment="1">
      <alignment horizontal="centerContinuous" vertical="center"/>
    </xf>
    <xf numFmtId="0" fontId="58" fillId="0" borderId="110" xfId="5" applyFont="1" applyBorder="1" applyAlignment="1">
      <alignment horizontal="centerContinuous" vertical="center"/>
    </xf>
    <xf numFmtId="0" fontId="7" fillId="0" borderId="0" xfId="5" quotePrefix="1" applyFont="1" applyAlignment="1">
      <alignment vertical="center"/>
    </xf>
    <xf numFmtId="0" fontId="4" fillId="0" borderId="78" xfId="5" applyFont="1" applyBorder="1" applyAlignment="1">
      <alignment vertical="center"/>
    </xf>
    <xf numFmtId="0" fontId="4" fillId="0" borderId="66" xfId="5" applyFont="1" applyBorder="1" applyAlignment="1">
      <alignment horizontal="right" vertical="center"/>
    </xf>
    <xf numFmtId="0" fontId="2" fillId="0" borderId="111" xfId="5" applyBorder="1" applyAlignment="1">
      <alignment horizontal="center" vertical="center"/>
    </xf>
    <xf numFmtId="49" fontId="42" fillId="14" borderId="112" xfId="5" applyNumberFormat="1" applyFont="1" applyFill="1" applyBorder="1" applyAlignment="1">
      <alignment vertical="center"/>
    </xf>
    <xf numFmtId="0" fontId="41" fillId="14" borderId="113" xfId="5" applyFont="1" applyFill="1" applyBorder="1" applyAlignment="1">
      <alignment horizontal="right" vertical="center"/>
    </xf>
    <xf numFmtId="0" fontId="42" fillId="14" borderId="114" xfId="5" applyFont="1" applyFill="1" applyBorder="1" applyAlignment="1">
      <alignment horizontal="center" vertical="center"/>
    </xf>
    <xf numFmtId="49" fontId="2" fillId="0" borderId="78" xfId="5" applyNumberFormat="1" applyBorder="1" applyAlignment="1">
      <alignment vertical="center"/>
    </xf>
    <xf numFmtId="1" fontId="2" fillId="0" borderId="115" xfId="5" applyNumberFormat="1" applyBorder="1" applyAlignment="1">
      <alignment horizontal="center" vertical="center"/>
    </xf>
    <xf numFmtId="0" fontId="42" fillId="14" borderId="78" xfId="5" applyFont="1" applyFill="1" applyBorder="1" applyAlignment="1">
      <alignment vertical="center"/>
    </xf>
    <xf numFmtId="0" fontId="41" fillId="14" borderId="66" xfId="5" applyFont="1" applyFill="1" applyBorder="1" applyAlignment="1">
      <alignment horizontal="right" vertical="center"/>
    </xf>
    <xf numFmtId="0" fontId="42" fillId="14" borderId="115" xfId="5" applyFont="1" applyFill="1" applyBorder="1" applyAlignment="1">
      <alignment horizontal="center" vertical="center"/>
    </xf>
    <xf numFmtId="0" fontId="2" fillId="0" borderId="116" xfId="5" applyBorder="1" applyAlignment="1">
      <alignment vertical="center"/>
    </xf>
    <xf numFmtId="0" fontId="4" fillId="0" borderId="117" xfId="5" applyFont="1" applyBorder="1" applyAlignment="1">
      <alignment horizontal="right" vertical="center"/>
    </xf>
    <xf numFmtId="49" fontId="2" fillId="0" borderId="118" xfId="5" applyNumberFormat="1" applyBorder="1" applyAlignment="1">
      <alignment horizontal="center" vertical="center"/>
    </xf>
    <xf numFmtId="0" fontId="2" fillId="0" borderId="81" xfId="5" applyBorder="1" applyAlignment="1">
      <alignment vertical="center"/>
    </xf>
    <xf numFmtId="0" fontId="4" fillId="0" borderId="119" xfId="5" applyFont="1" applyBorder="1" applyAlignment="1">
      <alignment horizontal="right" vertical="center"/>
    </xf>
    <xf numFmtId="0" fontId="2" fillId="0" borderId="120" xfId="5" applyBorder="1" applyAlignment="1">
      <alignment horizontal="center" vertical="center"/>
    </xf>
    <xf numFmtId="0" fontId="7" fillId="0" borderId="0" xfId="5" applyFont="1" applyAlignment="1">
      <alignment horizontal="left" vertical="center" wrapText="1"/>
    </xf>
    <xf numFmtId="49" fontId="2" fillId="0" borderId="79" xfId="5" applyNumberFormat="1" applyBorder="1" applyAlignment="1">
      <alignment vertical="center"/>
    </xf>
    <xf numFmtId="0" fontId="4" fillId="0" borderId="68" xfId="5" applyFont="1" applyBorder="1" applyAlignment="1">
      <alignment horizontal="right" vertical="center"/>
    </xf>
    <xf numFmtId="0" fontId="2" fillId="16" borderId="121"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wrapText="1"/>
    </xf>
    <xf numFmtId="0" fontId="47" fillId="0" borderId="0" xfId="5" applyFont="1" applyAlignment="1">
      <alignment horizontal="left" vertical="center" wrapText="1"/>
    </xf>
    <xf numFmtId="0" fontId="47" fillId="0" borderId="0" xfId="5" applyFont="1" applyAlignment="1">
      <alignment vertical="center" wrapText="1"/>
    </xf>
    <xf numFmtId="0" fontId="6" fillId="0" borderId="0" xfId="5" applyFont="1" applyAlignment="1">
      <alignment horizontal="right" vertical="center" wrapText="1"/>
    </xf>
    <xf numFmtId="0" fontId="2" fillId="15" borderId="106" xfId="5" applyFill="1" applyBorder="1" applyAlignment="1">
      <alignment horizontal="center" vertical="center" wrapText="1"/>
    </xf>
    <xf numFmtId="0" fontId="2" fillId="15" borderId="39" xfId="5" applyFill="1" applyBorder="1" applyAlignment="1">
      <alignment horizontal="center" vertical="center" wrapText="1"/>
    </xf>
    <xf numFmtId="0" fontId="4" fillId="15" borderId="41" xfId="5" applyFont="1" applyFill="1" applyBorder="1" applyAlignment="1">
      <alignment horizontal="center" vertical="center" wrapText="1"/>
    </xf>
    <xf numFmtId="0" fontId="7" fillId="0" borderId="45" xfId="5" applyFont="1" applyBorder="1" applyAlignment="1">
      <alignment horizontal="center" vertical="center"/>
    </xf>
    <xf numFmtId="49" fontId="7" fillId="0" borderId="45" xfId="5" applyNumberFormat="1" applyFont="1" applyBorder="1" applyAlignment="1">
      <alignment horizontal="center" vertical="center"/>
    </xf>
    <xf numFmtId="0" fontId="56" fillId="8" borderId="34" xfId="2" applyNumberFormat="1" applyFont="1" applyFill="1" applyBorder="1" applyAlignment="1">
      <alignment horizontal="center" vertical="center" shrinkToFit="1"/>
    </xf>
    <xf numFmtId="0" fontId="59" fillId="0" borderId="31" xfId="0" applyFont="1" applyBorder="1" applyAlignment="1">
      <alignment horizontal="centerContinuous" vertical="center"/>
    </xf>
    <xf numFmtId="0" fontId="60" fillId="14" borderId="31" xfId="0" applyFont="1" applyFill="1" applyBorder="1" applyAlignment="1">
      <alignment horizontal="centerContinuous" vertical="center"/>
    </xf>
    <xf numFmtId="0" fontId="15" fillId="0" borderId="0" xfId="5" applyFont="1" applyAlignment="1">
      <alignment horizontal="centerContinuous" vertical="center"/>
    </xf>
    <xf numFmtId="0" fontId="7" fillId="0" borderId="24" xfId="8" applyFont="1" applyBorder="1" applyAlignment="1">
      <alignment horizontal="center" vertical="center" wrapText="1"/>
    </xf>
    <xf numFmtId="0" fontId="7" fillId="10" borderId="24" xfId="8" applyFont="1" applyFill="1" applyBorder="1" applyAlignment="1">
      <alignment horizontal="center" vertical="center"/>
    </xf>
    <xf numFmtId="0" fontId="7" fillId="0" borderId="125" xfId="5" applyFont="1" applyBorder="1" applyAlignment="1">
      <alignment horizontal="center" vertical="center" shrinkToFit="1"/>
    </xf>
    <xf numFmtId="9" fontId="7" fillId="0" borderId="126" xfId="2" applyFont="1" applyBorder="1" applyAlignment="1">
      <alignment horizontal="center" vertical="center" shrinkToFit="1"/>
    </xf>
    <xf numFmtId="0" fontId="7" fillId="0" borderId="126" xfId="2" applyNumberFormat="1" applyFont="1" applyBorder="1" applyAlignment="1">
      <alignment horizontal="center" vertical="center" shrinkToFit="1"/>
    </xf>
    <xf numFmtId="0" fontId="7" fillId="0" borderId="25" xfId="2" applyNumberFormat="1" applyFont="1" applyBorder="1" applyAlignment="1">
      <alignment horizontal="center" vertical="center" shrinkToFit="1"/>
    </xf>
    <xf numFmtId="0" fontId="7" fillId="0" borderId="127" xfId="5"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4" xfId="5" applyFont="1" applyBorder="1" applyAlignment="1">
      <alignment horizontal="center" vertical="center" shrinkToFi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0" fontId="7" fillId="0" borderId="46" xfId="8" applyFont="1" applyBorder="1" applyAlignment="1">
      <alignment horizontal="center" vertical="center" wrapText="1"/>
    </xf>
    <xf numFmtId="0" fontId="7" fillId="10" borderId="46" xfId="8" applyFont="1" applyFill="1" applyBorder="1" applyAlignment="1">
      <alignment horizontal="center" vertical="center"/>
    </xf>
    <xf numFmtId="9" fontId="7" fillId="0" borderId="46" xfId="2"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3" xfId="5" applyFont="1" applyBorder="1" applyAlignment="1">
      <alignment horizontal="center" vertical="center" wrapText="1"/>
    </xf>
    <xf numFmtId="9" fontId="7" fillId="0" borderId="25" xfId="2" applyFont="1" applyBorder="1" applyAlignment="1">
      <alignment horizontal="center" vertical="center" shrinkToFit="1"/>
    </xf>
    <xf numFmtId="9" fontId="7" fillId="0" borderId="25" xfId="10" applyFont="1" applyFill="1" applyBorder="1" applyAlignment="1">
      <alignment horizontal="center" vertical="center" shrinkToFit="1"/>
    </xf>
    <xf numFmtId="9" fontId="7" fillId="0" borderId="24" xfId="10" applyFont="1" applyFill="1" applyBorder="1" applyAlignment="1">
      <alignment horizontal="center" vertical="center" shrinkToFit="1"/>
    </xf>
    <xf numFmtId="0" fontId="7" fillId="0" borderId="25" xfId="10" applyNumberFormat="1" applyFont="1" applyFill="1" applyBorder="1" applyAlignment="1">
      <alignment horizontal="center" vertical="center" shrinkToFit="1"/>
    </xf>
    <xf numFmtId="0" fontId="7" fillId="0" borderId="26" xfId="5" applyFont="1" applyBorder="1" applyAlignment="1">
      <alignment horizontal="center" vertical="center"/>
    </xf>
    <xf numFmtId="0" fontId="7" fillId="0" borderId="26" xfId="5" applyFont="1" applyBorder="1" applyAlignment="1">
      <alignment horizontal="center" vertical="center" shrinkToFit="1"/>
    </xf>
    <xf numFmtId="0" fontId="7" fillId="0" borderId="26" xfId="8" applyFont="1" applyBorder="1" applyAlignment="1">
      <alignment horizontal="center" vertical="center" wrapText="1"/>
    </xf>
    <xf numFmtId="0" fontId="7" fillId="0" borderId="45" xfId="8" applyFont="1" applyBorder="1" applyAlignment="1">
      <alignment horizontal="center" vertical="center" wrapText="1"/>
    </xf>
    <xf numFmtId="0" fontId="7" fillId="10" borderId="45" xfId="8" applyFont="1" applyFill="1" applyBorder="1" applyAlignment="1">
      <alignment horizontal="center" vertical="center"/>
    </xf>
    <xf numFmtId="9" fontId="7" fillId="0" borderId="45" xfId="2" applyFont="1" applyFill="1" applyBorder="1" applyAlignment="1">
      <alignment horizontal="center" vertical="center" shrinkToFit="1"/>
    </xf>
    <xf numFmtId="9" fontId="7" fillId="0" borderId="47" xfId="2" applyFont="1" applyFill="1" applyBorder="1" applyAlignment="1">
      <alignment horizontal="center" vertical="center" shrinkToFit="1"/>
    </xf>
    <xf numFmtId="0" fontId="7" fillId="0" borderId="47" xfId="5"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7" fillId="0" borderId="47" xfId="2" applyNumberFormat="1" applyFont="1" applyBorder="1" applyAlignment="1">
      <alignment horizontal="center" vertical="center" shrinkToFit="1"/>
    </xf>
    <xf numFmtId="0" fontId="7" fillId="0" borderId="34"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4" fillId="0" borderId="22" xfId="5" applyFont="1" applyBorder="1" applyAlignment="1">
      <alignment horizontal="centerContinuous" vertical="center"/>
    </xf>
    <xf numFmtId="0" fontId="46" fillId="0" borderId="1" xfId="8" applyFont="1" applyBorder="1" applyAlignment="1">
      <alignment horizontal="center" vertical="center" shrinkToFit="1"/>
    </xf>
    <xf numFmtId="0" fontId="46" fillId="0" borderId="32" xfId="8" applyFont="1" applyBorder="1" applyAlignment="1">
      <alignment horizontal="center" vertical="center" shrinkToFit="1"/>
    </xf>
    <xf numFmtId="0" fontId="46" fillId="0" borderId="8" xfId="8" applyFont="1" applyBorder="1" applyAlignment="1">
      <alignment horizontal="center" vertical="center" shrinkToFit="1"/>
    </xf>
    <xf numFmtId="0" fontId="11" fillId="14" borderId="122" xfId="5" applyFont="1" applyFill="1" applyBorder="1" applyAlignment="1">
      <alignment horizontal="centerContinuous" vertical="center" wrapText="1"/>
    </xf>
    <xf numFmtId="0" fontId="11" fillId="14" borderId="123" xfId="5" applyFont="1" applyFill="1" applyBorder="1" applyAlignment="1">
      <alignment horizontal="center" vertical="center"/>
    </xf>
    <xf numFmtId="0" fontId="11" fillId="14" borderId="123" xfId="5" applyFont="1" applyFill="1" applyBorder="1" applyAlignment="1">
      <alignment horizontal="center" vertical="center" wrapText="1"/>
    </xf>
    <xf numFmtId="0" fontId="11" fillId="14" borderId="124" xfId="5" applyFont="1" applyFill="1" applyBorder="1" applyAlignment="1">
      <alignment horizontal="centerContinuous" vertical="center" wrapText="1"/>
    </xf>
    <xf numFmtId="0" fontId="39" fillId="0" borderId="8" xfId="5" applyFont="1" applyBorder="1" applyAlignment="1">
      <alignment horizontal="center" vertical="center" shrinkToFit="1"/>
    </xf>
    <xf numFmtId="0" fontId="7" fillId="10" borderId="0" xfId="5" applyFont="1" applyFill="1" applyAlignment="1">
      <alignment horizontal="center" vertical="center" wrapText="1"/>
    </xf>
    <xf numFmtId="0" fontId="2" fillId="0" borderId="39" xfId="0" applyNumberFormat="1" applyFont="1" applyBorder="1" applyAlignment="1">
      <alignment horizontal="center" vertical="center"/>
    </xf>
    <xf numFmtId="0" fontId="25" fillId="0" borderId="35" xfId="0" quotePrefix="1" applyFont="1" applyFill="1" applyBorder="1" applyAlignment="1">
      <alignment horizontal="centerContinuous" vertical="center"/>
    </xf>
    <xf numFmtId="0" fontId="2" fillId="0" borderId="128" xfId="0" applyFont="1" applyBorder="1" applyAlignment="1">
      <alignment horizontal="center" vertical="center" shrinkToFit="1"/>
    </xf>
    <xf numFmtId="0" fontId="2" fillId="0" borderId="92" xfId="0" applyFont="1" applyFill="1" applyBorder="1" applyAlignment="1">
      <alignment horizontal="center" vertical="center"/>
    </xf>
    <xf numFmtId="49" fontId="2" fillId="0" borderId="92" xfId="0" applyNumberFormat="1" applyFont="1" applyFill="1" applyBorder="1" applyAlignment="1">
      <alignment horizontal="center" vertical="center"/>
    </xf>
    <xf numFmtId="164" fontId="2" fillId="0" borderId="92" xfId="0" applyNumberFormat="1" applyFont="1" applyFill="1" applyBorder="1" applyAlignment="1">
      <alignment horizontal="center" vertical="center"/>
    </xf>
    <xf numFmtId="1" fontId="42" fillId="12" borderId="92"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0" fontId="2" fillId="0" borderId="93" xfId="0" quotePrefix="1" applyFont="1" applyFill="1" applyBorder="1" applyAlignment="1">
      <alignment horizontal="center" vertical="center"/>
    </xf>
    <xf numFmtId="1" fontId="7" fillId="0" borderId="24" xfId="0" applyNumberFormat="1" applyFont="1" applyBorder="1" applyAlignment="1">
      <alignment horizontal="center" vertical="center"/>
    </xf>
    <xf numFmtId="1" fontId="7" fillId="0" borderId="46" xfId="0" applyNumberFormat="1" applyFont="1" applyBorder="1" applyAlignment="1">
      <alignment horizontal="center" vertical="center"/>
    </xf>
    <xf numFmtId="0" fontId="7" fillId="0" borderId="14" xfId="0" applyFont="1" applyBorder="1" applyAlignment="1">
      <alignment horizontal="center" vertical="center"/>
    </xf>
    <xf numFmtId="0" fontId="7" fillId="0" borderId="94" xfId="0" quotePrefix="1"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0">
    <dxf>
      <fill>
        <patternFill>
          <bgColor rgb="FFFF0000"/>
        </patternFill>
      </fill>
    </dxf>
    <dxf>
      <fill>
        <patternFill>
          <bgColor rgb="FFFFC000"/>
        </patternFill>
      </fill>
    </dxf>
    <dxf>
      <font>
        <b val="0"/>
        <i/>
        <color auto="1"/>
      </font>
      <fill>
        <patternFill>
          <bgColor theme="0" tint="-0.2499465926084170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CCFFCC"/>
      <color rgb="FF0000FF"/>
      <color rgb="FF9966FF"/>
      <color rgb="FF00CC66"/>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41910</xdr:colOff>
      <xdr:row>16</xdr:row>
      <xdr:rowOff>51434</xdr:rowOff>
    </xdr:from>
    <xdr:to>
      <xdr:col>6</xdr:col>
      <xdr:colOff>1261110</xdr:colOff>
      <xdr:row>28</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b="0">
              <a:effectLst/>
              <a:latin typeface="Times New Roman" panose="02020603050405020304" pitchFamily="18" charset="0"/>
              <a:ea typeface="+mn-ea"/>
              <a:cs typeface="Times New Roman" panose="02020603050405020304" pitchFamily="18" charset="0"/>
            </a:rPr>
            <a:t>Of notable height and sturdy frame, Laryssa makes quite an impression with her bright red hair, flashing green eyes and prominent scar on the right side of her face.</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b="0">
              <a:effectLst/>
              <a:latin typeface="Times New Roman" panose="02020603050405020304" pitchFamily="18" charset="0"/>
              <a:ea typeface="+mn-ea"/>
              <a:cs typeface="Times New Roman" panose="02020603050405020304" pitchFamily="18" charset="0"/>
            </a:rPr>
            <a:t> Formerly a farmer, her parents were both deceased but she was making a go of running the farm by herself until the day it was attacked by a raiding party of goblins. While she put up a fierce defense, she was on the verge of being overwhelmed by the vermin when succor arrived in the shape of a wandering cleric of Mayaheine, altho not before her sustaining a deep facial wound whose scar remains to this day. With her farm ruined, there was nothing to hold her to the land and in gratitude she dedicated her life to the service of the Shield Maiden.</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b="0">
              <a:effectLst/>
              <a:latin typeface="Times New Roman" panose="02020603050405020304" pitchFamily="18" charset="0"/>
              <a:ea typeface="+mn-ea"/>
              <a:cs typeface="Times New Roman" panose="02020603050405020304" pitchFamily="18" charset="0"/>
            </a:rPr>
            <a:t>Determined to grow the worship of the Bright Lady throughout the lands, Laryssa is relentless in her dedication to the ideals of Mayaheine, protecting the weak whenever she encounters them. Somewhat singled-minded in her goals, she has little patience with those not of a similar martial bent.</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13</xdr:row>
      <xdr:rowOff>121920</xdr:rowOff>
    </xdr:from>
    <xdr:to>
      <xdr:col>6</xdr:col>
      <xdr:colOff>1232535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1" u="none" strike="noStrike" baseline="0">
              <a:solidFill>
                <a:srgbClr val="FF0000"/>
              </a:solidFill>
              <a:latin typeface="Times New Roman"/>
              <a:cs typeface="Times New Roman"/>
            </a:rPr>
            <a:t>Light load</a:t>
          </a:r>
        </a:p>
      </xdr:txBody>
    </xdr:sp>
    <xdr:clientData/>
  </xdr:twoCellAnchor>
  <xdr:twoCellAnchor editAs="oneCell">
    <xdr:from>
      <xdr:col>5</xdr:col>
      <xdr:colOff>137160</xdr:colOff>
      <xdr:row>1</xdr:row>
      <xdr:rowOff>211654</xdr:rowOff>
    </xdr:from>
    <xdr:to>
      <xdr:col>6</xdr:col>
      <xdr:colOff>1181099</xdr:colOff>
      <xdr:row>12</xdr:row>
      <xdr:rowOff>118799</xdr:rowOff>
    </xdr:to>
    <xdr:pic>
      <xdr:nvPicPr>
        <xdr:cNvPr id="5" name="Picture 4" descr="https://s-media-cache-ak0.pinimg.com/originals/6a/21/31/6a2131638212fce66512122be1702a65.jpg">
          <a:extLst>
            <a:ext uri="{FF2B5EF4-FFF2-40B4-BE49-F238E27FC236}">
              <a16:creationId xmlns:a16="http://schemas.microsoft.com/office/drawing/2014/main" id="{3453317C-5C46-426B-A552-B18ABB658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7680" y="585034"/>
          <a:ext cx="2164079" cy="2292205"/>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1955D865-AF16-49E4-80DE-11344380F5C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14962B9B-7226-4440-8BA1-368C60193348}"/>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411480</xdr:colOff>
      <xdr:row>1</xdr:row>
      <xdr:rowOff>123825</xdr:rowOff>
    </xdr:from>
    <xdr:to>
      <xdr:col>3</xdr:col>
      <xdr:colOff>70485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zoomScaleNormal="100" workbookViewId="0"/>
  </sheetViews>
  <sheetFormatPr defaultColWidth="13" defaultRowHeight="15.6"/>
  <cols>
    <col min="1" max="1" width="14.8984375" style="48" customWidth="1"/>
    <col min="2" max="2" width="10" style="49" customWidth="1"/>
    <col min="3" max="3" width="5.09765625" style="49" customWidth="1"/>
    <col min="4" max="4" width="13.69921875" style="48" bestFit="1" customWidth="1"/>
    <col min="5" max="5" width="10.8984375" style="49" bestFit="1" customWidth="1"/>
    <col min="6" max="6" width="14.69921875" style="48" customWidth="1"/>
    <col min="7" max="7" width="17.09765625" style="49" customWidth="1"/>
    <col min="8" max="16384" width="13" style="7"/>
  </cols>
  <sheetData>
    <row r="1" spans="1:7" ht="29.4" thickTop="1" thickBot="1">
      <c r="A1" s="342" t="s">
        <v>375</v>
      </c>
      <c r="B1" s="343" t="s">
        <v>126</v>
      </c>
      <c r="C1" s="3"/>
      <c r="D1" s="4"/>
      <c r="E1" s="5"/>
      <c r="F1" s="4"/>
      <c r="G1" s="6" t="s">
        <v>125</v>
      </c>
    </row>
    <row r="2" spans="1:7" ht="17.399999999999999" thickTop="1">
      <c r="A2" s="8" t="s">
        <v>88</v>
      </c>
      <c r="B2" s="9" t="s">
        <v>75</v>
      </c>
      <c r="C2" s="9"/>
      <c r="D2" s="10" t="s">
        <v>92</v>
      </c>
      <c r="E2" s="11">
        <v>19</v>
      </c>
      <c r="F2" s="12"/>
      <c r="G2" s="13"/>
    </row>
    <row r="3" spans="1:7" ht="16.8">
      <c r="A3" s="8" t="s">
        <v>89</v>
      </c>
      <c r="B3" s="9" t="s">
        <v>132</v>
      </c>
      <c r="C3" s="9"/>
      <c r="D3" s="10" t="s">
        <v>0</v>
      </c>
      <c r="E3" s="11">
        <v>2</v>
      </c>
      <c r="F3" s="10"/>
      <c r="G3" s="13"/>
    </row>
    <row r="4" spans="1:7" ht="16.8">
      <c r="A4" s="8" t="s">
        <v>89</v>
      </c>
      <c r="B4" s="357" t="s">
        <v>162</v>
      </c>
      <c r="C4" s="9"/>
      <c r="D4" s="10" t="s">
        <v>0</v>
      </c>
      <c r="E4" s="11">
        <v>1</v>
      </c>
      <c r="F4" s="10"/>
      <c r="G4" s="13"/>
    </row>
    <row r="5" spans="1:7" ht="16.8">
      <c r="A5" s="8" t="s">
        <v>101</v>
      </c>
      <c r="B5" s="9" t="s">
        <v>129</v>
      </c>
      <c r="C5" s="9"/>
      <c r="D5" s="10" t="s">
        <v>90</v>
      </c>
      <c r="E5" s="11" t="s">
        <v>114</v>
      </c>
      <c r="F5" s="10"/>
      <c r="G5" s="13"/>
    </row>
    <row r="6" spans="1:7" ht="16.8">
      <c r="A6" s="8" t="s">
        <v>102</v>
      </c>
      <c r="B6" s="9" t="s">
        <v>113</v>
      </c>
      <c r="C6" s="9"/>
      <c r="D6" s="10" t="s">
        <v>106</v>
      </c>
      <c r="E6" s="11" t="s">
        <v>115</v>
      </c>
      <c r="F6" s="10"/>
      <c r="G6" s="13"/>
    </row>
    <row r="7" spans="1:7" ht="17.399999999999999" thickBot="1">
      <c r="A7" s="8" t="s">
        <v>103</v>
      </c>
      <c r="B7" s="9" t="s">
        <v>128</v>
      </c>
      <c r="C7" s="9"/>
      <c r="D7" s="10" t="s">
        <v>107</v>
      </c>
      <c r="E7" s="11" t="s">
        <v>127</v>
      </c>
      <c r="F7" s="10"/>
      <c r="G7" s="13"/>
    </row>
    <row r="8" spans="1:7" ht="17.399999999999999" thickTop="1">
      <c r="A8" s="14" t="s">
        <v>104</v>
      </c>
      <c r="B8" s="198">
        <f>E3+0</f>
        <v>2</v>
      </c>
      <c r="C8" s="199"/>
      <c r="D8" s="15" t="s">
        <v>66</v>
      </c>
      <c r="E8" s="16" t="s">
        <v>143</v>
      </c>
      <c r="F8" s="17"/>
      <c r="G8" s="13"/>
    </row>
    <row r="9" spans="1:7" ht="17.399999999999999" thickBot="1">
      <c r="A9" s="154" t="s">
        <v>105</v>
      </c>
      <c r="B9" s="155" t="str">
        <f>C11</f>
        <v>+1</v>
      </c>
      <c r="C9" s="156"/>
      <c r="D9" s="334" t="s">
        <v>146</v>
      </c>
      <c r="E9" s="335">
        <v>3000</v>
      </c>
      <c r="F9" s="17"/>
      <c r="G9" s="13"/>
    </row>
    <row r="10" spans="1:7" ht="17.399999999999999" thickTop="1">
      <c r="A10" s="18" t="s">
        <v>100</v>
      </c>
      <c r="B10" s="502">
        <v>14</v>
      </c>
      <c r="C10" s="19" t="str">
        <f t="shared" ref="C10:C15" si="0">IF(B10&gt;9.9,CONCATENATE("+",ROUNDDOWN((B10-10)/2,0)),ROUNDUP((B10-10)/2,0))</f>
        <v>+2</v>
      </c>
      <c r="D10" s="20" t="s">
        <v>108</v>
      </c>
      <c r="E10" s="114" t="s">
        <v>377</v>
      </c>
      <c r="F10" s="17"/>
      <c r="G10" s="13"/>
    </row>
    <row r="11" spans="1:7" ht="16.8">
      <c r="A11" s="21" t="s">
        <v>99</v>
      </c>
      <c r="B11" s="22">
        <v>13</v>
      </c>
      <c r="C11" s="23" t="str">
        <f t="shared" si="0"/>
        <v>+1</v>
      </c>
      <c r="D11" s="24" t="s">
        <v>109</v>
      </c>
      <c r="E11" s="25">
        <f>SUM(Martial!G6:G18)+SUM(Equipment!C3:C20)</f>
        <v>98.45</v>
      </c>
      <c r="F11" s="17"/>
      <c r="G11" s="13"/>
    </row>
    <row r="12" spans="1:7" ht="16.8">
      <c r="A12" s="26" t="s">
        <v>95</v>
      </c>
      <c r="B12" s="22">
        <v>12</v>
      </c>
      <c r="C12" s="27" t="str">
        <f t="shared" si="0"/>
        <v>+1</v>
      </c>
      <c r="D12" s="24" t="s">
        <v>110</v>
      </c>
      <c r="E12" s="28">
        <f>ROUNDUP(((E3*10)*0.75)+((E4*8)*0.75)+(SUM(E3:E4)*C12),0)</f>
        <v>24</v>
      </c>
      <c r="F12" s="17"/>
      <c r="G12" s="13"/>
    </row>
    <row r="13" spans="1:7" ht="16.8">
      <c r="A13" s="29" t="s">
        <v>97</v>
      </c>
      <c r="B13" s="22">
        <v>10</v>
      </c>
      <c r="C13" s="23" t="str">
        <f t="shared" si="0"/>
        <v>+0</v>
      </c>
      <c r="D13" s="30" t="s">
        <v>111</v>
      </c>
      <c r="E13" s="195">
        <f>10+C11</f>
        <v>11</v>
      </c>
      <c r="F13" s="8"/>
      <c r="G13" s="13"/>
    </row>
    <row r="14" spans="1:7" ht="16.8">
      <c r="A14" s="31" t="s">
        <v>98</v>
      </c>
      <c r="B14" s="22">
        <v>14</v>
      </c>
      <c r="C14" s="23" t="str">
        <f t="shared" si="0"/>
        <v>+2</v>
      </c>
      <c r="D14" s="30" t="s">
        <v>112</v>
      </c>
      <c r="E14" s="149">
        <f>E15-C11</f>
        <v>19</v>
      </c>
      <c r="F14" s="17"/>
      <c r="G14" s="13"/>
    </row>
    <row r="15" spans="1:7" ht="17.399999999999999" thickBot="1">
      <c r="A15" s="32" t="s">
        <v>96</v>
      </c>
      <c r="B15" s="503">
        <v>12</v>
      </c>
      <c r="C15" s="33" t="str">
        <f t="shared" si="0"/>
        <v>+1</v>
      </c>
      <c r="D15" s="34" t="s">
        <v>118</v>
      </c>
      <c r="E15" s="135">
        <f>E13+SUM(Martial!B13:B15)</f>
        <v>20</v>
      </c>
      <c r="F15" s="17"/>
      <c r="G15" s="13"/>
    </row>
    <row r="16" spans="1:7" ht="24" thickTop="1" thickBot="1">
      <c r="A16" s="35" t="s">
        <v>17</v>
      </c>
      <c r="B16" s="36"/>
      <c r="C16" s="36"/>
      <c r="D16" s="37"/>
      <c r="E16" s="37"/>
      <c r="F16" s="37"/>
      <c r="G16" s="38"/>
    </row>
    <row r="17" spans="1:7" s="2" customFormat="1" ht="17.399999999999999" thickTop="1">
      <c r="A17" s="39"/>
      <c r="B17" s="40"/>
      <c r="C17" s="40"/>
      <c r="D17" s="40"/>
      <c r="E17" s="40"/>
      <c r="F17" s="40"/>
      <c r="G17" s="41"/>
    </row>
    <row r="18" spans="1:7" s="2" customFormat="1" ht="16.8">
      <c r="A18" s="42"/>
      <c r="B18" s="43"/>
      <c r="C18" s="43"/>
      <c r="D18" s="43"/>
      <c r="E18" s="43"/>
      <c r="F18" s="43"/>
      <c r="G18" s="44"/>
    </row>
    <row r="19" spans="1:7" s="2" customFormat="1" ht="16.8">
      <c r="A19" s="42"/>
      <c r="B19" s="43"/>
      <c r="C19" s="43"/>
      <c r="D19" s="43"/>
      <c r="E19" s="43"/>
      <c r="F19" s="43"/>
      <c r="G19" s="44"/>
    </row>
    <row r="20" spans="1:7" s="2" customFormat="1" ht="16.8">
      <c r="A20" s="42"/>
      <c r="B20" s="43"/>
      <c r="C20" s="43"/>
      <c r="D20" s="43"/>
      <c r="E20" s="43"/>
      <c r="F20" s="43"/>
      <c r="G20" s="44"/>
    </row>
    <row r="21" spans="1:7" s="2" customFormat="1" ht="16.8">
      <c r="A21" s="42"/>
      <c r="B21" s="43"/>
      <c r="C21" s="43"/>
      <c r="D21" s="43"/>
      <c r="E21" s="43"/>
      <c r="F21" s="43"/>
      <c r="G21" s="44"/>
    </row>
    <row r="22" spans="1:7" s="2" customFormat="1" ht="16.8">
      <c r="A22" s="42"/>
      <c r="B22" s="43"/>
      <c r="C22" s="43"/>
      <c r="D22" s="43"/>
      <c r="E22" s="43"/>
      <c r="F22" s="43"/>
      <c r="G22" s="44"/>
    </row>
    <row r="23" spans="1:7" s="2" customFormat="1" ht="16.8">
      <c r="A23" s="42"/>
      <c r="B23" s="43"/>
      <c r="C23" s="43"/>
      <c r="D23" s="43"/>
      <c r="E23" s="43"/>
      <c r="F23" s="43"/>
      <c r="G23" s="44"/>
    </row>
    <row r="24" spans="1:7" s="2" customFormat="1" ht="16.8">
      <c r="A24" s="42"/>
      <c r="B24" s="43"/>
      <c r="C24" s="43"/>
      <c r="D24" s="43"/>
      <c r="E24" s="43"/>
      <c r="F24" s="43"/>
      <c r="G24" s="44"/>
    </row>
    <row r="25" spans="1:7" s="2" customFormat="1" ht="16.8">
      <c r="A25" s="42"/>
      <c r="B25" s="43"/>
      <c r="C25" s="43"/>
      <c r="D25" s="43"/>
      <c r="E25" s="43"/>
      <c r="F25" s="43"/>
      <c r="G25" s="44"/>
    </row>
    <row r="26" spans="1:7" s="2" customFormat="1" ht="16.8">
      <c r="A26" s="42"/>
      <c r="B26" s="43"/>
      <c r="C26" s="43"/>
      <c r="D26" s="43"/>
      <c r="E26" s="43"/>
      <c r="F26" s="43"/>
      <c r="G26" s="44"/>
    </row>
    <row r="27" spans="1:7" s="2" customFormat="1" ht="16.8">
      <c r="A27" s="42"/>
      <c r="B27" s="43"/>
      <c r="C27" s="43"/>
      <c r="D27" s="43"/>
      <c r="E27" s="43"/>
      <c r="F27" s="43"/>
      <c r="G27" s="44"/>
    </row>
    <row r="28" spans="1:7" s="2" customFormat="1" ht="16.8">
      <c r="A28" s="42"/>
      <c r="B28" s="43"/>
      <c r="C28" s="43"/>
      <c r="D28" s="43"/>
      <c r="E28" s="43"/>
      <c r="F28" s="43"/>
      <c r="G28" s="44"/>
    </row>
    <row r="29" spans="1:7" ht="17.399999999999999" thickBot="1">
      <c r="A29" s="45"/>
      <c r="B29" s="46"/>
      <c r="C29" s="46"/>
      <c r="D29" s="46"/>
      <c r="E29" s="46"/>
      <c r="F29" s="46"/>
      <c r="G29" s="47"/>
    </row>
    <row r="30" spans="1:7" ht="16.2" thickTop="1"/>
  </sheetData>
  <phoneticPr fontId="0" type="noConversion"/>
  <conditionalFormatting sqref="E11">
    <cfRule type="cellIs" dxfId="1" priority="1" operator="between">
      <formula>58</formula>
      <formula>116</formula>
    </cfRule>
    <cfRule type="cellIs" dxfId="0" priority="2" operator="greaterThan">
      <formula>116</formula>
    </cfRule>
  </conditionalFormatting>
  <hyperlinks>
    <hyperlink ref="G1" r:id="rId1" xr:uid="{BA06D204-89DD-4C7E-ACAF-8367D7A1F8B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workbookViewId="0">
      <pane ySplit="2" topLeftCell="A3" activePane="bottomLeft" state="frozen"/>
      <selection pane="bottomLeft" activeCell="A3" sqref="A3"/>
    </sheetView>
  </sheetViews>
  <sheetFormatPr defaultColWidth="13" defaultRowHeight="15.6"/>
  <cols>
    <col min="1" max="1" width="26.8984375" style="48" bestFit="1" customWidth="1"/>
    <col min="2" max="2" width="5.8984375" style="48" bestFit="1" customWidth="1"/>
    <col min="3" max="3" width="11.59765625" style="49" hidden="1" customWidth="1"/>
    <col min="4" max="4" width="5.796875" style="49" hidden="1" customWidth="1"/>
    <col min="5" max="5" width="9.19921875" style="49" bestFit="1" customWidth="1"/>
    <col min="6" max="6" width="8.3984375" style="49" customWidth="1"/>
    <col min="7" max="7" width="5.8984375" style="57" bestFit="1" customWidth="1"/>
    <col min="8" max="8" width="4.69921875" style="57" bestFit="1" customWidth="1"/>
    <col min="9" max="9" width="6.8984375" style="57" bestFit="1" customWidth="1"/>
    <col min="10" max="10" width="18.09765625" style="48" bestFit="1" customWidth="1"/>
    <col min="11" max="16384" width="13" style="7"/>
  </cols>
  <sheetData>
    <row r="1" spans="1:10" ht="23.4" thickBot="1">
      <c r="A1" s="212" t="s">
        <v>7</v>
      </c>
      <c r="B1" s="50"/>
      <c r="C1" s="50"/>
      <c r="D1" s="50"/>
      <c r="E1" s="50"/>
      <c r="F1" s="50"/>
      <c r="G1" s="51"/>
      <c r="H1" s="51"/>
      <c r="I1" s="51"/>
      <c r="J1" s="50"/>
    </row>
    <row r="2" spans="1:10" s="2" customFormat="1" ht="34.200000000000003" thickBot="1">
      <c r="A2" s="213" t="s">
        <v>74</v>
      </c>
      <c r="B2" s="214" t="s">
        <v>22</v>
      </c>
      <c r="C2" s="214" t="s">
        <v>24</v>
      </c>
      <c r="D2" s="214" t="s">
        <v>21</v>
      </c>
      <c r="E2" s="1" t="s">
        <v>49</v>
      </c>
      <c r="F2" s="1" t="s">
        <v>25</v>
      </c>
      <c r="G2" s="215" t="s">
        <v>51</v>
      </c>
      <c r="H2" s="216" t="s">
        <v>73</v>
      </c>
      <c r="I2" s="215" t="s">
        <v>64</v>
      </c>
      <c r="J2" s="217" t="s">
        <v>62</v>
      </c>
    </row>
    <row r="3" spans="1:10" s="2" customFormat="1" ht="16.8">
      <c r="A3" s="218" t="s">
        <v>53</v>
      </c>
      <c r="B3" s="219">
        <f>3+2</f>
        <v>5</v>
      </c>
      <c r="C3" s="220" t="s">
        <v>95</v>
      </c>
      <c r="D3" s="221" t="str">
        <f>VLOOKUP(C3,'Personal File'!$A$10:$C$15,3,FALSE)</f>
        <v>+1</v>
      </c>
      <c r="E3" s="222" t="str">
        <f t="shared" ref="E3:E41" si="0">CONCATENATE(LEFT(C3,3)," (",D3,")")</f>
        <v>Con (+1)</v>
      </c>
      <c r="F3" s="500">
        <f>'Personal File'!$C$15+2</f>
        <v>3</v>
      </c>
      <c r="G3" s="223">
        <f t="shared" ref="G3:G41" si="1">B3+D3+F3</f>
        <v>9</v>
      </c>
      <c r="H3" s="224">
        <f t="shared" ref="H3:H5" ca="1" si="2">RANDBETWEEN(1,20)</f>
        <v>7</v>
      </c>
      <c r="I3" s="223">
        <f ca="1">SUM(G3:H3)</f>
        <v>16</v>
      </c>
      <c r="J3" s="225" t="s">
        <v>370</v>
      </c>
    </row>
    <row r="4" spans="1:10" s="2" customFormat="1" ht="16.8">
      <c r="A4" s="226" t="s">
        <v>54</v>
      </c>
      <c r="B4" s="219">
        <f>0+0</f>
        <v>0</v>
      </c>
      <c r="C4" s="227" t="s">
        <v>99</v>
      </c>
      <c r="D4" s="221" t="str">
        <f>VLOOKUP(C4,'Personal File'!$A$10:$C$15,3,FALSE)</f>
        <v>+1</v>
      </c>
      <c r="E4" s="228" t="str">
        <f t="shared" si="0"/>
        <v>Dex (+1)</v>
      </c>
      <c r="F4" s="500">
        <f>'Personal File'!$C$15+1</f>
        <v>2</v>
      </c>
      <c r="G4" s="223">
        <f t="shared" si="1"/>
        <v>3</v>
      </c>
      <c r="H4" s="224">
        <f t="shared" ca="1" si="2"/>
        <v>12</v>
      </c>
      <c r="I4" s="223">
        <f ca="1">SUM(G4:H4)</f>
        <v>15</v>
      </c>
      <c r="J4" s="225"/>
    </row>
    <row r="5" spans="1:10" s="2" customFormat="1" ht="16.8">
      <c r="A5" s="229" t="s">
        <v>55</v>
      </c>
      <c r="B5" s="230">
        <f>0+2</f>
        <v>2</v>
      </c>
      <c r="C5" s="231" t="s">
        <v>98</v>
      </c>
      <c r="D5" s="231" t="str">
        <f>VLOOKUP(C5,'Personal File'!$A$10:$C$15,3,FALSE)</f>
        <v>+2</v>
      </c>
      <c r="E5" s="232" t="str">
        <f t="shared" si="0"/>
        <v>Wis (+2)</v>
      </c>
      <c r="F5" s="501">
        <f>'Personal File'!$C$15+1</f>
        <v>2</v>
      </c>
      <c r="G5" s="233">
        <f t="shared" si="1"/>
        <v>6</v>
      </c>
      <c r="H5" s="234">
        <f t="shared" ca="1" si="2"/>
        <v>9</v>
      </c>
      <c r="I5" s="233">
        <f ca="1">SUM(G5:H5)</f>
        <v>15</v>
      </c>
      <c r="J5" s="235"/>
    </row>
    <row r="6" spans="1:10" s="52" customFormat="1" ht="16.8">
      <c r="A6" s="236" t="s">
        <v>26</v>
      </c>
      <c r="B6" s="237">
        <v>0</v>
      </c>
      <c r="C6" s="238" t="s">
        <v>97</v>
      </c>
      <c r="D6" s="239" t="str">
        <f>VLOOKUP(C6,'Personal File'!$A$10:$C$15,3,FALSE)</f>
        <v>+0</v>
      </c>
      <c r="E6" s="240" t="str">
        <f t="shared" si="0"/>
        <v>Int (+0)</v>
      </c>
      <c r="F6" s="241" t="s">
        <v>50</v>
      </c>
      <c r="G6" s="242">
        <f t="shared" si="1"/>
        <v>0</v>
      </c>
      <c r="H6" s="224">
        <f ca="1">RANDBETWEEN(1,20)</f>
        <v>6</v>
      </c>
      <c r="I6" s="242">
        <f t="shared" ref="I6:I41" ca="1" si="3">SUM(G6:H6)</f>
        <v>6</v>
      </c>
      <c r="J6" s="225"/>
    </row>
    <row r="7" spans="1:10" s="53" customFormat="1" ht="16.8">
      <c r="A7" s="226" t="s">
        <v>27</v>
      </c>
      <c r="B7" s="237">
        <v>0</v>
      </c>
      <c r="C7" s="243" t="s">
        <v>99</v>
      </c>
      <c r="D7" s="244" t="str">
        <f>VLOOKUP(C7,'Personal File'!$A$10:$C$15,3,FALSE)</f>
        <v>+1</v>
      </c>
      <c r="E7" s="245" t="str">
        <f t="shared" si="0"/>
        <v>Dex (+1)</v>
      </c>
      <c r="F7" s="241">
        <f>Martial!$D$13</f>
        <v>-5</v>
      </c>
      <c r="G7" s="242">
        <f t="shared" si="1"/>
        <v>-4</v>
      </c>
      <c r="H7" s="224">
        <f t="shared" ref="H7:H41" ca="1" si="4">RANDBETWEEN(1,20)</f>
        <v>8</v>
      </c>
      <c r="I7" s="242">
        <f t="shared" ca="1" si="3"/>
        <v>4</v>
      </c>
      <c r="J7" s="225"/>
    </row>
    <row r="8" spans="1:10" s="54" customFormat="1" ht="16.8">
      <c r="A8" s="271" t="s">
        <v>28</v>
      </c>
      <c r="B8" s="237">
        <v>0</v>
      </c>
      <c r="C8" s="272" t="s">
        <v>96</v>
      </c>
      <c r="D8" s="273" t="str">
        <f>VLOOKUP(C8,'Personal File'!$A$10:$C$15,3,FALSE)</f>
        <v>+1</v>
      </c>
      <c r="E8" s="274" t="str">
        <f t="shared" si="0"/>
        <v>Cha (+1)</v>
      </c>
      <c r="F8" s="242" t="s">
        <v>50</v>
      </c>
      <c r="G8" s="242">
        <f t="shared" si="1"/>
        <v>1</v>
      </c>
      <c r="H8" s="224">
        <f t="shared" ca="1" si="4"/>
        <v>16</v>
      </c>
      <c r="I8" s="242">
        <f t="shared" ca="1" si="3"/>
        <v>17</v>
      </c>
      <c r="J8" s="225"/>
    </row>
    <row r="9" spans="1:10" s="55" customFormat="1" ht="16.8">
      <c r="A9" s="253" t="s">
        <v>29</v>
      </c>
      <c r="B9" s="237">
        <v>0</v>
      </c>
      <c r="C9" s="254" t="s">
        <v>100</v>
      </c>
      <c r="D9" s="255" t="str">
        <f>VLOOKUP(C9,'Personal File'!$A$10:$C$15,3,FALSE)</f>
        <v>+2</v>
      </c>
      <c r="E9" s="256" t="str">
        <f t="shared" si="0"/>
        <v>Str (+2)</v>
      </c>
      <c r="F9" s="242">
        <f>Martial!$D$13</f>
        <v>-5</v>
      </c>
      <c r="G9" s="242">
        <f t="shared" si="1"/>
        <v>-3</v>
      </c>
      <c r="H9" s="224">
        <f t="shared" ca="1" si="4"/>
        <v>20</v>
      </c>
      <c r="I9" s="242">
        <f t="shared" ca="1" si="3"/>
        <v>17</v>
      </c>
      <c r="J9" s="225"/>
    </row>
    <row r="10" spans="1:10" s="55" customFormat="1" ht="16.8">
      <c r="A10" s="257" t="s">
        <v>8</v>
      </c>
      <c r="B10" s="258">
        <v>5</v>
      </c>
      <c r="C10" s="259" t="s">
        <v>95</v>
      </c>
      <c r="D10" s="260" t="str">
        <f>VLOOKUP(C10,'Personal File'!$A$10:$C$15,3,FALSE)</f>
        <v>+1</v>
      </c>
      <c r="E10" s="261" t="str">
        <f t="shared" si="0"/>
        <v>Con (+1)</v>
      </c>
      <c r="F10" s="262" t="s">
        <v>50</v>
      </c>
      <c r="G10" s="262">
        <f t="shared" si="1"/>
        <v>6</v>
      </c>
      <c r="H10" s="224">
        <f t="shared" ca="1" si="4"/>
        <v>4</v>
      </c>
      <c r="I10" s="262">
        <f t="shared" ca="1" si="3"/>
        <v>10</v>
      </c>
      <c r="J10" s="263" t="s">
        <v>363</v>
      </c>
    </row>
    <row r="11" spans="1:10" s="52" customFormat="1" ht="16.8">
      <c r="A11" s="298" t="s">
        <v>212</v>
      </c>
      <c r="B11" s="299">
        <v>0</v>
      </c>
      <c r="C11" s="300" t="s">
        <v>97</v>
      </c>
      <c r="D11" s="301" t="str">
        <f>VLOOKUP(C11,'Personal File'!$A$10:$C$15,3,FALSE)</f>
        <v>+0</v>
      </c>
      <c r="E11" s="302" t="str">
        <f t="shared" si="0"/>
        <v>Int (+0)</v>
      </c>
      <c r="F11" s="303" t="s">
        <v>50</v>
      </c>
      <c r="G11" s="303">
        <f t="shared" si="1"/>
        <v>0</v>
      </c>
      <c r="H11" s="224">
        <f t="shared" ca="1" si="4"/>
        <v>16</v>
      </c>
      <c r="I11" s="303">
        <f t="shared" ca="1" si="3"/>
        <v>16</v>
      </c>
      <c r="J11" s="304"/>
    </row>
    <row r="12" spans="1:10" s="56" customFormat="1" ht="16.8">
      <c r="A12" s="264" t="s">
        <v>30</v>
      </c>
      <c r="B12" s="265">
        <v>0</v>
      </c>
      <c r="C12" s="266" t="s">
        <v>97</v>
      </c>
      <c r="D12" s="267" t="str">
        <f>VLOOKUP(C12,'Personal File'!$A$10:$C$15,3,FALSE)</f>
        <v>+0</v>
      </c>
      <c r="E12" s="268" t="str">
        <f t="shared" si="0"/>
        <v>Int (+0)</v>
      </c>
      <c r="F12" s="269" t="s">
        <v>50</v>
      </c>
      <c r="G12" s="269">
        <f t="shared" si="1"/>
        <v>0</v>
      </c>
      <c r="H12" s="224">
        <f t="shared" ca="1" si="4"/>
        <v>12</v>
      </c>
      <c r="I12" s="269">
        <f t="shared" ref="I12" ca="1" si="5">SUM(G12:H12)</f>
        <v>12</v>
      </c>
      <c r="J12" s="270"/>
    </row>
    <row r="13" spans="1:10" s="53" customFormat="1" ht="16.8">
      <c r="A13" s="246" t="s">
        <v>31</v>
      </c>
      <c r="B13" s="247">
        <v>6</v>
      </c>
      <c r="C13" s="248" t="s">
        <v>96</v>
      </c>
      <c r="D13" s="249" t="str">
        <f>VLOOKUP(C13,'Personal File'!$A$10:$C$15,3,FALSE)</f>
        <v>+1</v>
      </c>
      <c r="E13" s="250" t="str">
        <f t="shared" si="0"/>
        <v>Cha (+1)</v>
      </c>
      <c r="F13" s="251" t="s">
        <v>50</v>
      </c>
      <c r="G13" s="251">
        <f t="shared" si="1"/>
        <v>7</v>
      </c>
      <c r="H13" s="224">
        <f t="shared" ca="1" si="4"/>
        <v>5</v>
      </c>
      <c r="I13" s="251">
        <f t="shared" ca="1" si="3"/>
        <v>12</v>
      </c>
      <c r="J13" s="252"/>
    </row>
    <row r="14" spans="1:10" s="53" customFormat="1" ht="16.8">
      <c r="A14" s="264" t="s">
        <v>32</v>
      </c>
      <c r="B14" s="265">
        <v>0</v>
      </c>
      <c r="C14" s="266" t="s">
        <v>97</v>
      </c>
      <c r="D14" s="267" t="str">
        <f>VLOOKUP(C14,'Personal File'!$A$10:$C$15,3,FALSE)</f>
        <v>+0</v>
      </c>
      <c r="E14" s="268" t="str">
        <f t="shared" si="0"/>
        <v>Int (+0)</v>
      </c>
      <c r="F14" s="269" t="s">
        <v>50</v>
      </c>
      <c r="G14" s="269">
        <f t="shared" si="1"/>
        <v>0</v>
      </c>
      <c r="H14" s="224">
        <f t="shared" ca="1" si="4"/>
        <v>13</v>
      </c>
      <c r="I14" s="269">
        <f t="shared" ref="I14" ca="1" si="6">SUM(G14:H14)</f>
        <v>13</v>
      </c>
      <c r="J14" s="270"/>
    </row>
    <row r="15" spans="1:10" s="53" customFormat="1" ht="16.8">
      <c r="A15" s="271" t="s">
        <v>33</v>
      </c>
      <c r="B15" s="237">
        <v>0</v>
      </c>
      <c r="C15" s="272" t="s">
        <v>96</v>
      </c>
      <c r="D15" s="273" t="str">
        <f>VLOOKUP(C15,'Personal File'!$A$10:$C$15,3,FALSE)</f>
        <v>+1</v>
      </c>
      <c r="E15" s="274" t="str">
        <f t="shared" si="0"/>
        <v>Cha (+1)</v>
      </c>
      <c r="F15" s="242" t="s">
        <v>50</v>
      </c>
      <c r="G15" s="242">
        <f t="shared" si="1"/>
        <v>1</v>
      </c>
      <c r="H15" s="224">
        <f t="shared" ca="1" si="4"/>
        <v>19</v>
      </c>
      <c r="I15" s="242">
        <f t="shared" ca="1" si="3"/>
        <v>20</v>
      </c>
      <c r="J15" s="225"/>
    </row>
    <row r="16" spans="1:10" s="53" customFormat="1" ht="16.8">
      <c r="A16" s="226" t="s">
        <v>34</v>
      </c>
      <c r="B16" s="237">
        <v>0</v>
      </c>
      <c r="C16" s="243" t="s">
        <v>99</v>
      </c>
      <c r="D16" s="244" t="str">
        <f>VLOOKUP(C16,'Personal File'!$A$10:$C$15,3,FALSE)</f>
        <v>+1</v>
      </c>
      <c r="E16" s="245" t="str">
        <f t="shared" si="0"/>
        <v>Dex (+1)</v>
      </c>
      <c r="F16" s="242">
        <f>Martial!$D$13</f>
        <v>-5</v>
      </c>
      <c r="G16" s="242">
        <f t="shared" si="1"/>
        <v>-4</v>
      </c>
      <c r="H16" s="224">
        <f t="shared" ca="1" si="4"/>
        <v>15</v>
      </c>
      <c r="I16" s="242">
        <f t="shared" ca="1" si="3"/>
        <v>11</v>
      </c>
      <c r="J16" s="225"/>
    </row>
    <row r="17" spans="1:10" s="53" customFormat="1" ht="16.8">
      <c r="A17" s="275" t="s">
        <v>35</v>
      </c>
      <c r="B17" s="276">
        <v>0</v>
      </c>
      <c r="C17" s="277" t="s">
        <v>97</v>
      </c>
      <c r="D17" s="278" t="str">
        <f>VLOOKUP(C17,'Personal File'!$A$10:$C$15,3,FALSE)</f>
        <v>+0</v>
      </c>
      <c r="E17" s="279" t="str">
        <f t="shared" si="0"/>
        <v>Int (+0)</v>
      </c>
      <c r="F17" s="280" t="s">
        <v>50</v>
      </c>
      <c r="G17" s="280">
        <f t="shared" si="1"/>
        <v>0</v>
      </c>
      <c r="H17" s="224">
        <f t="shared" ca="1" si="4"/>
        <v>8</v>
      </c>
      <c r="I17" s="280">
        <f t="shared" ca="1" si="3"/>
        <v>8</v>
      </c>
      <c r="J17" s="281"/>
    </row>
    <row r="18" spans="1:10" s="53" customFormat="1" ht="16.8">
      <c r="A18" s="271" t="s">
        <v>36</v>
      </c>
      <c r="B18" s="237">
        <v>0</v>
      </c>
      <c r="C18" s="272" t="s">
        <v>96</v>
      </c>
      <c r="D18" s="273" t="str">
        <f>VLOOKUP(C18,'Personal File'!$A$10:$C$15,3,FALSE)</f>
        <v>+1</v>
      </c>
      <c r="E18" s="274" t="str">
        <f t="shared" si="0"/>
        <v>Cha (+1)</v>
      </c>
      <c r="F18" s="242" t="s">
        <v>50</v>
      </c>
      <c r="G18" s="242">
        <f t="shared" si="1"/>
        <v>1</v>
      </c>
      <c r="H18" s="224">
        <f t="shared" ca="1" si="4"/>
        <v>15</v>
      </c>
      <c r="I18" s="242">
        <f t="shared" ca="1" si="3"/>
        <v>16</v>
      </c>
      <c r="J18" s="225"/>
    </row>
    <row r="19" spans="1:10" s="53" customFormat="1" ht="16.8">
      <c r="A19" s="271" t="s">
        <v>10</v>
      </c>
      <c r="B19" s="237">
        <v>0</v>
      </c>
      <c r="C19" s="272" t="s">
        <v>96</v>
      </c>
      <c r="D19" s="273" t="str">
        <f>VLOOKUP(C19,'Personal File'!$A$10:$C$15,3,FALSE)</f>
        <v>+1</v>
      </c>
      <c r="E19" s="274" t="str">
        <f t="shared" si="0"/>
        <v>Cha (+1)</v>
      </c>
      <c r="F19" s="242" t="s">
        <v>50</v>
      </c>
      <c r="G19" s="242">
        <f t="shared" si="1"/>
        <v>1</v>
      </c>
      <c r="H19" s="224">
        <f t="shared" ca="1" si="4"/>
        <v>1</v>
      </c>
      <c r="I19" s="242">
        <f t="shared" ca="1" si="3"/>
        <v>2</v>
      </c>
      <c r="J19" s="225"/>
    </row>
    <row r="20" spans="1:10" s="53" customFormat="1" ht="16.8">
      <c r="A20" s="286" t="s">
        <v>37</v>
      </c>
      <c r="B20" s="237">
        <v>0</v>
      </c>
      <c r="C20" s="287" t="s">
        <v>98</v>
      </c>
      <c r="D20" s="288" t="str">
        <f>VLOOKUP(C20,'Personal File'!$A$10:$C$15,3,FALSE)</f>
        <v>+2</v>
      </c>
      <c r="E20" s="289" t="str">
        <f t="shared" si="0"/>
        <v>Wis (+2)</v>
      </c>
      <c r="F20" s="242" t="s">
        <v>50</v>
      </c>
      <c r="G20" s="242">
        <f t="shared" si="1"/>
        <v>2</v>
      </c>
      <c r="H20" s="224">
        <f t="shared" ca="1" si="4"/>
        <v>16</v>
      </c>
      <c r="I20" s="242">
        <f t="shared" ca="1" si="3"/>
        <v>18</v>
      </c>
      <c r="J20" s="225"/>
    </row>
    <row r="21" spans="1:10" s="53" customFormat="1" ht="16.8">
      <c r="A21" s="226" t="s">
        <v>38</v>
      </c>
      <c r="B21" s="237">
        <v>0</v>
      </c>
      <c r="C21" s="243" t="s">
        <v>99</v>
      </c>
      <c r="D21" s="244" t="str">
        <f>VLOOKUP(C21,'Personal File'!$A$10:$C$15,3,FALSE)</f>
        <v>+1</v>
      </c>
      <c r="E21" s="245" t="str">
        <f t="shared" si="0"/>
        <v>Dex (+1)</v>
      </c>
      <c r="F21" s="242">
        <f>Martial!$D$13</f>
        <v>-5</v>
      </c>
      <c r="G21" s="242">
        <f t="shared" si="1"/>
        <v>-4</v>
      </c>
      <c r="H21" s="224">
        <f t="shared" ca="1" si="4"/>
        <v>9</v>
      </c>
      <c r="I21" s="242">
        <f t="shared" ca="1" si="3"/>
        <v>5</v>
      </c>
      <c r="J21" s="225"/>
    </row>
    <row r="22" spans="1:10" s="53" customFormat="1" ht="16.8">
      <c r="A22" s="271" t="s">
        <v>39</v>
      </c>
      <c r="B22" s="237">
        <v>0</v>
      </c>
      <c r="C22" s="272" t="s">
        <v>96</v>
      </c>
      <c r="D22" s="273" t="str">
        <f>VLOOKUP(C22,'Personal File'!$A$10:$C$15,3,FALSE)</f>
        <v>+1</v>
      </c>
      <c r="E22" s="274" t="str">
        <f t="shared" si="0"/>
        <v>Cha (+1)</v>
      </c>
      <c r="F22" s="242" t="s">
        <v>50</v>
      </c>
      <c r="G22" s="242">
        <f t="shared" si="1"/>
        <v>1</v>
      </c>
      <c r="H22" s="224">
        <f t="shared" ca="1" si="4"/>
        <v>18</v>
      </c>
      <c r="I22" s="242">
        <f t="shared" ca="1" si="3"/>
        <v>19</v>
      </c>
      <c r="J22" s="225"/>
    </row>
    <row r="23" spans="1:10" s="53" customFormat="1" ht="16.8">
      <c r="A23" s="253" t="s">
        <v>40</v>
      </c>
      <c r="B23" s="237">
        <v>0</v>
      </c>
      <c r="C23" s="254" t="s">
        <v>100</v>
      </c>
      <c r="D23" s="255" t="str">
        <f>VLOOKUP(C23,'Personal File'!$A$10:$C$15,3,FALSE)</f>
        <v>+2</v>
      </c>
      <c r="E23" s="256" t="str">
        <f t="shared" si="0"/>
        <v>Str (+2)</v>
      </c>
      <c r="F23" s="242">
        <f>Martial!$D$13</f>
        <v>-5</v>
      </c>
      <c r="G23" s="242">
        <f t="shared" si="1"/>
        <v>-3</v>
      </c>
      <c r="H23" s="224">
        <f t="shared" ca="1" si="4"/>
        <v>3</v>
      </c>
      <c r="I23" s="242">
        <f t="shared" ca="1" si="3"/>
        <v>0</v>
      </c>
      <c r="J23" s="225"/>
    </row>
    <row r="24" spans="1:10" s="53" customFormat="1" ht="16.8">
      <c r="A24" s="282" t="s">
        <v>76</v>
      </c>
      <c r="B24" s="258">
        <v>4</v>
      </c>
      <c r="C24" s="283" t="s">
        <v>97</v>
      </c>
      <c r="D24" s="284" t="str">
        <f>VLOOKUP(C24,'Personal File'!$A$10:$C$15,3,FALSE)</f>
        <v>+0</v>
      </c>
      <c r="E24" s="285" t="str">
        <f t="shared" si="0"/>
        <v>Int (+0)</v>
      </c>
      <c r="F24" s="251" t="s">
        <v>50</v>
      </c>
      <c r="G24" s="262">
        <f t="shared" ref="G24" si="7">B24+D24+F24</f>
        <v>4</v>
      </c>
      <c r="H24" s="224">
        <f t="shared" ca="1" si="4"/>
        <v>11</v>
      </c>
      <c r="I24" s="262">
        <f t="shared" ref="I24" ca="1" si="8">SUM(G24:H24)</f>
        <v>15</v>
      </c>
      <c r="J24" s="263"/>
    </row>
    <row r="25" spans="1:10" s="53" customFormat="1" ht="16.8">
      <c r="A25" s="286" t="s">
        <v>41</v>
      </c>
      <c r="B25" s="237">
        <v>0</v>
      </c>
      <c r="C25" s="287" t="s">
        <v>98</v>
      </c>
      <c r="D25" s="288" t="str">
        <f>VLOOKUP(C25,'Personal File'!$A$10:$C$15,3,FALSE)</f>
        <v>+2</v>
      </c>
      <c r="E25" s="289" t="str">
        <f t="shared" si="0"/>
        <v>Wis (+2)</v>
      </c>
      <c r="F25" s="242" t="s">
        <v>50</v>
      </c>
      <c r="G25" s="242">
        <f t="shared" si="1"/>
        <v>2</v>
      </c>
      <c r="H25" s="224">
        <f t="shared" ca="1" si="4"/>
        <v>13</v>
      </c>
      <c r="I25" s="242">
        <f t="shared" ca="1" si="3"/>
        <v>15</v>
      </c>
      <c r="J25" s="225"/>
    </row>
    <row r="26" spans="1:10" s="53" customFormat="1" ht="16.8">
      <c r="A26" s="226" t="s">
        <v>11</v>
      </c>
      <c r="B26" s="237">
        <v>0</v>
      </c>
      <c r="C26" s="243" t="s">
        <v>99</v>
      </c>
      <c r="D26" s="244" t="str">
        <f>VLOOKUP(C26,'Personal File'!$A$10:$C$15,3,FALSE)</f>
        <v>+1</v>
      </c>
      <c r="E26" s="245" t="str">
        <f t="shared" si="0"/>
        <v>Dex (+1)</v>
      </c>
      <c r="F26" s="242">
        <f>Martial!$D$13</f>
        <v>-5</v>
      </c>
      <c r="G26" s="242">
        <f t="shared" si="1"/>
        <v>-4</v>
      </c>
      <c r="H26" s="224">
        <f t="shared" ca="1" si="4"/>
        <v>16</v>
      </c>
      <c r="I26" s="242">
        <f t="shared" ca="1" si="3"/>
        <v>12</v>
      </c>
      <c r="J26" s="225"/>
    </row>
    <row r="27" spans="1:10" s="53" customFormat="1" ht="16.8">
      <c r="A27" s="290" t="s">
        <v>42</v>
      </c>
      <c r="B27" s="265">
        <v>0</v>
      </c>
      <c r="C27" s="291" t="s">
        <v>99</v>
      </c>
      <c r="D27" s="292" t="str">
        <f>VLOOKUP(C27,'Personal File'!$A$10:$C$15,3,FALSE)</f>
        <v>+1</v>
      </c>
      <c r="E27" s="293" t="str">
        <f t="shared" si="0"/>
        <v>Dex (+1)</v>
      </c>
      <c r="F27" s="269" t="s">
        <v>50</v>
      </c>
      <c r="G27" s="269">
        <f t="shared" si="1"/>
        <v>1</v>
      </c>
      <c r="H27" s="224">
        <f t="shared" ca="1" si="4"/>
        <v>2</v>
      </c>
      <c r="I27" s="269">
        <f t="shared" ca="1" si="3"/>
        <v>3</v>
      </c>
      <c r="J27" s="270"/>
    </row>
    <row r="28" spans="1:10" ht="16.8">
      <c r="A28" s="271" t="s">
        <v>77</v>
      </c>
      <c r="B28" s="237">
        <v>0</v>
      </c>
      <c r="C28" s="272" t="s">
        <v>96</v>
      </c>
      <c r="D28" s="273" t="str">
        <f>VLOOKUP(C28,'Personal File'!$A$10:$C$15,3,FALSE)</f>
        <v>+1</v>
      </c>
      <c r="E28" s="274" t="str">
        <f t="shared" si="0"/>
        <v>Cha (+1)</v>
      </c>
      <c r="F28" s="242" t="s">
        <v>50</v>
      </c>
      <c r="G28" s="242">
        <f t="shared" si="1"/>
        <v>1</v>
      </c>
      <c r="H28" s="224">
        <f t="shared" ca="1" si="4"/>
        <v>11</v>
      </c>
      <c r="I28" s="242">
        <f t="shared" ca="1" si="3"/>
        <v>12</v>
      </c>
      <c r="J28" s="225"/>
    </row>
    <row r="29" spans="1:10" ht="16.8">
      <c r="A29" s="271" t="s">
        <v>116</v>
      </c>
      <c r="B29" s="237">
        <v>0</v>
      </c>
      <c r="C29" s="287" t="s">
        <v>98</v>
      </c>
      <c r="D29" s="288" t="str">
        <f>VLOOKUP(C29,'Personal File'!$A$10:$C$15,3,FALSE)</f>
        <v>+2</v>
      </c>
      <c r="E29" s="289" t="str">
        <f t="shared" si="0"/>
        <v>Wis (+2)</v>
      </c>
      <c r="F29" s="242" t="s">
        <v>50</v>
      </c>
      <c r="G29" s="242">
        <f t="shared" si="1"/>
        <v>2</v>
      </c>
      <c r="H29" s="224">
        <f t="shared" ca="1" si="4"/>
        <v>3</v>
      </c>
      <c r="I29" s="242">
        <f t="shared" ref="I29" ca="1" si="9">SUM(G29:H29)</f>
        <v>5</v>
      </c>
      <c r="J29" s="225"/>
    </row>
    <row r="30" spans="1:10" ht="16.8">
      <c r="A30" s="226" t="s">
        <v>12</v>
      </c>
      <c r="B30" s="237">
        <v>0</v>
      </c>
      <c r="C30" s="243" t="s">
        <v>99</v>
      </c>
      <c r="D30" s="244" t="str">
        <f>VLOOKUP(C30,'Personal File'!$A$10:$C$15,3,FALSE)</f>
        <v>+1</v>
      </c>
      <c r="E30" s="245" t="str">
        <f t="shared" si="0"/>
        <v>Dex (+1)</v>
      </c>
      <c r="F30" s="242" t="s">
        <v>50</v>
      </c>
      <c r="G30" s="242">
        <f t="shared" si="1"/>
        <v>1</v>
      </c>
      <c r="H30" s="224">
        <f t="shared" ca="1" si="4"/>
        <v>4</v>
      </c>
      <c r="I30" s="242">
        <f t="shared" ca="1" si="3"/>
        <v>5</v>
      </c>
      <c r="J30" s="225"/>
    </row>
    <row r="31" spans="1:10" ht="16.8">
      <c r="A31" s="236" t="s">
        <v>13</v>
      </c>
      <c r="B31" s="237">
        <v>0</v>
      </c>
      <c r="C31" s="238" t="s">
        <v>97</v>
      </c>
      <c r="D31" s="239" t="str">
        <f>VLOOKUP(C31,'Personal File'!$A$10:$C$15,3,FALSE)</f>
        <v>+0</v>
      </c>
      <c r="E31" s="240" t="str">
        <f t="shared" si="0"/>
        <v>Int (+0)</v>
      </c>
      <c r="F31" s="242" t="s">
        <v>50</v>
      </c>
      <c r="G31" s="242">
        <f t="shared" si="1"/>
        <v>0</v>
      </c>
      <c r="H31" s="224">
        <f t="shared" ca="1" si="4"/>
        <v>9</v>
      </c>
      <c r="I31" s="242">
        <f t="shared" ca="1" si="3"/>
        <v>9</v>
      </c>
      <c r="J31" s="225"/>
    </row>
    <row r="32" spans="1:10" ht="16.8">
      <c r="A32" s="297" t="s">
        <v>43</v>
      </c>
      <c r="B32" s="247">
        <v>3</v>
      </c>
      <c r="C32" s="294" t="s">
        <v>98</v>
      </c>
      <c r="D32" s="295" t="str">
        <f>VLOOKUP(C32,'Personal File'!$A$10:$C$15,3,FALSE)</f>
        <v>+2</v>
      </c>
      <c r="E32" s="296" t="str">
        <f t="shared" si="0"/>
        <v>Wis (+2)</v>
      </c>
      <c r="F32" s="251" t="s">
        <v>50</v>
      </c>
      <c r="G32" s="251">
        <f t="shared" si="1"/>
        <v>5</v>
      </c>
      <c r="H32" s="224">
        <f t="shared" ca="1" si="4"/>
        <v>3</v>
      </c>
      <c r="I32" s="251">
        <f t="shared" ca="1" si="3"/>
        <v>8</v>
      </c>
      <c r="J32" s="252"/>
    </row>
    <row r="33" spans="1:10" ht="16.8">
      <c r="A33" s="290" t="s">
        <v>68</v>
      </c>
      <c r="B33" s="265">
        <v>0</v>
      </c>
      <c r="C33" s="291" t="s">
        <v>99</v>
      </c>
      <c r="D33" s="292" t="str">
        <f>VLOOKUP(C33,'Personal File'!$A$10:$C$15,3,FALSE)</f>
        <v>+1</v>
      </c>
      <c r="E33" s="293" t="str">
        <f t="shared" si="0"/>
        <v>Dex (+1)</v>
      </c>
      <c r="F33" s="269">
        <f>Martial!$D$13</f>
        <v>-5</v>
      </c>
      <c r="G33" s="269">
        <f t="shared" si="1"/>
        <v>-4</v>
      </c>
      <c r="H33" s="224">
        <f t="shared" ca="1" si="4"/>
        <v>5</v>
      </c>
      <c r="I33" s="269">
        <f t="shared" ref="I33:I34" ca="1" si="10">SUM(G33:H33)</f>
        <v>1</v>
      </c>
      <c r="J33" s="270"/>
    </row>
    <row r="34" spans="1:10" ht="16.8">
      <c r="A34" s="298" t="s">
        <v>67</v>
      </c>
      <c r="B34" s="299">
        <v>0</v>
      </c>
      <c r="C34" s="300" t="s">
        <v>97</v>
      </c>
      <c r="D34" s="301" t="str">
        <f>VLOOKUP(C34,'Personal File'!$A$10:$C$15,3,FALSE)</f>
        <v>+0</v>
      </c>
      <c r="E34" s="302" t="str">
        <f t="shared" si="0"/>
        <v>Int (+0)</v>
      </c>
      <c r="F34" s="303" t="s">
        <v>50</v>
      </c>
      <c r="G34" s="269">
        <f t="shared" si="1"/>
        <v>0</v>
      </c>
      <c r="H34" s="224">
        <f t="shared" ca="1" si="4"/>
        <v>20</v>
      </c>
      <c r="I34" s="269">
        <f t="shared" ca="1" si="10"/>
        <v>20</v>
      </c>
      <c r="J34" s="304"/>
    </row>
    <row r="35" spans="1:10" ht="16.8">
      <c r="A35" s="236" t="s">
        <v>44</v>
      </c>
      <c r="B35" s="237">
        <v>0</v>
      </c>
      <c r="C35" s="238" t="s">
        <v>97</v>
      </c>
      <c r="D35" s="239" t="str">
        <f>VLOOKUP(C35,'Personal File'!$A$10:$C$15,3,FALSE)</f>
        <v>+0</v>
      </c>
      <c r="E35" s="240" t="str">
        <f t="shared" si="0"/>
        <v>Int (+0)</v>
      </c>
      <c r="F35" s="242" t="s">
        <v>50</v>
      </c>
      <c r="G35" s="242">
        <f t="shared" si="1"/>
        <v>0</v>
      </c>
      <c r="H35" s="224">
        <f t="shared" ca="1" si="4"/>
        <v>15</v>
      </c>
      <c r="I35" s="242">
        <f t="shared" ca="1" si="3"/>
        <v>15</v>
      </c>
      <c r="J35" s="225"/>
    </row>
    <row r="36" spans="1:10" ht="16.8">
      <c r="A36" s="286" t="s">
        <v>45</v>
      </c>
      <c r="B36" s="237">
        <v>0</v>
      </c>
      <c r="C36" s="287" t="s">
        <v>98</v>
      </c>
      <c r="D36" s="288" t="str">
        <f>VLOOKUP(C36,'Personal File'!$A$10:$C$15,3,FALSE)</f>
        <v>+2</v>
      </c>
      <c r="E36" s="289" t="str">
        <f t="shared" si="0"/>
        <v>Wis (+2)</v>
      </c>
      <c r="F36" s="242" t="s">
        <v>50</v>
      </c>
      <c r="G36" s="242">
        <f t="shared" si="1"/>
        <v>2</v>
      </c>
      <c r="H36" s="224">
        <f t="shared" ca="1" si="4"/>
        <v>14</v>
      </c>
      <c r="I36" s="242">
        <f t="shared" ca="1" si="3"/>
        <v>16</v>
      </c>
      <c r="J36" s="225"/>
    </row>
    <row r="37" spans="1:10" ht="16.8">
      <c r="A37" s="286" t="s">
        <v>69</v>
      </c>
      <c r="B37" s="237">
        <v>0</v>
      </c>
      <c r="C37" s="287" t="s">
        <v>98</v>
      </c>
      <c r="D37" s="288" t="str">
        <f>VLOOKUP(C37,'Personal File'!$A$10:$C$15,3,FALSE)</f>
        <v>+2</v>
      </c>
      <c r="E37" s="289" t="str">
        <f t="shared" si="0"/>
        <v>Wis (+2)</v>
      </c>
      <c r="F37" s="242" t="s">
        <v>50</v>
      </c>
      <c r="G37" s="242">
        <f t="shared" si="1"/>
        <v>2</v>
      </c>
      <c r="H37" s="224">
        <f t="shared" ca="1" si="4"/>
        <v>9</v>
      </c>
      <c r="I37" s="242">
        <f t="shared" ca="1" si="3"/>
        <v>11</v>
      </c>
      <c r="J37" s="225"/>
    </row>
    <row r="38" spans="1:10" ht="16.8">
      <c r="A38" s="253" t="s">
        <v>14</v>
      </c>
      <c r="B38" s="237">
        <v>0</v>
      </c>
      <c r="C38" s="254" t="s">
        <v>100</v>
      </c>
      <c r="D38" s="255" t="str">
        <f>VLOOKUP(C38,'Personal File'!$A$10:$C$15,3,FALSE)</f>
        <v>+2</v>
      </c>
      <c r="E38" s="256" t="str">
        <f t="shared" si="0"/>
        <v>Str (+2)</v>
      </c>
      <c r="F38" s="242" t="s">
        <v>50</v>
      </c>
      <c r="G38" s="242">
        <f t="shared" si="1"/>
        <v>2</v>
      </c>
      <c r="H38" s="224">
        <f t="shared" ca="1" si="4"/>
        <v>1</v>
      </c>
      <c r="I38" s="242">
        <f t="shared" ca="1" si="3"/>
        <v>3</v>
      </c>
      <c r="J38" s="225"/>
    </row>
    <row r="39" spans="1:10" ht="16.8">
      <c r="A39" s="305" t="s">
        <v>46</v>
      </c>
      <c r="B39" s="306">
        <v>0</v>
      </c>
      <c r="C39" s="307" t="s">
        <v>99</v>
      </c>
      <c r="D39" s="308" t="str">
        <f>VLOOKUP(C39,'Personal File'!$A$10:$C$15,3,FALSE)</f>
        <v>+1</v>
      </c>
      <c r="E39" s="309" t="str">
        <f t="shared" si="0"/>
        <v>Dex (+1)</v>
      </c>
      <c r="F39" s="269">
        <f>Martial!$D$13</f>
        <v>-5</v>
      </c>
      <c r="G39" s="269">
        <f t="shared" si="1"/>
        <v>-4</v>
      </c>
      <c r="H39" s="224">
        <f t="shared" ca="1" si="4"/>
        <v>3</v>
      </c>
      <c r="I39" s="269">
        <f t="shared" ref="I39:I40" ca="1" si="11">SUM(G39:H39)</f>
        <v>-1</v>
      </c>
      <c r="J39" s="310"/>
    </row>
    <row r="40" spans="1:10" ht="16.8">
      <c r="A40" s="311" t="s">
        <v>47</v>
      </c>
      <c r="B40" s="265">
        <v>0</v>
      </c>
      <c r="C40" s="312" t="s">
        <v>96</v>
      </c>
      <c r="D40" s="313" t="str">
        <f>VLOOKUP(C40,'Personal File'!$A$10:$C$15,3,FALSE)</f>
        <v>+1</v>
      </c>
      <c r="E40" s="314" t="str">
        <f t="shared" si="0"/>
        <v>Cha (+1)</v>
      </c>
      <c r="F40" s="269" t="s">
        <v>50</v>
      </c>
      <c r="G40" s="269">
        <f t="shared" si="1"/>
        <v>1</v>
      </c>
      <c r="H40" s="224">
        <f t="shared" ca="1" si="4"/>
        <v>14</v>
      </c>
      <c r="I40" s="269">
        <f t="shared" ca="1" si="11"/>
        <v>15</v>
      </c>
      <c r="J40" s="270"/>
    </row>
    <row r="41" spans="1:10" ht="17.399999999999999" thickBot="1">
      <c r="A41" s="315" t="s">
        <v>48</v>
      </c>
      <c r="B41" s="316">
        <v>0</v>
      </c>
      <c r="C41" s="317" t="s">
        <v>99</v>
      </c>
      <c r="D41" s="318" t="str">
        <f>VLOOKUP(C41,'Personal File'!$A$10:$C$15,3,FALSE)</f>
        <v>+1</v>
      </c>
      <c r="E41" s="319" t="str">
        <f t="shared" si="0"/>
        <v>Dex (+1)</v>
      </c>
      <c r="F41" s="320" t="s">
        <v>50</v>
      </c>
      <c r="G41" s="320">
        <f t="shared" si="1"/>
        <v>1</v>
      </c>
      <c r="H41" s="321">
        <f t="shared" ca="1" si="4"/>
        <v>11</v>
      </c>
      <c r="I41" s="320">
        <f t="shared" ca="1" si="3"/>
        <v>12</v>
      </c>
      <c r="J41" s="322"/>
    </row>
    <row r="42" spans="1:10" ht="16.2" thickTop="1">
      <c r="B42" s="202">
        <f>SUM(B6:B41)</f>
        <v>18</v>
      </c>
      <c r="E42" s="202">
        <f>SUM(E43:E46)</f>
        <v>18</v>
      </c>
      <c r="F42" s="323" t="s">
        <v>51</v>
      </c>
    </row>
    <row r="43" spans="1:10">
      <c r="B43" s="202"/>
      <c r="E43" s="200">
        <f>4*(2+'Personal File'!$C$13)</f>
        <v>8</v>
      </c>
      <c r="F43" s="201" t="s">
        <v>144</v>
      </c>
    </row>
    <row r="44" spans="1:10">
      <c r="B44" s="202"/>
      <c r="E44" s="200">
        <f>2+'Personal File'!$C$13</f>
        <v>2</v>
      </c>
      <c r="F44" s="201" t="s">
        <v>211</v>
      </c>
    </row>
    <row r="45" spans="1:10">
      <c r="B45" s="202"/>
      <c r="E45" s="200">
        <f>2+'Personal File'!$C$13</f>
        <v>2</v>
      </c>
      <c r="F45" s="201" t="s">
        <v>364</v>
      </c>
    </row>
    <row r="46" spans="1:10">
      <c r="E46" s="202">
        <f>3+SUM('Personal File'!$E$3:$E$4)</f>
        <v>6</v>
      </c>
      <c r="F46" s="201" t="s">
        <v>78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D1BA-76EF-4382-90D6-F28AD9D1BE45}">
  <dimension ref="A1:J78"/>
  <sheetViews>
    <sheetView showGridLines="0" zoomScaleNormal="100" workbookViewId="0">
      <pane ySplit="2" topLeftCell="A3" activePane="bottomLeft" state="frozen"/>
      <selection pane="bottomLeft" activeCell="A3" sqref="A3"/>
    </sheetView>
  </sheetViews>
  <sheetFormatPr defaultColWidth="13" defaultRowHeight="15.6"/>
  <cols>
    <col min="1" max="1" width="28.59765625" style="479" bestFit="1" customWidth="1"/>
    <col min="2" max="2" width="6.19921875" style="479" bestFit="1" customWidth="1"/>
    <col min="3" max="3" width="11.5" style="480" bestFit="1" customWidth="1"/>
    <col min="4" max="4" width="13.3984375" style="480" bestFit="1" customWidth="1"/>
    <col min="5" max="5" width="12.59765625" style="480" bestFit="1" customWidth="1"/>
    <col min="6" max="6" width="10.59765625" style="480" bestFit="1" customWidth="1"/>
    <col min="7" max="7" width="13" style="480" bestFit="1" customWidth="1"/>
    <col min="8" max="8" width="13.19921875" style="479" bestFit="1" customWidth="1"/>
    <col min="9" max="9" width="23.296875" style="351" bestFit="1" customWidth="1"/>
    <col min="10" max="10" width="5.5" style="351" bestFit="1" customWidth="1"/>
    <col min="11" max="16384" width="13" style="351"/>
  </cols>
  <sheetData>
    <row r="1" spans="1:10" ht="23.4" thickBot="1">
      <c r="A1" s="481" t="s">
        <v>349</v>
      </c>
      <c r="B1" s="441"/>
      <c r="C1" s="441"/>
      <c r="D1" s="441"/>
      <c r="E1" s="441"/>
      <c r="F1" s="441"/>
      <c r="G1" s="441"/>
      <c r="H1" s="441"/>
      <c r="I1" s="441"/>
    </row>
    <row r="2" spans="1:10" s="353" customFormat="1" ht="33.6">
      <c r="A2" s="485" t="s">
        <v>173</v>
      </c>
      <c r="B2" s="486" t="s">
        <v>0</v>
      </c>
      <c r="C2" s="487" t="s">
        <v>213</v>
      </c>
      <c r="D2" s="487" t="s">
        <v>214</v>
      </c>
      <c r="E2" s="487" t="s">
        <v>215</v>
      </c>
      <c r="F2" s="487" t="s">
        <v>216</v>
      </c>
      <c r="G2" s="487" t="s">
        <v>217</v>
      </c>
      <c r="H2" s="487" t="s">
        <v>218</v>
      </c>
      <c r="I2" s="487" t="s">
        <v>219</v>
      </c>
      <c r="J2" s="488" t="s">
        <v>220</v>
      </c>
    </row>
    <row r="3" spans="1:10" s="353" customFormat="1" ht="16.8">
      <c r="A3" s="482" t="s">
        <v>221</v>
      </c>
      <c r="B3" s="442">
        <v>0</v>
      </c>
      <c r="C3" s="443"/>
      <c r="D3" s="444" t="s">
        <v>222</v>
      </c>
      <c r="E3" s="445" t="s">
        <v>223</v>
      </c>
      <c r="F3" s="446" t="s">
        <v>224</v>
      </c>
      <c r="G3" s="446" t="s">
        <v>225</v>
      </c>
      <c r="H3" s="446" t="s">
        <v>226</v>
      </c>
      <c r="I3" s="447" t="s">
        <v>227</v>
      </c>
      <c r="J3" s="448">
        <v>9</v>
      </c>
    </row>
    <row r="4" spans="1:10" s="353" customFormat="1" ht="16.8">
      <c r="A4" s="482" t="s">
        <v>228</v>
      </c>
      <c r="B4" s="442">
        <v>0</v>
      </c>
      <c r="C4" s="443"/>
      <c r="D4" s="449" t="s">
        <v>229</v>
      </c>
      <c r="E4" s="450" t="s">
        <v>223</v>
      </c>
      <c r="F4" s="451" t="s">
        <v>224</v>
      </c>
      <c r="G4" s="452" t="s">
        <v>225</v>
      </c>
      <c r="H4" s="452" t="s">
        <v>230</v>
      </c>
      <c r="I4" s="452" t="s">
        <v>231</v>
      </c>
      <c r="J4" s="453">
        <v>215</v>
      </c>
    </row>
    <row r="5" spans="1:10" s="353" customFormat="1" ht="16.8">
      <c r="A5" s="482" t="s">
        <v>232</v>
      </c>
      <c r="B5" s="442">
        <v>0</v>
      </c>
      <c r="C5" s="443"/>
      <c r="D5" s="449" t="s">
        <v>229</v>
      </c>
      <c r="E5" s="450" t="s">
        <v>223</v>
      </c>
      <c r="F5" s="451" t="s">
        <v>224</v>
      </c>
      <c r="G5" s="452" t="s">
        <v>233</v>
      </c>
      <c r="H5" s="452" t="s">
        <v>230</v>
      </c>
      <c r="I5" s="452" t="s">
        <v>231</v>
      </c>
      <c r="J5" s="453">
        <v>216</v>
      </c>
    </row>
    <row r="6" spans="1:10" s="353" customFormat="1" ht="16.8">
      <c r="A6" s="482" t="s">
        <v>177</v>
      </c>
      <c r="B6" s="442">
        <v>0</v>
      </c>
      <c r="C6" s="443"/>
      <c r="D6" s="454" t="s">
        <v>234</v>
      </c>
      <c r="E6" s="450" t="s">
        <v>223</v>
      </c>
      <c r="F6" s="452" t="s">
        <v>224</v>
      </c>
      <c r="G6" s="452" t="s">
        <v>136</v>
      </c>
      <c r="H6" s="452" t="s">
        <v>235</v>
      </c>
      <c r="I6" s="452" t="s">
        <v>231</v>
      </c>
      <c r="J6" s="453">
        <v>219</v>
      </c>
    </row>
    <row r="7" spans="1:10" s="353" customFormat="1" ht="16.8">
      <c r="A7" s="482" t="s">
        <v>187</v>
      </c>
      <c r="B7" s="442">
        <v>0</v>
      </c>
      <c r="C7" s="443"/>
      <c r="D7" s="449" t="s">
        <v>236</v>
      </c>
      <c r="E7" s="450" t="s">
        <v>223</v>
      </c>
      <c r="F7" s="451" t="s">
        <v>224</v>
      </c>
      <c r="G7" s="452" t="s">
        <v>225</v>
      </c>
      <c r="H7" s="452" t="s">
        <v>230</v>
      </c>
      <c r="I7" s="452" t="s">
        <v>231</v>
      </c>
      <c r="J7" s="453">
        <v>219</v>
      </c>
    </row>
    <row r="8" spans="1:10" s="353" customFormat="1" ht="16.8">
      <c r="A8" s="482" t="s">
        <v>237</v>
      </c>
      <c r="B8" s="442">
        <v>0</v>
      </c>
      <c r="C8" s="443"/>
      <c r="D8" s="449" t="s">
        <v>236</v>
      </c>
      <c r="E8" s="450" t="s">
        <v>223</v>
      </c>
      <c r="F8" s="451" t="s">
        <v>224</v>
      </c>
      <c r="G8" s="452" t="s">
        <v>233</v>
      </c>
      <c r="H8" s="452" t="s">
        <v>238</v>
      </c>
      <c r="I8" s="452" t="s">
        <v>231</v>
      </c>
      <c r="J8" s="455">
        <v>238</v>
      </c>
    </row>
    <row r="9" spans="1:10" s="353" customFormat="1" ht="16.8">
      <c r="A9" s="482" t="s">
        <v>239</v>
      </c>
      <c r="B9" s="442">
        <v>0</v>
      </c>
      <c r="C9" s="443"/>
      <c r="D9" s="456" t="s">
        <v>240</v>
      </c>
      <c r="E9" s="450" t="s">
        <v>223</v>
      </c>
      <c r="F9" s="447" t="s">
        <v>224</v>
      </c>
      <c r="G9" s="452" t="s">
        <v>233</v>
      </c>
      <c r="H9" s="447" t="s">
        <v>241</v>
      </c>
      <c r="I9" s="452" t="s">
        <v>231</v>
      </c>
      <c r="J9" s="453">
        <v>244</v>
      </c>
    </row>
    <row r="10" spans="1:10" s="353" customFormat="1" ht="16.8">
      <c r="A10" s="482" t="s">
        <v>242</v>
      </c>
      <c r="B10" s="442">
        <v>0</v>
      </c>
      <c r="C10" s="443"/>
      <c r="D10" s="449" t="s">
        <v>243</v>
      </c>
      <c r="E10" s="450" t="s">
        <v>244</v>
      </c>
      <c r="F10" s="451" t="s">
        <v>224</v>
      </c>
      <c r="G10" s="452" t="s">
        <v>233</v>
      </c>
      <c r="H10" s="452" t="s">
        <v>226</v>
      </c>
      <c r="I10" s="452" t="s">
        <v>231</v>
      </c>
      <c r="J10" s="453">
        <v>248</v>
      </c>
    </row>
    <row r="11" spans="1:10" s="353" customFormat="1" ht="16.8">
      <c r="A11" s="482" t="s">
        <v>189</v>
      </c>
      <c r="B11" s="442">
        <v>0</v>
      </c>
      <c r="C11" s="443"/>
      <c r="D11" s="449" t="s">
        <v>222</v>
      </c>
      <c r="E11" s="450" t="s">
        <v>223</v>
      </c>
      <c r="F11" s="451" t="s">
        <v>224</v>
      </c>
      <c r="G11" s="452" t="s">
        <v>245</v>
      </c>
      <c r="H11" s="452" t="s">
        <v>230</v>
      </c>
      <c r="I11" s="452" t="s">
        <v>231</v>
      </c>
      <c r="J11" s="453">
        <v>253</v>
      </c>
    </row>
    <row r="12" spans="1:10" s="353" customFormat="1" ht="16.8">
      <c r="A12" s="482" t="s">
        <v>191</v>
      </c>
      <c r="B12" s="442">
        <v>0</v>
      </c>
      <c r="C12" s="443"/>
      <c r="D12" s="454" t="s">
        <v>222</v>
      </c>
      <c r="E12" s="450" t="s">
        <v>246</v>
      </c>
      <c r="F12" s="451" t="s">
        <v>224</v>
      </c>
      <c r="G12" s="452" t="s">
        <v>247</v>
      </c>
      <c r="H12" s="452" t="s">
        <v>226</v>
      </c>
      <c r="I12" s="452" t="s">
        <v>231</v>
      </c>
      <c r="J12" s="453">
        <v>253</v>
      </c>
    </row>
    <row r="13" spans="1:10" s="353" customFormat="1" ht="16.8">
      <c r="A13" s="482" t="s">
        <v>248</v>
      </c>
      <c r="B13" s="442">
        <v>0</v>
      </c>
      <c r="C13" s="443"/>
      <c r="D13" s="454" t="s">
        <v>240</v>
      </c>
      <c r="E13" s="450" t="s">
        <v>249</v>
      </c>
      <c r="F13" s="451" t="s">
        <v>250</v>
      </c>
      <c r="G13" s="452" t="s">
        <v>233</v>
      </c>
      <c r="H13" s="452" t="s">
        <v>251</v>
      </c>
      <c r="I13" s="452" t="s">
        <v>252</v>
      </c>
      <c r="J13" s="453">
        <v>101</v>
      </c>
    </row>
    <row r="14" spans="1:10" s="353" customFormat="1" ht="16.8">
      <c r="A14" s="482" t="s">
        <v>253</v>
      </c>
      <c r="B14" s="442">
        <v>0</v>
      </c>
      <c r="C14" s="443"/>
      <c r="D14" s="449" t="s">
        <v>234</v>
      </c>
      <c r="E14" s="450" t="s">
        <v>223</v>
      </c>
      <c r="F14" s="451" t="s">
        <v>224</v>
      </c>
      <c r="G14" s="452" t="s">
        <v>245</v>
      </c>
      <c r="H14" s="452" t="s">
        <v>230</v>
      </c>
      <c r="I14" s="452" t="s">
        <v>231</v>
      </c>
      <c r="J14" s="453">
        <v>267</v>
      </c>
    </row>
    <row r="15" spans="1:10" s="353" customFormat="1" ht="16.8">
      <c r="A15" s="482" t="s">
        <v>194</v>
      </c>
      <c r="B15" s="442">
        <v>0</v>
      </c>
      <c r="C15" s="443"/>
      <c r="D15" s="449" t="s">
        <v>234</v>
      </c>
      <c r="E15" s="450" t="s">
        <v>246</v>
      </c>
      <c r="F15" s="451" t="s">
        <v>224</v>
      </c>
      <c r="G15" s="452" t="s">
        <v>254</v>
      </c>
      <c r="H15" s="452" t="s">
        <v>226</v>
      </c>
      <c r="I15" s="452" t="s">
        <v>231</v>
      </c>
      <c r="J15" s="453">
        <v>269</v>
      </c>
    </row>
    <row r="16" spans="1:10" s="353" customFormat="1" ht="16.8">
      <c r="A16" s="482" t="s">
        <v>255</v>
      </c>
      <c r="B16" s="442">
        <v>0</v>
      </c>
      <c r="C16" s="443"/>
      <c r="D16" s="454" t="s">
        <v>256</v>
      </c>
      <c r="E16" s="450" t="s">
        <v>257</v>
      </c>
      <c r="F16" s="451" t="s">
        <v>224</v>
      </c>
      <c r="G16" s="452" t="s">
        <v>233</v>
      </c>
      <c r="H16" s="452" t="s">
        <v>238</v>
      </c>
      <c r="I16" s="452" t="s">
        <v>231</v>
      </c>
      <c r="J16" s="453">
        <v>272</v>
      </c>
    </row>
    <row r="17" spans="1:10" ht="16.8">
      <c r="A17" s="482" t="s">
        <v>258</v>
      </c>
      <c r="B17" s="442">
        <v>0</v>
      </c>
      <c r="C17" s="443"/>
      <c r="D17" s="456" t="s">
        <v>222</v>
      </c>
      <c r="E17" s="450" t="s">
        <v>223</v>
      </c>
      <c r="F17" s="447" t="s">
        <v>224</v>
      </c>
      <c r="G17" s="447" t="s">
        <v>225</v>
      </c>
      <c r="H17" s="447" t="s">
        <v>259</v>
      </c>
      <c r="I17" s="447" t="s">
        <v>252</v>
      </c>
      <c r="J17" s="453">
        <v>103</v>
      </c>
    </row>
    <row r="18" spans="1:10" ht="16.8">
      <c r="A18" s="482" t="s">
        <v>260</v>
      </c>
      <c r="B18" s="442">
        <v>0</v>
      </c>
      <c r="C18" s="443"/>
      <c r="D18" s="449" t="s">
        <v>229</v>
      </c>
      <c r="E18" s="450" t="s">
        <v>223</v>
      </c>
      <c r="F18" s="451" t="s">
        <v>224</v>
      </c>
      <c r="G18" s="452" t="s">
        <v>261</v>
      </c>
      <c r="H18" s="452" t="s">
        <v>262</v>
      </c>
      <c r="I18" s="452" t="s">
        <v>263</v>
      </c>
      <c r="J18" s="453">
        <v>128</v>
      </c>
    </row>
    <row r="19" spans="1:10" ht="16.8">
      <c r="A19" s="483" t="s">
        <v>264</v>
      </c>
      <c r="B19" s="457">
        <v>0</v>
      </c>
      <c r="C19" s="458"/>
      <c r="D19" s="459" t="s">
        <v>222</v>
      </c>
      <c r="E19" s="460" t="s">
        <v>249</v>
      </c>
      <c r="F19" s="461" t="s">
        <v>224</v>
      </c>
      <c r="G19" s="462" t="s">
        <v>233</v>
      </c>
      <c r="H19" s="462" t="s">
        <v>238</v>
      </c>
      <c r="I19" s="462" t="s">
        <v>231</v>
      </c>
      <c r="J19" s="463">
        <v>298</v>
      </c>
    </row>
    <row r="20" spans="1:10" ht="16.8">
      <c r="A20" s="482" t="s">
        <v>265</v>
      </c>
      <c r="B20" s="442">
        <v>1</v>
      </c>
      <c r="C20" s="443"/>
      <c r="D20" s="449" t="s">
        <v>240</v>
      </c>
      <c r="E20" s="450" t="s">
        <v>223</v>
      </c>
      <c r="F20" s="451" t="s">
        <v>224</v>
      </c>
      <c r="G20" s="452" t="s">
        <v>254</v>
      </c>
      <c r="H20" s="447" t="s">
        <v>225</v>
      </c>
      <c r="I20" s="452" t="s">
        <v>252</v>
      </c>
      <c r="J20" s="453">
        <v>85</v>
      </c>
    </row>
    <row r="21" spans="1:10" ht="16.8">
      <c r="A21" s="482" t="s">
        <v>266</v>
      </c>
      <c r="B21" s="442">
        <v>1</v>
      </c>
      <c r="C21" s="443"/>
      <c r="D21" s="449" t="s">
        <v>267</v>
      </c>
      <c r="E21" s="450" t="s">
        <v>249</v>
      </c>
      <c r="F21" s="451" t="s">
        <v>224</v>
      </c>
      <c r="G21" s="452" t="s">
        <v>268</v>
      </c>
      <c r="H21" s="452" t="s">
        <v>235</v>
      </c>
      <c r="I21" s="452" t="s">
        <v>231</v>
      </c>
      <c r="J21" s="455">
        <v>203</v>
      </c>
    </row>
    <row r="22" spans="1:10" ht="16.8">
      <c r="A22" s="482" t="s">
        <v>269</v>
      </c>
      <c r="B22" s="442">
        <v>1</v>
      </c>
      <c r="C22" s="443"/>
      <c r="D22" s="456" t="s">
        <v>240</v>
      </c>
      <c r="E22" s="464" t="s">
        <v>223</v>
      </c>
      <c r="F22" s="447" t="s">
        <v>270</v>
      </c>
      <c r="G22" s="447" t="s">
        <v>233</v>
      </c>
      <c r="H22" s="447" t="s">
        <v>262</v>
      </c>
      <c r="I22" s="452" t="s">
        <v>271</v>
      </c>
      <c r="J22" s="455">
        <v>103</v>
      </c>
    </row>
    <row r="23" spans="1:10" ht="16.8">
      <c r="A23" s="482" t="s">
        <v>272</v>
      </c>
      <c r="B23" s="442">
        <v>1</v>
      </c>
      <c r="C23" s="443"/>
      <c r="D23" s="449" t="s">
        <v>267</v>
      </c>
      <c r="E23" s="450" t="s">
        <v>249</v>
      </c>
      <c r="F23" s="451" t="s">
        <v>224</v>
      </c>
      <c r="G23" s="452" t="s">
        <v>268</v>
      </c>
      <c r="H23" s="452" t="s">
        <v>235</v>
      </c>
      <c r="I23" s="452" t="s">
        <v>231</v>
      </c>
      <c r="J23" s="455">
        <v>205</v>
      </c>
    </row>
    <row r="24" spans="1:10" ht="16.8">
      <c r="A24" s="482" t="s">
        <v>273</v>
      </c>
      <c r="B24" s="442">
        <v>1</v>
      </c>
      <c r="C24" s="443"/>
      <c r="D24" s="449" t="s">
        <v>222</v>
      </c>
      <c r="E24" s="450" t="s">
        <v>274</v>
      </c>
      <c r="F24" s="451" t="s">
        <v>224</v>
      </c>
      <c r="G24" s="452" t="s">
        <v>233</v>
      </c>
      <c r="H24" s="452" t="s">
        <v>230</v>
      </c>
      <c r="I24" s="452" t="s">
        <v>231</v>
      </c>
      <c r="J24" s="453">
        <v>205</v>
      </c>
    </row>
    <row r="25" spans="1:10" ht="16.8">
      <c r="A25" s="482" t="s">
        <v>275</v>
      </c>
      <c r="B25" s="442">
        <v>1</v>
      </c>
      <c r="C25" s="443"/>
      <c r="D25" s="449" t="s">
        <v>243</v>
      </c>
      <c r="E25" s="465" t="s">
        <v>223</v>
      </c>
      <c r="F25" s="451" t="s">
        <v>270</v>
      </c>
      <c r="G25" s="452" t="s">
        <v>225</v>
      </c>
      <c r="H25" s="447" t="s">
        <v>259</v>
      </c>
      <c r="I25" s="447" t="s">
        <v>276</v>
      </c>
      <c r="J25" s="455">
        <v>63</v>
      </c>
    </row>
    <row r="26" spans="1:10" ht="16.8">
      <c r="A26" s="482" t="s">
        <v>277</v>
      </c>
      <c r="B26" s="442">
        <v>1</v>
      </c>
      <c r="C26" s="443"/>
      <c r="D26" s="449" t="s">
        <v>256</v>
      </c>
      <c r="E26" s="450" t="s">
        <v>278</v>
      </c>
      <c r="F26" s="451" t="s">
        <v>224</v>
      </c>
      <c r="G26" s="452" t="s">
        <v>233</v>
      </c>
      <c r="H26" s="452" t="s">
        <v>279</v>
      </c>
      <c r="I26" s="452" t="s">
        <v>280</v>
      </c>
      <c r="J26" s="453">
        <v>83</v>
      </c>
    </row>
    <row r="27" spans="1:10" ht="16.8">
      <c r="A27" s="482" t="s">
        <v>281</v>
      </c>
      <c r="B27" s="442">
        <v>1</v>
      </c>
      <c r="C27" s="443"/>
      <c r="D27" s="449" t="s">
        <v>240</v>
      </c>
      <c r="E27" s="450" t="s">
        <v>223</v>
      </c>
      <c r="F27" s="451" t="s">
        <v>224</v>
      </c>
      <c r="G27" s="452" t="s">
        <v>225</v>
      </c>
      <c r="H27" s="452" t="s">
        <v>282</v>
      </c>
      <c r="I27" s="452" t="s">
        <v>231</v>
      </c>
      <c r="J27" s="453">
        <v>208</v>
      </c>
    </row>
    <row r="28" spans="1:10" ht="16.8">
      <c r="A28" s="482" t="s">
        <v>283</v>
      </c>
      <c r="B28" s="442">
        <v>1</v>
      </c>
      <c r="C28" s="443"/>
      <c r="D28" s="449" t="s">
        <v>267</v>
      </c>
      <c r="E28" s="450" t="s">
        <v>284</v>
      </c>
      <c r="F28" s="451" t="s">
        <v>224</v>
      </c>
      <c r="G28" s="452" t="s">
        <v>225</v>
      </c>
      <c r="H28" s="452" t="s">
        <v>259</v>
      </c>
      <c r="I28" s="452" t="s">
        <v>231</v>
      </c>
      <c r="J28" s="453">
        <v>211</v>
      </c>
    </row>
    <row r="29" spans="1:10" ht="16.8">
      <c r="A29" s="482" t="s">
        <v>285</v>
      </c>
      <c r="B29" s="442">
        <v>1</v>
      </c>
      <c r="C29" s="443"/>
      <c r="D29" s="449" t="s">
        <v>236</v>
      </c>
      <c r="E29" s="450" t="s">
        <v>257</v>
      </c>
      <c r="F29" s="451" t="s">
        <v>224</v>
      </c>
      <c r="G29" s="452" t="s">
        <v>254</v>
      </c>
      <c r="H29" s="452" t="s">
        <v>226</v>
      </c>
      <c r="I29" s="452" t="s">
        <v>231</v>
      </c>
      <c r="J29" s="453">
        <v>212</v>
      </c>
    </row>
    <row r="30" spans="1:10" ht="16.8">
      <c r="A30" s="482" t="s">
        <v>286</v>
      </c>
      <c r="B30" s="442">
        <v>1</v>
      </c>
      <c r="C30" s="443"/>
      <c r="D30" s="466" t="s">
        <v>229</v>
      </c>
      <c r="E30" s="465" t="s">
        <v>249</v>
      </c>
      <c r="F30" s="451" t="s">
        <v>287</v>
      </c>
      <c r="G30" s="467" t="s">
        <v>225</v>
      </c>
      <c r="H30" s="467" t="s">
        <v>262</v>
      </c>
      <c r="I30" s="452" t="s">
        <v>288</v>
      </c>
      <c r="J30" s="468">
        <v>91</v>
      </c>
    </row>
    <row r="31" spans="1:10" ht="16.8">
      <c r="A31" s="482" t="s">
        <v>289</v>
      </c>
      <c r="B31" s="442">
        <v>1</v>
      </c>
      <c r="C31" s="443"/>
      <c r="D31" s="449" t="s">
        <v>229</v>
      </c>
      <c r="E31" s="450" t="s">
        <v>223</v>
      </c>
      <c r="F31" s="451" t="s">
        <v>224</v>
      </c>
      <c r="G31" s="452" t="s">
        <v>233</v>
      </c>
      <c r="H31" s="452" t="s">
        <v>230</v>
      </c>
      <c r="I31" s="452" t="s">
        <v>231</v>
      </c>
      <c r="J31" s="453">
        <v>216</v>
      </c>
    </row>
    <row r="32" spans="1:10" ht="16.8">
      <c r="A32" s="482" t="s">
        <v>290</v>
      </c>
      <c r="B32" s="442">
        <v>1</v>
      </c>
      <c r="C32" s="443"/>
      <c r="D32" s="449" t="s">
        <v>222</v>
      </c>
      <c r="E32" s="450" t="s">
        <v>274</v>
      </c>
      <c r="F32" s="451" t="s">
        <v>238</v>
      </c>
      <c r="G32" s="452" t="s">
        <v>233</v>
      </c>
      <c r="H32" s="452" t="s">
        <v>230</v>
      </c>
      <c r="I32" s="452" t="s">
        <v>231</v>
      </c>
      <c r="J32" s="453">
        <v>216</v>
      </c>
    </row>
    <row r="33" spans="1:10" ht="16.8">
      <c r="A33" s="482" t="s">
        <v>291</v>
      </c>
      <c r="B33" s="442">
        <v>1</v>
      </c>
      <c r="C33" s="443"/>
      <c r="D33" s="449" t="s">
        <v>240</v>
      </c>
      <c r="E33" s="450" t="s">
        <v>223</v>
      </c>
      <c r="F33" s="451" t="s">
        <v>224</v>
      </c>
      <c r="G33" s="452" t="s">
        <v>225</v>
      </c>
      <c r="H33" s="452" t="s">
        <v>226</v>
      </c>
      <c r="I33" s="452" t="s">
        <v>231</v>
      </c>
      <c r="J33" s="453">
        <v>217</v>
      </c>
    </row>
    <row r="34" spans="1:10" ht="16.8">
      <c r="A34" s="482" t="s">
        <v>292</v>
      </c>
      <c r="B34" s="442">
        <v>1</v>
      </c>
      <c r="C34" s="443"/>
      <c r="D34" s="449" t="s">
        <v>236</v>
      </c>
      <c r="E34" s="450" t="s">
        <v>249</v>
      </c>
      <c r="F34" s="451" t="s">
        <v>224</v>
      </c>
      <c r="G34" s="452" t="s">
        <v>293</v>
      </c>
      <c r="H34" s="452" t="s">
        <v>226</v>
      </c>
      <c r="I34" s="452" t="s">
        <v>231</v>
      </c>
      <c r="J34" s="453">
        <v>218</v>
      </c>
    </row>
    <row r="35" spans="1:10" ht="16.8">
      <c r="A35" s="482" t="s">
        <v>294</v>
      </c>
      <c r="B35" s="442">
        <v>1</v>
      </c>
      <c r="C35" s="443"/>
      <c r="D35" s="449" t="s">
        <v>236</v>
      </c>
      <c r="E35" s="450" t="s">
        <v>249</v>
      </c>
      <c r="F35" s="451" t="s">
        <v>224</v>
      </c>
      <c r="G35" s="452" t="s">
        <v>136</v>
      </c>
      <c r="H35" s="452" t="s">
        <v>226</v>
      </c>
      <c r="I35" s="452" t="s">
        <v>231</v>
      </c>
      <c r="J35" s="453">
        <v>218</v>
      </c>
    </row>
    <row r="36" spans="1:10" ht="16.8">
      <c r="A36" s="482" t="s">
        <v>295</v>
      </c>
      <c r="B36" s="442">
        <v>1</v>
      </c>
      <c r="C36" s="443"/>
      <c r="D36" s="449" t="s">
        <v>236</v>
      </c>
      <c r="E36" s="450" t="s">
        <v>257</v>
      </c>
      <c r="F36" s="451" t="s">
        <v>224</v>
      </c>
      <c r="G36" s="452" t="s">
        <v>296</v>
      </c>
      <c r="H36" s="452" t="s">
        <v>230</v>
      </c>
      <c r="I36" s="452" t="s">
        <v>231</v>
      </c>
      <c r="J36" s="453">
        <v>220</v>
      </c>
    </row>
    <row r="37" spans="1:10" ht="16.8">
      <c r="A37" s="482" t="s">
        <v>195</v>
      </c>
      <c r="B37" s="442">
        <v>1</v>
      </c>
      <c r="C37" s="443"/>
      <c r="D37" s="449" t="s">
        <v>243</v>
      </c>
      <c r="E37" s="450" t="s">
        <v>249</v>
      </c>
      <c r="F37" s="451" t="s">
        <v>224</v>
      </c>
      <c r="G37" s="452" t="s">
        <v>254</v>
      </c>
      <c r="H37" s="452" t="s">
        <v>238</v>
      </c>
      <c r="I37" s="452" t="s">
        <v>231</v>
      </c>
      <c r="J37" s="455">
        <v>224</v>
      </c>
    </row>
    <row r="38" spans="1:10" ht="16.8">
      <c r="A38" s="482" t="s">
        <v>297</v>
      </c>
      <c r="B38" s="442">
        <v>1</v>
      </c>
      <c r="C38" s="443"/>
      <c r="D38" s="449" t="s">
        <v>236</v>
      </c>
      <c r="E38" s="450" t="s">
        <v>298</v>
      </c>
      <c r="F38" s="452" t="s">
        <v>224</v>
      </c>
      <c r="G38" s="452" t="s">
        <v>233</v>
      </c>
      <c r="H38" s="452" t="s">
        <v>282</v>
      </c>
      <c r="I38" s="452" t="s">
        <v>299</v>
      </c>
      <c r="J38" s="453">
        <v>96</v>
      </c>
    </row>
    <row r="39" spans="1:10" ht="16.8">
      <c r="A39" s="482" t="s">
        <v>300</v>
      </c>
      <c r="B39" s="442">
        <v>1</v>
      </c>
      <c r="C39" s="443"/>
      <c r="D39" s="449" t="s">
        <v>267</v>
      </c>
      <c r="E39" s="450" t="s">
        <v>249</v>
      </c>
      <c r="F39" s="451" t="s">
        <v>224</v>
      </c>
      <c r="G39" s="452" t="s">
        <v>247</v>
      </c>
      <c r="H39" s="452" t="s">
        <v>235</v>
      </c>
      <c r="I39" s="452" t="s">
        <v>231</v>
      </c>
      <c r="J39" s="453">
        <v>225</v>
      </c>
    </row>
    <row r="40" spans="1:10" ht="16.8">
      <c r="A40" s="482" t="s">
        <v>301</v>
      </c>
      <c r="B40" s="442">
        <v>1</v>
      </c>
      <c r="C40" s="443"/>
      <c r="D40" s="449" t="s">
        <v>222</v>
      </c>
      <c r="E40" s="464" t="s">
        <v>274</v>
      </c>
      <c r="F40" s="464" t="s">
        <v>224</v>
      </c>
      <c r="G40" s="452" t="s">
        <v>233</v>
      </c>
      <c r="H40" s="452" t="s">
        <v>226</v>
      </c>
      <c r="I40" s="452" t="s">
        <v>227</v>
      </c>
      <c r="J40" s="453">
        <v>77</v>
      </c>
    </row>
    <row r="41" spans="1:10" ht="16.8">
      <c r="A41" s="482" t="s">
        <v>302</v>
      </c>
      <c r="B41" s="442">
        <v>1</v>
      </c>
      <c r="C41" s="443"/>
      <c r="D41" s="449" t="s">
        <v>256</v>
      </c>
      <c r="E41" s="450" t="s">
        <v>223</v>
      </c>
      <c r="F41" s="451" t="s">
        <v>224</v>
      </c>
      <c r="G41" s="452" t="s">
        <v>233</v>
      </c>
      <c r="H41" s="452" t="s">
        <v>251</v>
      </c>
      <c r="I41" s="452" t="s">
        <v>231</v>
      </c>
      <c r="J41" s="453">
        <v>226</v>
      </c>
    </row>
    <row r="42" spans="1:10" ht="16.8">
      <c r="A42" s="482" t="s">
        <v>303</v>
      </c>
      <c r="B42" s="442">
        <v>1</v>
      </c>
      <c r="C42" s="443"/>
      <c r="D42" s="449" t="s">
        <v>256</v>
      </c>
      <c r="E42" s="450" t="s">
        <v>223</v>
      </c>
      <c r="F42" s="451" t="s">
        <v>224</v>
      </c>
      <c r="G42" s="452" t="s">
        <v>254</v>
      </c>
      <c r="H42" s="452" t="s">
        <v>235</v>
      </c>
      <c r="I42" s="452" t="s">
        <v>231</v>
      </c>
      <c r="J42" s="455">
        <v>227</v>
      </c>
    </row>
    <row r="43" spans="1:10" ht="16.8">
      <c r="A43" s="482" t="s">
        <v>304</v>
      </c>
      <c r="B43" s="442">
        <v>1</v>
      </c>
      <c r="C43" s="443"/>
      <c r="D43" s="449" t="s">
        <v>229</v>
      </c>
      <c r="E43" s="450" t="s">
        <v>246</v>
      </c>
      <c r="F43" s="451" t="s">
        <v>238</v>
      </c>
      <c r="G43" s="452" t="s">
        <v>233</v>
      </c>
      <c r="H43" s="452" t="s">
        <v>279</v>
      </c>
      <c r="I43" s="452" t="s">
        <v>252</v>
      </c>
      <c r="J43" s="453">
        <v>93</v>
      </c>
    </row>
    <row r="44" spans="1:10" ht="16.8">
      <c r="A44" s="482" t="s">
        <v>305</v>
      </c>
      <c r="B44" s="442">
        <v>1</v>
      </c>
      <c r="C44" s="443"/>
      <c r="D44" s="449" t="s">
        <v>256</v>
      </c>
      <c r="E44" s="450" t="s">
        <v>306</v>
      </c>
      <c r="F44" s="452" t="s">
        <v>224</v>
      </c>
      <c r="G44" s="452" t="s">
        <v>225</v>
      </c>
      <c r="H44" s="452" t="s">
        <v>307</v>
      </c>
      <c r="I44" s="452" t="s">
        <v>299</v>
      </c>
      <c r="J44" s="453">
        <v>99</v>
      </c>
    </row>
    <row r="45" spans="1:10" ht="16.8">
      <c r="A45" s="482" t="s">
        <v>308</v>
      </c>
      <c r="B45" s="442">
        <v>1</v>
      </c>
      <c r="C45" s="443"/>
      <c r="D45" s="449" t="s">
        <v>236</v>
      </c>
      <c r="E45" s="465" t="s">
        <v>309</v>
      </c>
      <c r="F45" s="451" t="s">
        <v>270</v>
      </c>
      <c r="G45" s="467" t="s">
        <v>254</v>
      </c>
      <c r="H45" s="452" t="s">
        <v>259</v>
      </c>
      <c r="I45" s="452" t="s">
        <v>310</v>
      </c>
      <c r="J45" s="468">
        <v>150</v>
      </c>
    </row>
    <row r="46" spans="1:10" ht="16.8">
      <c r="A46" s="482" t="s">
        <v>311</v>
      </c>
      <c r="B46" s="442">
        <v>1</v>
      </c>
      <c r="C46" s="443"/>
      <c r="D46" s="449" t="s">
        <v>243</v>
      </c>
      <c r="E46" s="450" t="s">
        <v>223</v>
      </c>
      <c r="F46" s="452" t="s">
        <v>224</v>
      </c>
      <c r="G46" s="452" t="s">
        <v>293</v>
      </c>
      <c r="H46" s="452" t="s">
        <v>235</v>
      </c>
      <c r="I46" s="452" t="s">
        <v>227</v>
      </c>
      <c r="J46" s="453">
        <v>108</v>
      </c>
    </row>
    <row r="47" spans="1:10" ht="16.8">
      <c r="A47" s="482" t="s">
        <v>312</v>
      </c>
      <c r="B47" s="442">
        <v>1</v>
      </c>
      <c r="C47" s="443"/>
      <c r="D47" s="449" t="s">
        <v>229</v>
      </c>
      <c r="E47" s="450" t="s">
        <v>223</v>
      </c>
      <c r="F47" s="451" t="s">
        <v>250</v>
      </c>
      <c r="G47" s="452" t="s">
        <v>225</v>
      </c>
      <c r="H47" s="452" t="s">
        <v>251</v>
      </c>
      <c r="I47" s="452" t="s">
        <v>310</v>
      </c>
      <c r="J47" s="453">
        <v>151</v>
      </c>
    </row>
    <row r="48" spans="1:10" ht="16.8">
      <c r="A48" s="482" t="s">
        <v>313</v>
      </c>
      <c r="B48" s="442">
        <v>1</v>
      </c>
      <c r="C48" s="443"/>
      <c r="D48" s="449" t="s">
        <v>267</v>
      </c>
      <c r="E48" s="450" t="s">
        <v>249</v>
      </c>
      <c r="F48" s="451" t="s">
        <v>224</v>
      </c>
      <c r="G48" s="452" t="s">
        <v>225</v>
      </c>
      <c r="H48" s="452" t="s">
        <v>259</v>
      </c>
      <c r="I48" s="452" t="s">
        <v>252</v>
      </c>
      <c r="J48" s="453">
        <v>97</v>
      </c>
    </row>
    <row r="49" spans="1:10" ht="16.8">
      <c r="A49" s="482" t="s">
        <v>314</v>
      </c>
      <c r="B49" s="442">
        <v>1</v>
      </c>
      <c r="C49" s="443"/>
      <c r="D49" s="456" t="s">
        <v>256</v>
      </c>
      <c r="E49" s="464" t="s">
        <v>249</v>
      </c>
      <c r="F49" s="447" t="s">
        <v>224</v>
      </c>
      <c r="G49" s="447" t="s">
        <v>233</v>
      </c>
      <c r="H49" s="447" t="s">
        <v>226</v>
      </c>
      <c r="I49" s="452" t="s">
        <v>231</v>
      </c>
      <c r="J49" s="453">
        <v>241</v>
      </c>
    </row>
    <row r="50" spans="1:10" ht="16.8">
      <c r="A50" s="482" t="s">
        <v>315</v>
      </c>
      <c r="B50" s="442">
        <v>1</v>
      </c>
      <c r="C50" s="443"/>
      <c r="D50" s="449" t="s">
        <v>267</v>
      </c>
      <c r="E50" s="450" t="s">
        <v>249</v>
      </c>
      <c r="F50" s="451" t="s">
        <v>224</v>
      </c>
      <c r="G50" s="452" t="s">
        <v>247</v>
      </c>
      <c r="H50" s="452" t="s">
        <v>262</v>
      </c>
      <c r="I50" s="452" t="s">
        <v>263</v>
      </c>
      <c r="J50" s="453">
        <v>122</v>
      </c>
    </row>
    <row r="51" spans="1:10" ht="16.8">
      <c r="A51" s="482" t="s">
        <v>316</v>
      </c>
      <c r="B51" s="442">
        <v>1</v>
      </c>
      <c r="C51" s="443"/>
      <c r="D51" s="456" t="s">
        <v>240</v>
      </c>
      <c r="E51" s="450" t="s">
        <v>223</v>
      </c>
      <c r="F51" s="447" t="s">
        <v>224</v>
      </c>
      <c r="G51" s="452" t="s">
        <v>233</v>
      </c>
      <c r="H51" s="447" t="s">
        <v>241</v>
      </c>
      <c r="I51" s="452" t="s">
        <v>231</v>
      </c>
      <c r="J51" s="453">
        <v>244</v>
      </c>
    </row>
    <row r="52" spans="1:10" ht="16.8">
      <c r="A52" s="482" t="s">
        <v>317</v>
      </c>
      <c r="B52" s="442">
        <v>1</v>
      </c>
      <c r="C52" s="443"/>
      <c r="D52" s="449" t="s">
        <v>256</v>
      </c>
      <c r="E52" s="450" t="s">
        <v>274</v>
      </c>
      <c r="F52" s="451" t="s">
        <v>224</v>
      </c>
      <c r="G52" s="452" t="s">
        <v>233</v>
      </c>
      <c r="H52" s="447" t="s">
        <v>226</v>
      </c>
      <c r="I52" s="447" t="s">
        <v>227</v>
      </c>
      <c r="J52" s="453">
        <v>126</v>
      </c>
    </row>
    <row r="53" spans="1:10" ht="16.8">
      <c r="A53" s="482" t="s">
        <v>318</v>
      </c>
      <c r="B53" s="442">
        <v>1</v>
      </c>
      <c r="C53" s="443"/>
      <c r="D53" s="449" t="s">
        <v>243</v>
      </c>
      <c r="E53" s="450" t="s">
        <v>223</v>
      </c>
      <c r="F53" s="451" t="s">
        <v>224</v>
      </c>
      <c r="G53" s="447" t="s">
        <v>247</v>
      </c>
      <c r="H53" s="452" t="s">
        <v>226</v>
      </c>
      <c r="I53" s="452" t="s">
        <v>319</v>
      </c>
      <c r="J53" s="453">
        <v>100</v>
      </c>
    </row>
    <row r="54" spans="1:10" ht="16.8">
      <c r="A54" s="482" t="s">
        <v>320</v>
      </c>
      <c r="B54" s="442">
        <v>1</v>
      </c>
      <c r="C54" s="443"/>
      <c r="D54" s="449" t="s">
        <v>222</v>
      </c>
      <c r="E54" s="450" t="s">
        <v>274</v>
      </c>
      <c r="F54" s="451" t="s">
        <v>224</v>
      </c>
      <c r="G54" s="452" t="s">
        <v>254</v>
      </c>
      <c r="H54" s="452" t="s">
        <v>307</v>
      </c>
      <c r="I54" s="452" t="s">
        <v>231</v>
      </c>
      <c r="J54" s="453">
        <v>249</v>
      </c>
    </row>
    <row r="55" spans="1:10" ht="16.8">
      <c r="A55" s="482" t="s">
        <v>321</v>
      </c>
      <c r="B55" s="442">
        <v>1</v>
      </c>
      <c r="C55" s="443"/>
      <c r="D55" s="449" t="s">
        <v>222</v>
      </c>
      <c r="E55" s="450" t="s">
        <v>249</v>
      </c>
      <c r="F55" s="451" t="s">
        <v>224</v>
      </c>
      <c r="G55" s="452" t="s">
        <v>233</v>
      </c>
      <c r="H55" s="452" t="s">
        <v>322</v>
      </c>
      <c r="I55" s="452" t="s">
        <v>231</v>
      </c>
      <c r="J55" s="453">
        <v>251</v>
      </c>
    </row>
    <row r="56" spans="1:10" ht="16.8">
      <c r="A56" s="482" t="s">
        <v>197</v>
      </c>
      <c r="B56" s="442">
        <v>1</v>
      </c>
      <c r="C56" s="449" t="s">
        <v>170</v>
      </c>
      <c r="D56" s="449" t="s">
        <v>222</v>
      </c>
      <c r="E56" s="450" t="s">
        <v>323</v>
      </c>
      <c r="F56" s="451" t="s">
        <v>224</v>
      </c>
      <c r="G56" s="452" t="s">
        <v>233</v>
      </c>
      <c r="H56" s="452" t="s">
        <v>235</v>
      </c>
      <c r="I56" s="452" t="s">
        <v>231</v>
      </c>
      <c r="J56" s="469">
        <v>251</v>
      </c>
    </row>
    <row r="57" spans="1:10" ht="16.8">
      <c r="A57" s="482" t="s">
        <v>324</v>
      </c>
      <c r="B57" s="442">
        <v>1</v>
      </c>
      <c r="C57" s="443"/>
      <c r="D57" s="449" t="s">
        <v>256</v>
      </c>
      <c r="E57" s="464" t="s">
        <v>223</v>
      </c>
      <c r="F57" s="447" t="s">
        <v>224</v>
      </c>
      <c r="G57" s="452" t="s">
        <v>254</v>
      </c>
      <c r="H57" s="452" t="s">
        <v>235</v>
      </c>
      <c r="I57" s="452" t="s">
        <v>227</v>
      </c>
      <c r="J57" s="470">
        <v>148</v>
      </c>
    </row>
    <row r="58" spans="1:10" ht="16.8">
      <c r="A58" s="482" t="s">
        <v>325</v>
      </c>
      <c r="B58" s="442">
        <v>1</v>
      </c>
      <c r="C58" s="443"/>
      <c r="D58" s="449" t="s">
        <v>243</v>
      </c>
      <c r="E58" s="450" t="s">
        <v>249</v>
      </c>
      <c r="F58" s="451" t="s">
        <v>224</v>
      </c>
      <c r="G58" s="452" t="s">
        <v>254</v>
      </c>
      <c r="H58" s="452" t="s">
        <v>235</v>
      </c>
      <c r="I58" s="452" t="s">
        <v>326</v>
      </c>
      <c r="J58" s="453">
        <v>170</v>
      </c>
    </row>
    <row r="59" spans="1:10" ht="16.8">
      <c r="A59" s="482" t="s">
        <v>327</v>
      </c>
      <c r="B59" s="442">
        <v>1</v>
      </c>
      <c r="C59" s="443"/>
      <c r="D59" s="449" t="s">
        <v>229</v>
      </c>
      <c r="E59" s="450" t="s">
        <v>223</v>
      </c>
      <c r="F59" s="451" t="s">
        <v>224</v>
      </c>
      <c r="G59" s="452" t="s">
        <v>328</v>
      </c>
      <c r="H59" s="452" t="s">
        <v>235</v>
      </c>
      <c r="I59" s="452" t="s">
        <v>231</v>
      </c>
      <c r="J59" s="453">
        <v>258</v>
      </c>
    </row>
    <row r="60" spans="1:10" ht="16.8">
      <c r="A60" s="482" t="s">
        <v>329</v>
      </c>
      <c r="B60" s="442">
        <v>1</v>
      </c>
      <c r="C60" s="443"/>
      <c r="D60" s="449" t="s">
        <v>236</v>
      </c>
      <c r="E60" s="450" t="s">
        <v>330</v>
      </c>
      <c r="F60" s="451" t="s">
        <v>287</v>
      </c>
      <c r="G60" s="452" t="s">
        <v>254</v>
      </c>
      <c r="H60" s="452" t="s">
        <v>230</v>
      </c>
      <c r="I60" s="452" t="s">
        <v>326</v>
      </c>
      <c r="J60" s="453">
        <v>171</v>
      </c>
    </row>
    <row r="61" spans="1:10" ht="16.8">
      <c r="A61" s="482" t="s">
        <v>331</v>
      </c>
      <c r="B61" s="442">
        <v>1</v>
      </c>
      <c r="C61" s="443"/>
      <c r="D61" s="449" t="s">
        <v>256</v>
      </c>
      <c r="E61" s="450" t="s">
        <v>257</v>
      </c>
      <c r="F61" s="451" t="s">
        <v>224</v>
      </c>
      <c r="G61" s="452" t="s">
        <v>233</v>
      </c>
      <c r="H61" s="452" t="s">
        <v>235</v>
      </c>
      <c r="I61" s="452" t="s">
        <v>231</v>
      </c>
      <c r="J61" s="455">
        <v>266</v>
      </c>
    </row>
    <row r="62" spans="1:10" ht="16.8">
      <c r="A62" s="482" t="s">
        <v>206</v>
      </c>
      <c r="B62" s="442">
        <v>1</v>
      </c>
      <c r="C62" s="443"/>
      <c r="D62" s="449" t="s">
        <v>256</v>
      </c>
      <c r="E62" s="450" t="s">
        <v>223</v>
      </c>
      <c r="F62" s="451" t="s">
        <v>224</v>
      </c>
      <c r="G62" s="452" t="s">
        <v>225</v>
      </c>
      <c r="H62" s="452" t="s">
        <v>226</v>
      </c>
      <c r="I62" s="452" t="s">
        <v>231</v>
      </c>
      <c r="J62" s="453">
        <v>271</v>
      </c>
    </row>
    <row r="63" spans="1:10" ht="16.8">
      <c r="A63" s="482" t="s">
        <v>332</v>
      </c>
      <c r="B63" s="442">
        <v>1</v>
      </c>
      <c r="C63" s="443"/>
      <c r="D63" s="466" t="s">
        <v>256</v>
      </c>
      <c r="E63" s="465" t="s">
        <v>249</v>
      </c>
      <c r="F63" s="451" t="s">
        <v>224</v>
      </c>
      <c r="G63" s="467" t="s">
        <v>233</v>
      </c>
      <c r="H63" s="467" t="s">
        <v>226</v>
      </c>
      <c r="I63" s="467" t="s">
        <v>319</v>
      </c>
      <c r="J63" s="453">
        <v>104</v>
      </c>
    </row>
    <row r="64" spans="1:10" ht="16.8">
      <c r="A64" s="482" t="s">
        <v>333</v>
      </c>
      <c r="B64" s="442">
        <v>1</v>
      </c>
      <c r="C64" s="443"/>
      <c r="D64" s="449" t="s">
        <v>267</v>
      </c>
      <c r="E64" s="450" t="s">
        <v>274</v>
      </c>
      <c r="F64" s="451" t="s">
        <v>224</v>
      </c>
      <c r="G64" s="452" t="s">
        <v>254</v>
      </c>
      <c r="H64" s="452" t="s">
        <v>235</v>
      </c>
      <c r="I64" s="452" t="s">
        <v>252</v>
      </c>
      <c r="J64" s="453">
        <v>103</v>
      </c>
    </row>
    <row r="65" spans="1:10" ht="16.8">
      <c r="A65" s="482" t="s">
        <v>200</v>
      </c>
      <c r="B65" s="442">
        <v>1</v>
      </c>
      <c r="C65" s="449" t="s">
        <v>350</v>
      </c>
      <c r="D65" s="449" t="s">
        <v>256</v>
      </c>
      <c r="E65" s="450" t="s">
        <v>249</v>
      </c>
      <c r="F65" s="451" t="s">
        <v>224</v>
      </c>
      <c r="G65" s="452" t="s">
        <v>233</v>
      </c>
      <c r="H65" s="452" t="s">
        <v>262</v>
      </c>
      <c r="I65" s="452" t="s">
        <v>231</v>
      </c>
      <c r="J65" s="453">
        <v>274</v>
      </c>
    </row>
    <row r="66" spans="1:10" ht="16.8">
      <c r="A66" s="482" t="s">
        <v>202</v>
      </c>
      <c r="B66" s="442">
        <v>1</v>
      </c>
      <c r="C66" s="443"/>
      <c r="D66" s="449" t="s">
        <v>256</v>
      </c>
      <c r="E66" s="450" t="s">
        <v>274</v>
      </c>
      <c r="F66" s="451" t="s">
        <v>224</v>
      </c>
      <c r="G66" s="452" t="s">
        <v>233</v>
      </c>
      <c r="H66" s="452" t="s">
        <v>235</v>
      </c>
      <c r="I66" s="452" t="s">
        <v>231</v>
      </c>
      <c r="J66" s="455">
        <v>278</v>
      </c>
    </row>
    <row r="67" spans="1:10" ht="16.8">
      <c r="A67" s="482" t="s">
        <v>334</v>
      </c>
      <c r="B67" s="442">
        <v>1</v>
      </c>
      <c r="C67" s="443"/>
      <c r="D67" s="449" t="s">
        <v>240</v>
      </c>
      <c r="E67" s="450" t="s">
        <v>335</v>
      </c>
      <c r="F67" s="451" t="s">
        <v>250</v>
      </c>
      <c r="G67" s="452" t="s">
        <v>233</v>
      </c>
      <c r="H67" s="452" t="s">
        <v>279</v>
      </c>
      <c r="I67" s="452" t="s">
        <v>252</v>
      </c>
      <c r="J67" s="453">
        <v>103</v>
      </c>
    </row>
    <row r="68" spans="1:10" ht="16.8">
      <c r="A68" s="482" t="s">
        <v>336</v>
      </c>
      <c r="B68" s="442">
        <v>1</v>
      </c>
      <c r="C68" s="443"/>
      <c r="D68" s="449" t="s">
        <v>267</v>
      </c>
      <c r="E68" s="450" t="s">
        <v>274</v>
      </c>
      <c r="F68" s="451" t="s">
        <v>224</v>
      </c>
      <c r="G68" s="452" t="s">
        <v>225</v>
      </c>
      <c r="H68" s="452" t="s">
        <v>262</v>
      </c>
      <c r="I68" s="452" t="s">
        <v>252</v>
      </c>
      <c r="J68" s="453">
        <v>104</v>
      </c>
    </row>
    <row r="69" spans="1:10" ht="16.8">
      <c r="A69" s="482" t="s">
        <v>337</v>
      </c>
      <c r="B69" s="442">
        <v>1</v>
      </c>
      <c r="C69" s="443"/>
      <c r="D69" s="449" t="s">
        <v>222</v>
      </c>
      <c r="E69" s="464" t="s">
        <v>223</v>
      </c>
      <c r="F69" s="447" t="s">
        <v>224</v>
      </c>
      <c r="G69" s="447" t="s">
        <v>254</v>
      </c>
      <c r="H69" s="447" t="s">
        <v>262</v>
      </c>
      <c r="I69" s="447" t="s">
        <v>227</v>
      </c>
      <c r="J69" s="453">
        <v>198</v>
      </c>
    </row>
    <row r="70" spans="1:10" ht="16.8">
      <c r="A70" s="482" t="s">
        <v>338</v>
      </c>
      <c r="B70" s="442">
        <v>1</v>
      </c>
      <c r="C70" s="443"/>
      <c r="D70" s="449" t="s">
        <v>222</v>
      </c>
      <c r="E70" s="450" t="s">
        <v>223</v>
      </c>
      <c r="F70" s="451" t="s">
        <v>224</v>
      </c>
      <c r="G70" s="452" t="s">
        <v>254</v>
      </c>
      <c r="H70" s="452" t="s">
        <v>235</v>
      </c>
      <c r="I70" s="452" t="s">
        <v>252</v>
      </c>
      <c r="J70" s="453">
        <v>104</v>
      </c>
    </row>
    <row r="71" spans="1:10" ht="16.8">
      <c r="A71" s="482" t="s">
        <v>339</v>
      </c>
      <c r="B71" s="442">
        <v>1</v>
      </c>
      <c r="C71" s="443"/>
      <c r="D71" s="449" t="s">
        <v>267</v>
      </c>
      <c r="E71" s="450" t="s">
        <v>340</v>
      </c>
      <c r="F71" s="451" t="s">
        <v>224</v>
      </c>
      <c r="G71" s="452" t="s">
        <v>233</v>
      </c>
      <c r="H71" s="452" t="s">
        <v>307</v>
      </c>
      <c r="I71" s="452" t="s">
        <v>252</v>
      </c>
      <c r="J71" s="453">
        <v>106</v>
      </c>
    </row>
    <row r="72" spans="1:10" ht="16.8">
      <c r="A72" s="482" t="s">
        <v>204</v>
      </c>
      <c r="B72" s="442">
        <v>1</v>
      </c>
      <c r="C72" s="443"/>
      <c r="D72" s="449" t="s">
        <v>229</v>
      </c>
      <c r="E72" s="450" t="s">
        <v>257</v>
      </c>
      <c r="F72" s="451" t="s">
        <v>287</v>
      </c>
      <c r="G72" s="452" t="s">
        <v>225</v>
      </c>
      <c r="H72" s="452" t="s">
        <v>262</v>
      </c>
      <c r="I72" s="452" t="s">
        <v>231</v>
      </c>
      <c r="J72" s="469">
        <v>285</v>
      </c>
    </row>
    <row r="73" spans="1:10" ht="16.8">
      <c r="A73" s="482" t="s">
        <v>341</v>
      </c>
      <c r="B73" s="442">
        <v>1</v>
      </c>
      <c r="C73" s="443"/>
      <c r="D73" s="449" t="s">
        <v>229</v>
      </c>
      <c r="E73" s="450" t="s">
        <v>257</v>
      </c>
      <c r="F73" s="451" t="s">
        <v>287</v>
      </c>
      <c r="G73" s="452" t="s">
        <v>225</v>
      </c>
      <c r="H73" s="452" t="s">
        <v>262</v>
      </c>
      <c r="I73" s="452" t="s">
        <v>342</v>
      </c>
      <c r="J73" s="469">
        <v>71</v>
      </c>
    </row>
    <row r="74" spans="1:10" ht="16.8">
      <c r="A74" s="482" t="s">
        <v>343</v>
      </c>
      <c r="B74" s="442">
        <v>1</v>
      </c>
      <c r="C74" s="443"/>
      <c r="D74" s="449" t="s">
        <v>256</v>
      </c>
      <c r="E74" s="450" t="s">
        <v>274</v>
      </c>
      <c r="F74" s="451" t="s">
        <v>224</v>
      </c>
      <c r="G74" s="452" t="s">
        <v>233</v>
      </c>
      <c r="H74" s="452" t="s">
        <v>251</v>
      </c>
      <c r="I74" s="452" t="s">
        <v>252</v>
      </c>
      <c r="J74" s="453">
        <v>106</v>
      </c>
    </row>
    <row r="75" spans="1:10" ht="16.8">
      <c r="A75" s="482" t="s">
        <v>344</v>
      </c>
      <c r="B75" s="442">
        <v>1</v>
      </c>
      <c r="C75" s="443"/>
      <c r="D75" s="449" t="s">
        <v>256</v>
      </c>
      <c r="E75" s="450" t="s">
        <v>345</v>
      </c>
      <c r="F75" s="452" t="s">
        <v>224</v>
      </c>
      <c r="G75" s="452" t="s">
        <v>233</v>
      </c>
      <c r="H75" s="452" t="s">
        <v>235</v>
      </c>
      <c r="I75" s="452" t="s">
        <v>299</v>
      </c>
      <c r="J75" s="453">
        <v>110</v>
      </c>
    </row>
    <row r="76" spans="1:10" ht="16.8">
      <c r="A76" s="482" t="s">
        <v>346</v>
      </c>
      <c r="B76" s="442">
        <v>1</v>
      </c>
      <c r="C76" s="443"/>
      <c r="D76" s="449" t="s">
        <v>229</v>
      </c>
      <c r="E76" s="450" t="s">
        <v>223</v>
      </c>
      <c r="F76" s="451" t="s">
        <v>224</v>
      </c>
      <c r="G76" s="452" t="s">
        <v>233</v>
      </c>
      <c r="H76" s="452" t="s">
        <v>347</v>
      </c>
      <c r="I76" s="452" t="s">
        <v>326</v>
      </c>
      <c r="J76" s="453">
        <v>186</v>
      </c>
    </row>
    <row r="77" spans="1:10" ht="17.399999999999999" thickBot="1">
      <c r="A77" s="484" t="s">
        <v>348</v>
      </c>
      <c r="B77" s="471">
        <v>1</v>
      </c>
      <c r="C77" s="472"/>
      <c r="D77" s="473" t="s">
        <v>267</v>
      </c>
      <c r="E77" s="474" t="s">
        <v>284</v>
      </c>
      <c r="F77" s="475" t="s">
        <v>224</v>
      </c>
      <c r="G77" s="476" t="s">
        <v>225</v>
      </c>
      <c r="H77" s="477" t="s">
        <v>259</v>
      </c>
      <c r="I77" s="477" t="s">
        <v>299</v>
      </c>
      <c r="J77" s="478">
        <v>111</v>
      </c>
    </row>
    <row r="78" spans="1:10"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A307-0CDE-48A5-9DBA-F4E50877903D}">
  <dimension ref="A1:U38"/>
  <sheetViews>
    <sheetView showGridLines="0" workbookViewId="0"/>
  </sheetViews>
  <sheetFormatPr defaultColWidth="13" defaultRowHeight="16.8"/>
  <cols>
    <col min="1" max="1" width="15.796875" style="432" bestFit="1" customWidth="1"/>
    <col min="2" max="2" width="6.19921875" style="432" bestFit="1" customWidth="1"/>
    <col min="3" max="3" width="3.5" style="432" bestFit="1" customWidth="1"/>
    <col min="4" max="4" width="4.09765625" style="432" bestFit="1" customWidth="1"/>
    <col min="5" max="5" width="6.296875" style="424" bestFit="1" customWidth="1"/>
    <col min="6" max="6" width="2.296875" style="424" customWidth="1"/>
    <col min="7" max="7" width="13.296875" style="368" bestFit="1" customWidth="1"/>
    <col min="8" max="9" width="3.796875" style="368" customWidth="1"/>
    <col min="10" max="11" width="4" style="368" customWidth="1"/>
    <col min="12" max="15" width="3.59765625" style="368" bestFit="1" customWidth="1"/>
    <col min="16" max="16" width="2.296875" style="368" customWidth="1"/>
    <col min="17" max="17" width="15.19921875" style="368" bestFit="1" customWidth="1"/>
    <col min="18" max="18" width="6.19921875" style="368" bestFit="1" customWidth="1"/>
    <col min="19" max="19" width="3.5" style="368" bestFit="1" customWidth="1"/>
    <col min="20" max="20" width="4.09765625" style="368" bestFit="1" customWidth="1"/>
    <col min="21" max="21" width="6.296875" style="368" bestFit="1" customWidth="1"/>
    <col min="22" max="16384" width="13" style="368"/>
  </cols>
  <sheetData>
    <row r="1" spans="1:21" ht="24" thickTop="1" thickBot="1">
      <c r="A1" s="365" t="s">
        <v>171</v>
      </c>
      <c r="B1" s="366"/>
      <c r="C1" s="366"/>
      <c r="D1" s="366"/>
      <c r="E1" s="367"/>
      <c r="F1" s="368"/>
      <c r="G1" s="369"/>
      <c r="H1" s="370" t="s">
        <v>172</v>
      </c>
      <c r="I1" s="371"/>
      <c r="J1" s="371"/>
      <c r="K1" s="372"/>
      <c r="L1" s="371"/>
      <c r="M1" s="371"/>
      <c r="N1" s="371"/>
      <c r="O1" s="372"/>
      <c r="Q1" s="365" t="s">
        <v>353</v>
      </c>
      <c r="R1" s="366"/>
      <c r="S1" s="366"/>
      <c r="T1" s="366"/>
      <c r="U1" s="367"/>
    </row>
    <row r="2" spans="1:21" ht="17.399999999999999" thickTop="1">
      <c r="A2" s="373" t="s">
        <v>173</v>
      </c>
      <c r="B2" s="374" t="s">
        <v>0</v>
      </c>
      <c r="C2" s="374" t="s">
        <v>356</v>
      </c>
      <c r="D2" s="374" t="s">
        <v>174</v>
      </c>
      <c r="E2" s="375" t="s">
        <v>175</v>
      </c>
      <c r="F2" s="376"/>
      <c r="G2" s="369"/>
      <c r="H2" s="377" t="s">
        <v>176</v>
      </c>
      <c r="I2" s="378"/>
      <c r="J2" s="378"/>
      <c r="K2" s="378"/>
      <c r="L2" s="378"/>
      <c r="M2" s="378"/>
      <c r="N2" s="378"/>
      <c r="O2" s="379"/>
      <c r="Q2" s="373" t="s">
        <v>173</v>
      </c>
      <c r="R2" s="374" t="s">
        <v>0</v>
      </c>
      <c r="S2" s="374" t="s">
        <v>356</v>
      </c>
      <c r="T2" s="374" t="s">
        <v>174</v>
      </c>
      <c r="U2" s="375" t="s">
        <v>175</v>
      </c>
    </row>
    <row r="3" spans="1:21" ht="17.399999999999999" thickBot="1">
      <c r="A3" s="380" t="s">
        <v>187</v>
      </c>
      <c r="B3" s="381">
        <v>0</v>
      </c>
      <c r="C3" s="381">
        <v>0</v>
      </c>
      <c r="D3" s="382">
        <f>10+B3+C3+'Personal File'!$C$14</f>
        <v>12</v>
      </c>
      <c r="E3" s="383" t="s">
        <v>178</v>
      </c>
      <c r="F3" s="376"/>
      <c r="G3" s="369"/>
      <c r="H3" s="384" t="s">
        <v>179</v>
      </c>
      <c r="I3" s="385" t="s">
        <v>180</v>
      </c>
      <c r="J3" s="385" t="s">
        <v>181</v>
      </c>
      <c r="K3" s="385" t="s">
        <v>182</v>
      </c>
      <c r="L3" s="385" t="s">
        <v>183</v>
      </c>
      <c r="M3" s="385" t="s">
        <v>184</v>
      </c>
      <c r="N3" s="385" t="s">
        <v>185</v>
      </c>
      <c r="O3" s="386" t="s">
        <v>186</v>
      </c>
      <c r="Q3" s="380" t="s">
        <v>187</v>
      </c>
      <c r="R3" s="381">
        <v>0</v>
      </c>
      <c r="S3" s="381">
        <v>0</v>
      </c>
      <c r="T3" s="382">
        <f>10+R3+S3+'Personal File'!$C$14</f>
        <v>12</v>
      </c>
      <c r="U3" s="383" t="s">
        <v>178</v>
      </c>
    </row>
    <row r="4" spans="1:21" ht="17.399999999999999" thickTop="1">
      <c r="A4" s="380" t="s">
        <v>237</v>
      </c>
      <c r="B4" s="381">
        <v>0</v>
      </c>
      <c r="C4" s="381">
        <v>0</v>
      </c>
      <c r="D4" s="382">
        <f>10+B4+C4+'Personal File'!$C$14</f>
        <v>12</v>
      </c>
      <c r="E4" s="383" t="s">
        <v>178</v>
      </c>
      <c r="F4" s="376"/>
      <c r="G4" s="387" t="s">
        <v>188</v>
      </c>
      <c r="H4" s="388">
        <v>3</v>
      </c>
      <c r="I4" s="389">
        <v>1</v>
      </c>
      <c r="J4" s="433">
        <v>0</v>
      </c>
      <c r="K4" s="433">
        <v>0</v>
      </c>
      <c r="L4" s="433">
        <v>0</v>
      </c>
      <c r="M4" s="433">
        <v>0</v>
      </c>
      <c r="N4" s="433">
        <v>0</v>
      </c>
      <c r="O4" s="390">
        <v>0</v>
      </c>
      <c r="Q4" s="380" t="s">
        <v>237</v>
      </c>
      <c r="R4" s="381">
        <v>0</v>
      </c>
      <c r="S4" s="381">
        <v>0</v>
      </c>
      <c r="T4" s="382">
        <f>10+R4+S4+'Personal File'!$C$14</f>
        <v>12</v>
      </c>
      <c r="U4" s="383" t="s">
        <v>178</v>
      </c>
    </row>
    <row r="5" spans="1:21">
      <c r="A5" s="399" t="s">
        <v>237</v>
      </c>
      <c r="B5" s="400">
        <v>0</v>
      </c>
      <c r="C5" s="400">
        <v>0</v>
      </c>
      <c r="D5" s="401">
        <f>10+B5+C5+'Personal File'!$C$14</f>
        <v>12</v>
      </c>
      <c r="E5" s="402" t="s">
        <v>178</v>
      </c>
      <c r="F5" s="376"/>
      <c r="G5" s="391" t="s">
        <v>190</v>
      </c>
      <c r="H5" s="392">
        <v>0</v>
      </c>
      <c r="I5" s="393">
        <v>1</v>
      </c>
      <c r="J5" s="434">
        <v>1</v>
      </c>
      <c r="K5" s="434">
        <v>0</v>
      </c>
      <c r="L5" s="434">
        <v>0</v>
      </c>
      <c r="M5" s="434">
        <v>0</v>
      </c>
      <c r="N5" s="434">
        <v>0</v>
      </c>
      <c r="O5" s="394">
        <v>0</v>
      </c>
      <c r="Q5" s="399" t="s">
        <v>237</v>
      </c>
      <c r="R5" s="400">
        <v>0</v>
      </c>
      <c r="S5" s="400">
        <v>0</v>
      </c>
      <c r="T5" s="401">
        <f>10+R5+S5+'Personal File'!$C$14</f>
        <v>12</v>
      </c>
      <c r="U5" s="402" t="s">
        <v>178</v>
      </c>
    </row>
    <row r="6" spans="1:21">
      <c r="A6" s="380" t="s">
        <v>272</v>
      </c>
      <c r="B6" s="381">
        <v>1</v>
      </c>
      <c r="C6" s="381">
        <v>0</v>
      </c>
      <c r="D6" s="382">
        <f>10+B6+C6+'Personal File'!$C$14</f>
        <v>13</v>
      </c>
      <c r="E6" s="383" t="s">
        <v>178</v>
      </c>
      <c r="F6" s="376"/>
      <c r="G6" s="391" t="s">
        <v>192</v>
      </c>
      <c r="H6" s="392">
        <v>0</v>
      </c>
      <c r="I6" s="393">
        <v>1</v>
      </c>
      <c r="J6" s="434">
        <v>1</v>
      </c>
      <c r="K6" s="434">
        <v>1</v>
      </c>
      <c r="L6" s="434">
        <v>1</v>
      </c>
      <c r="M6" s="434">
        <v>1</v>
      </c>
      <c r="N6" s="434">
        <v>1</v>
      </c>
      <c r="O6" s="394">
        <v>0</v>
      </c>
      <c r="Q6" s="380" t="s">
        <v>272</v>
      </c>
      <c r="R6" s="381">
        <v>1</v>
      </c>
      <c r="S6" s="381">
        <v>0</v>
      </c>
      <c r="T6" s="382">
        <f>10+R6+S6+'Personal File'!$C$14</f>
        <v>13</v>
      </c>
      <c r="U6" s="383" t="s">
        <v>178</v>
      </c>
    </row>
    <row r="7" spans="1:21" ht="17.399999999999999" thickBot="1">
      <c r="A7" s="380" t="s">
        <v>302</v>
      </c>
      <c r="B7" s="381">
        <v>1</v>
      </c>
      <c r="C7" s="381">
        <v>0</v>
      </c>
      <c r="D7" s="382">
        <f>10+B7+C7+'Personal File'!$C$14</f>
        <v>13</v>
      </c>
      <c r="E7" s="383" t="s">
        <v>178</v>
      </c>
      <c r="F7" s="376"/>
      <c r="G7" s="395" t="s">
        <v>193</v>
      </c>
      <c r="H7" s="396">
        <f t="shared" ref="H7" si="0">SUM(H4:H6)</f>
        <v>3</v>
      </c>
      <c r="I7" s="397">
        <f>SUM(I4:I6)</f>
        <v>3</v>
      </c>
      <c r="J7" s="435">
        <v>0</v>
      </c>
      <c r="K7" s="435">
        <v>0</v>
      </c>
      <c r="L7" s="435">
        <v>0</v>
      </c>
      <c r="M7" s="435">
        <v>0</v>
      </c>
      <c r="N7" s="435">
        <v>0</v>
      </c>
      <c r="O7" s="398">
        <f t="shared" ref="O7" si="1">SUM(O5:O6)</f>
        <v>0</v>
      </c>
      <c r="Q7" s="380" t="s">
        <v>302</v>
      </c>
      <c r="R7" s="381">
        <v>1</v>
      </c>
      <c r="S7" s="381">
        <v>0</v>
      </c>
      <c r="T7" s="382">
        <f>10+R7+S7+'Personal File'!$C$14</f>
        <v>13</v>
      </c>
      <c r="U7" s="383" t="s">
        <v>178</v>
      </c>
    </row>
    <row r="8" spans="1:21" ht="18" thickTop="1" thickBot="1">
      <c r="A8" s="489" t="s">
        <v>197</v>
      </c>
      <c r="B8" s="436">
        <v>1</v>
      </c>
      <c r="C8" s="436">
        <v>0</v>
      </c>
      <c r="D8" s="437">
        <f>10+B8+C8+'Personal File'!$C$14</f>
        <v>13</v>
      </c>
      <c r="E8" s="438" t="s">
        <v>178</v>
      </c>
      <c r="F8" s="376"/>
      <c r="Q8" s="489" t="s">
        <v>197</v>
      </c>
      <c r="R8" s="436">
        <v>1</v>
      </c>
      <c r="S8" s="436">
        <v>0</v>
      </c>
      <c r="T8" s="437">
        <f>10+R8+S8+'Personal File'!$C$14</f>
        <v>13</v>
      </c>
      <c r="U8" s="438" t="s">
        <v>178</v>
      </c>
    </row>
    <row r="9" spans="1:21" ht="23.4" thickTop="1">
      <c r="F9" s="376"/>
      <c r="G9" s="403" t="s">
        <v>196</v>
      </c>
      <c r="H9" s="404"/>
      <c r="I9" s="405"/>
      <c r="K9" s="406"/>
      <c r="Q9" s="432"/>
      <c r="R9" s="432"/>
      <c r="S9" s="432"/>
      <c r="T9" s="432"/>
      <c r="U9" s="424"/>
    </row>
    <row r="10" spans="1:21" ht="17.399999999999999" thickBot="1">
      <c r="F10" s="376"/>
      <c r="G10" s="407"/>
      <c r="H10" s="408" t="s">
        <v>198</v>
      </c>
      <c r="I10" s="409">
        <f>'Personal File'!E4</f>
        <v>1</v>
      </c>
      <c r="Q10" s="432"/>
      <c r="R10" s="432"/>
      <c r="S10" s="432"/>
      <c r="T10" s="432"/>
      <c r="U10" s="424"/>
    </row>
    <row r="11" spans="1:21" ht="17.399999999999999" thickTop="1">
      <c r="F11" s="376"/>
      <c r="G11" s="410"/>
      <c r="H11" s="411" t="s">
        <v>199</v>
      </c>
      <c r="I11" s="412">
        <f t="shared" ref="I11" ca="1" si="2">RANDBETWEEN(1,20)</f>
        <v>2</v>
      </c>
      <c r="Q11" s="432"/>
      <c r="R11" s="432"/>
      <c r="S11" s="432"/>
      <c r="T11" s="432"/>
      <c r="U11" s="424"/>
    </row>
    <row r="12" spans="1:21">
      <c r="F12" s="376"/>
      <c r="G12" s="413"/>
      <c r="H12" s="408" t="s">
        <v>201</v>
      </c>
      <c r="I12" s="414">
        <f ca="1">I11+'Personal File'!C16+'Personal File'!E4+2</f>
        <v>5</v>
      </c>
      <c r="Q12" s="432"/>
      <c r="R12" s="432"/>
      <c r="S12" s="432"/>
      <c r="T12" s="432"/>
      <c r="U12" s="424"/>
    </row>
    <row r="13" spans="1:21">
      <c r="F13" s="376"/>
      <c r="G13" s="415"/>
      <c r="H13" s="416" t="s">
        <v>203</v>
      </c>
      <c r="I13" s="417">
        <f ca="1">RANDBETWEEN(1,6)+RANDBETWEEN(1,6)</f>
        <v>7</v>
      </c>
      <c r="Q13" s="432"/>
      <c r="R13" s="432"/>
      <c r="S13" s="432"/>
      <c r="T13" s="432"/>
      <c r="U13" s="424"/>
    </row>
    <row r="14" spans="1:21" ht="17.399999999999999" thickBot="1">
      <c r="F14" s="376"/>
      <c r="G14" s="418"/>
      <c r="H14" s="419" t="s">
        <v>205</v>
      </c>
      <c r="I14" s="420">
        <f ca="1">I10+'Personal File'!C16+I13+1</f>
        <v>9</v>
      </c>
      <c r="Q14" s="432"/>
      <c r="R14" s="432"/>
      <c r="S14" s="432"/>
      <c r="T14" s="432"/>
      <c r="U14" s="424"/>
    </row>
    <row r="15" spans="1:21">
      <c r="F15" s="376"/>
      <c r="G15" s="421"/>
      <c r="H15" s="422" t="s">
        <v>207</v>
      </c>
      <c r="I15" s="423">
        <f>3+'Personal File'!C16</f>
        <v>3</v>
      </c>
      <c r="Q15" s="432"/>
      <c r="R15" s="432"/>
      <c r="S15" s="432"/>
      <c r="T15" s="432"/>
      <c r="U15" s="424"/>
    </row>
    <row r="16" spans="1:21" ht="17.399999999999999" thickBot="1">
      <c r="G16" s="425"/>
      <c r="H16" s="426" t="s">
        <v>208</v>
      </c>
      <c r="I16" s="427">
        <v>0</v>
      </c>
      <c r="Q16" s="432"/>
      <c r="R16" s="432"/>
      <c r="S16" s="432"/>
      <c r="T16" s="432"/>
      <c r="U16" s="424"/>
    </row>
    <row r="17" spans="7:21" ht="17.399999999999999" thickTop="1">
      <c r="Q17" s="432"/>
      <c r="R17" s="432"/>
      <c r="S17" s="432"/>
      <c r="T17" s="432"/>
      <c r="U17" s="424"/>
    </row>
    <row r="18" spans="7:21">
      <c r="G18" s="424"/>
      <c r="J18" s="428" t="s">
        <v>354</v>
      </c>
      <c r="K18" s="490">
        <v>0</v>
      </c>
      <c r="Q18" s="432"/>
      <c r="R18" s="432"/>
      <c r="S18" s="432"/>
      <c r="T18" s="432"/>
      <c r="U18" s="424"/>
    </row>
    <row r="19" spans="7:21">
      <c r="G19" s="424"/>
      <c r="J19" s="428" t="s">
        <v>355</v>
      </c>
      <c r="K19" s="429">
        <f>'Personal File'!$E$4</f>
        <v>1</v>
      </c>
      <c r="Q19" s="432"/>
      <c r="R19" s="432"/>
      <c r="S19" s="432"/>
      <c r="T19" s="432"/>
      <c r="U19" s="424"/>
    </row>
    <row r="20" spans="7:21">
      <c r="J20" s="428" t="s">
        <v>209</v>
      </c>
      <c r="K20" s="429">
        <f>'Personal File'!$E$4</f>
        <v>1</v>
      </c>
      <c r="Q20" s="432"/>
      <c r="R20" s="432"/>
      <c r="S20" s="432"/>
      <c r="T20" s="432"/>
      <c r="U20" s="424"/>
    </row>
    <row r="21" spans="7:21">
      <c r="Q21" s="432"/>
      <c r="R21" s="432"/>
      <c r="S21" s="432"/>
      <c r="T21" s="432"/>
      <c r="U21" s="424"/>
    </row>
    <row r="22" spans="7:21">
      <c r="Q22" s="432"/>
      <c r="R22" s="432"/>
      <c r="S22" s="432"/>
      <c r="T22" s="432"/>
      <c r="U22" s="424"/>
    </row>
    <row r="23" spans="7:21">
      <c r="Q23" s="432"/>
      <c r="R23" s="432"/>
      <c r="S23" s="432"/>
      <c r="T23" s="432"/>
      <c r="U23" s="424"/>
    </row>
    <row r="24" spans="7:21">
      <c r="Q24" s="432"/>
      <c r="R24" s="432"/>
      <c r="S24" s="432"/>
      <c r="T24" s="432"/>
      <c r="U24" s="424"/>
    </row>
    <row r="25" spans="7:21">
      <c r="Q25" s="432"/>
      <c r="R25" s="432"/>
      <c r="S25" s="432"/>
      <c r="T25" s="432"/>
      <c r="U25" s="424"/>
    </row>
    <row r="26" spans="7:21">
      <c r="Q26" s="432"/>
      <c r="R26" s="432"/>
      <c r="S26" s="432"/>
      <c r="T26" s="432"/>
      <c r="U26" s="424"/>
    </row>
    <row r="27" spans="7:21">
      <c r="Q27" s="432"/>
      <c r="R27" s="432"/>
      <c r="S27" s="432"/>
      <c r="T27" s="432"/>
      <c r="U27" s="424"/>
    </row>
    <row r="28" spans="7:21">
      <c r="Q28" s="432"/>
      <c r="R28" s="432"/>
      <c r="S28" s="432"/>
      <c r="T28" s="432"/>
      <c r="U28" s="424"/>
    </row>
    <row r="29" spans="7:21">
      <c r="Q29" s="432"/>
      <c r="R29" s="432"/>
      <c r="S29" s="432"/>
      <c r="T29" s="432"/>
      <c r="U29" s="424"/>
    </row>
    <row r="30" spans="7:21">
      <c r="Q30" s="432"/>
      <c r="R30" s="432"/>
      <c r="S30" s="432"/>
      <c r="T30" s="432"/>
      <c r="U30" s="424"/>
    </row>
    <row r="31" spans="7:21">
      <c r="Q31" s="432"/>
      <c r="R31" s="432"/>
      <c r="S31" s="432"/>
      <c r="T31" s="432"/>
      <c r="U31" s="424"/>
    </row>
    <row r="32" spans="7:21">
      <c r="Q32" s="432"/>
      <c r="R32" s="432"/>
      <c r="S32" s="432"/>
      <c r="T32" s="432"/>
      <c r="U32" s="424"/>
    </row>
    <row r="33" spans="1:21">
      <c r="Q33" s="432"/>
      <c r="R33" s="432"/>
      <c r="S33" s="432"/>
      <c r="T33" s="432"/>
      <c r="U33" s="424"/>
    </row>
    <row r="34" spans="1:21">
      <c r="Q34" s="432"/>
      <c r="R34" s="432"/>
      <c r="S34" s="432"/>
      <c r="T34" s="432"/>
      <c r="U34" s="424"/>
    </row>
    <row r="35" spans="1:21">
      <c r="Q35" s="432"/>
      <c r="R35" s="432"/>
      <c r="S35" s="432"/>
      <c r="T35" s="432"/>
      <c r="U35" s="424"/>
    </row>
    <row r="36" spans="1:21">
      <c r="Q36" s="432"/>
      <c r="R36" s="432"/>
      <c r="S36" s="432"/>
      <c r="T36" s="432"/>
      <c r="U36" s="424"/>
    </row>
    <row r="37" spans="1:21">
      <c r="Q37" s="432"/>
      <c r="R37" s="432"/>
      <c r="S37" s="432"/>
      <c r="T37" s="432"/>
      <c r="U37" s="424"/>
    </row>
    <row r="38" spans="1:21" s="431" customFormat="1">
      <c r="A38" s="432"/>
      <c r="B38" s="432"/>
      <c r="C38" s="432"/>
      <c r="D38" s="432"/>
      <c r="E38" s="424"/>
      <c r="F38" s="430"/>
      <c r="Q38" s="432"/>
      <c r="R38" s="432"/>
      <c r="S38" s="432"/>
      <c r="T38" s="432"/>
      <c r="U38" s="424"/>
    </row>
  </sheetData>
  <conditionalFormatting sqref="E3:E8">
    <cfRule type="cellIs" dxfId="7" priority="3" operator="equal">
      <formula>"þ"</formula>
    </cfRule>
  </conditionalFormatting>
  <conditionalFormatting sqref="U3:U8">
    <cfRule type="cellIs" dxfId="6" priority="1" operator="equal">
      <formula>"þ"</formula>
    </cfRule>
  </conditionalFormatting>
  <printOptions gridLinesSet="0"/>
  <pageMargins left="0.62" right="0.33" top="0.5" bottom="0.63" header="0.5" footer="0.5"/>
  <pageSetup orientation="portrait" horizontalDpi="120" verticalDpi="144" r:id="rId1"/>
  <headerFooter alignWithMargins="0"/>
  <ignoredErrors>
    <ignoredError sqref="O7" formulaRang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showGridLines="0" workbookViewId="0"/>
  </sheetViews>
  <sheetFormatPr defaultColWidth="13" defaultRowHeight="16.8"/>
  <cols>
    <col min="1" max="1" width="39" style="43" bestFit="1" customWidth="1"/>
    <col min="2" max="2" width="2.69921875" style="43" customWidth="1"/>
    <col min="3" max="3" width="32.296875" style="43" bestFit="1" customWidth="1"/>
    <col min="4" max="16384" width="13" style="43"/>
  </cols>
  <sheetData>
    <row r="1" spans="1:3" ht="24" thickTop="1" thickBot="1">
      <c r="A1" s="59" t="s">
        <v>72</v>
      </c>
      <c r="C1" s="439" t="s">
        <v>163</v>
      </c>
    </row>
    <row r="2" spans="1:3">
      <c r="A2" s="60" t="s">
        <v>130</v>
      </c>
      <c r="C2" s="358" t="s">
        <v>164</v>
      </c>
    </row>
    <row r="3" spans="1:3">
      <c r="A3" s="197" t="s">
        <v>145</v>
      </c>
      <c r="C3" s="359" t="s">
        <v>167</v>
      </c>
    </row>
    <row r="4" spans="1:3">
      <c r="A4" s="61" t="s">
        <v>168</v>
      </c>
      <c r="C4" s="358" t="s">
        <v>165</v>
      </c>
    </row>
    <row r="5" spans="1:3" ht="17.399999999999999" thickBot="1">
      <c r="A5" s="196" t="s">
        <v>362</v>
      </c>
      <c r="C5" s="360" t="str">
        <f>CONCATENATE("Smite Evil 1/day, ",'Personal File'!C15," Att, +",'Personal File'!E3," Dmg")</f>
        <v>Smite Evil 1/day, +1 Att, +2 Dmg</v>
      </c>
    </row>
    <row r="6" spans="1:3" ht="18" thickTop="1" thickBot="1">
      <c r="A6" s="17"/>
      <c r="C6" s="492" t="s">
        <v>371</v>
      </c>
    </row>
    <row r="7" spans="1:3" ht="24" thickTop="1" thickBot="1">
      <c r="A7" s="177" t="s">
        <v>70</v>
      </c>
      <c r="C7" s="196" t="str">
        <f>CONCATENATE("Lay on Hands, ",('Personal File'!E3*'Personal File'!C15)," hps")</f>
        <v>Lay on Hands, 2 hps</v>
      </c>
    </row>
    <row r="8" spans="1:3" ht="17.399999999999999" thickBot="1">
      <c r="A8" s="62" t="s">
        <v>134</v>
      </c>
    </row>
    <row r="9" spans="1:3" ht="24" thickTop="1" thickBot="1">
      <c r="A9" s="63" t="s">
        <v>133</v>
      </c>
      <c r="C9" s="361" t="s">
        <v>210</v>
      </c>
    </row>
    <row r="10" spans="1:3" ht="18" thickTop="1" thickBot="1">
      <c r="A10" s="17"/>
      <c r="C10" s="196" t="s">
        <v>166</v>
      </c>
    </row>
    <row r="11" spans="1:3" ht="24" thickTop="1" thickBot="1">
      <c r="A11" s="178" t="s">
        <v>58</v>
      </c>
    </row>
    <row r="12" spans="1:3" ht="24" thickTop="1" thickBot="1">
      <c r="A12" s="64" t="s">
        <v>131</v>
      </c>
      <c r="C12" s="440" t="s">
        <v>169</v>
      </c>
    </row>
    <row r="13" spans="1:3" ht="17.399999999999999" thickTop="1">
      <c r="C13" s="362" t="s">
        <v>350</v>
      </c>
    </row>
    <row r="14" spans="1:3">
      <c r="C14" s="363" t="s">
        <v>351</v>
      </c>
    </row>
    <row r="15" spans="1:3">
      <c r="C15" s="362" t="s">
        <v>170</v>
      </c>
    </row>
    <row r="16" spans="1:3" ht="17.399999999999999" thickBot="1">
      <c r="C16" s="364" t="s">
        <v>352</v>
      </c>
    </row>
    <row r="17" ht="17.399999999999999" thickTop="1"/>
    <row r="19" s="324" customFormat="1"/>
  </sheetData>
  <sortState xmlns:xlrd2="http://schemas.microsoft.com/office/spreadsheetml/2017/richdata2" ref="C2:C7">
    <sortCondition ref="C2:C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showGridLines="0" workbookViewId="0"/>
  </sheetViews>
  <sheetFormatPr defaultColWidth="13" defaultRowHeight="15.6"/>
  <cols>
    <col min="1" max="1" width="27.09765625" style="66" bestFit="1" customWidth="1"/>
    <col min="2" max="2" width="9.296875" style="66" bestFit="1" customWidth="1"/>
    <col min="3" max="3" width="4.296875" style="66" bestFit="1" customWidth="1"/>
    <col min="4" max="4" width="6.296875" style="66" bestFit="1" customWidth="1"/>
    <col min="5" max="5" width="8.09765625" style="66" bestFit="1" customWidth="1"/>
    <col min="6" max="6" width="9.8984375" style="66" bestFit="1" customWidth="1"/>
    <col min="7" max="7" width="4.3984375" style="66" bestFit="1" customWidth="1"/>
    <col min="8" max="8" width="6.09765625" style="66" bestFit="1" customWidth="1"/>
    <col min="9" max="9" width="5.69921875" style="66" bestFit="1" customWidth="1"/>
    <col min="10" max="10" width="6.296875" style="66" bestFit="1" customWidth="1"/>
    <col min="11" max="11" width="12.796875" style="66" bestFit="1" customWidth="1"/>
    <col min="12" max="12" width="1.3984375" style="7" customWidth="1"/>
    <col min="13" max="13" width="5.796875" style="7" bestFit="1" customWidth="1"/>
    <col min="14" max="16384" width="13" style="7"/>
  </cols>
  <sheetData>
    <row r="1" spans="1:13" ht="23.4" thickBot="1">
      <c r="A1" s="58" t="s">
        <v>15</v>
      </c>
      <c r="B1" s="58"/>
      <c r="C1" s="58"/>
      <c r="D1" s="58"/>
      <c r="E1" s="58"/>
      <c r="F1" s="58"/>
      <c r="G1" s="58"/>
      <c r="H1" s="58"/>
      <c r="I1" s="58"/>
      <c r="J1" s="58"/>
      <c r="K1" s="58"/>
    </row>
    <row r="2" spans="1:13" ht="16.8" thickTop="1" thickBot="1">
      <c r="A2" s="96" t="s">
        <v>1</v>
      </c>
      <c r="B2" s="97" t="s">
        <v>2</v>
      </c>
      <c r="C2" s="97" t="s">
        <v>18</v>
      </c>
      <c r="D2" s="97" t="s">
        <v>19</v>
      </c>
      <c r="E2" s="98" t="s">
        <v>52</v>
      </c>
      <c r="F2" s="97" t="s">
        <v>16</v>
      </c>
      <c r="G2" s="97" t="s">
        <v>20</v>
      </c>
      <c r="H2" s="99" t="s">
        <v>71</v>
      </c>
      <c r="I2" s="100" t="s">
        <v>73</v>
      </c>
      <c r="J2" s="99" t="s">
        <v>64</v>
      </c>
      <c r="K2" s="101" t="s">
        <v>62</v>
      </c>
      <c r="L2" s="147"/>
      <c r="M2" s="129" t="s">
        <v>80</v>
      </c>
    </row>
    <row r="3" spans="1:13">
      <c r="A3" s="71" t="s">
        <v>373</v>
      </c>
      <c r="B3" s="325" t="s">
        <v>372</v>
      </c>
      <c r="C3" s="325">
        <f>'Personal File'!$C$10*1.5</f>
        <v>3</v>
      </c>
      <c r="D3" s="325">
        <v>1</v>
      </c>
      <c r="E3" s="326" t="s">
        <v>82</v>
      </c>
      <c r="F3" s="325" t="s">
        <v>117</v>
      </c>
      <c r="G3" s="327">
        <v>6</v>
      </c>
      <c r="H3" s="325" t="str">
        <f>CONCATENATE("+",'Personal File'!$B$8+'Personal File'!$C$10+D3)</f>
        <v>+5</v>
      </c>
      <c r="I3" s="328">
        <f t="shared" ref="I3:I6" ca="1" si="0">RANDBETWEEN(1,20)</f>
        <v>16</v>
      </c>
      <c r="J3" s="329">
        <f t="shared" ref="J3:J6" ca="1" si="1">I3+H3</f>
        <v>21</v>
      </c>
      <c r="K3" s="330"/>
      <c r="L3" s="147"/>
      <c r="M3" s="152">
        <v>35</v>
      </c>
    </row>
    <row r="4" spans="1:13">
      <c r="A4" s="493" t="s">
        <v>374</v>
      </c>
      <c r="B4" s="494" t="s">
        <v>372</v>
      </c>
      <c r="C4" s="494" t="str">
        <f>'Personal File'!$C$10</f>
        <v>+2</v>
      </c>
      <c r="D4" s="494">
        <v>1</v>
      </c>
      <c r="E4" s="495" t="s">
        <v>82</v>
      </c>
      <c r="F4" s="494" t="s">
        <v>117</v>
      </c>
      <c r="G4" s="496">
        <v>6</v>
      </c>
      <c r="H4" s="494" t="str">
        <f>CONCATENATE("+",'Personal File'!$B$8+'Personal File'!$C$10+D4)</f>
        <v>+5</v>
      </c>
      <c r="I4" s="497">
        <f t="shared" ca="1" si="0"/>
        <v>2</v>
      </c>
      <c r="J4" s="498">
        <f t="shared" ref="J4" ca="1" si="2">I4+H4</f>
        <v>7</v>
      </c>
      <c r="K4" s="499"/>
      <c r="L4" s="147"/>
      <c r="M4" s="152"/>
    </row>
    <row r="5" spans="1:13">
      <c r="A5" s="158" t="s">
        <v>85</v>
      </c>
      <c r="B5" s="132" t="s">
        <v>86</v>
      </c>
      <c r="C5" s="194" t="str">
        <f>'Personal File'!$C$10</f>
        <v>+2</v>
      </c>
      <c r="D5" s="331" t="s">
        <v>50</v>
      </c>
      <c r="E5" s="331" t="s">
        <v>84</v>
      </c>
      <c r="F5" s="92" t="s">
        <v>87</v>
      </c>
      <c r="G5" s="332">
        <v>0</v>
      </c>
      <c r="H5" s="166" t="str">
        <f>CONCATENATE("+",'Personal File'!$B$8+'Personal File'!$C$10+D5)</f>
        <v>+4</v>
      </c>
      <c r="I5" s="146">
        <f t="shared" ca="1" si="0"/>
        <v>12</v>
      </c>
      <c r="J5" s="167">
        <f t="shared" ca="1" si="1"/>
        <v>16</v>
      </c>
      <c r="K5" s="333"/>
      <c r="M5" s="151" t="s">
        <v>83</v>
      </c>
    </row>
    <row r="6" spans="1:13" ht="16.2" thickBot="1">
      <c r="A6" s="162"/>
      <c r="B6" s="163"/>
      <c r="C6" s="163"/>
      <c r="D6" s="163"/>
      <c r="E6" s="164"/>
      <c r="F6" s="163"/>
      <c r="G6" s="165"/>
      <c r="H6" s="163"/>
      <c r="I6" s="116">
        <f t="shared" ca="1" si="0"/>
        <v>11</v>
      </c>
      <c r="J6" s="168">
        <f t="shared" ca="1" si="1"/>
        <v>11</v>
      </c>
      <c r="K6" s="169"/>
      <c r="M6" s="170" t="s">
        <v>83</v>
      </c>
    </row>
    <row r="7" spans="1:13" ht="6" customHeight="1" thickTop="1" thickBot="1"/>
    <row r="8" spans="1:13" ht="16.8" thickTop="1" thickBot="1">
      <c r="A8" s="96" t="s">
        <v>4</v>
      </c>
      <c r="B8" s="97" t="s">
        <v>5</v>
      </c>
      <c r="C8" s="97" t="s">
        <v>18</v>
      </c>
      <c r="D8" s="97" t="s">
        <v>19</v>
      </c>
      <c r="E8" s="98" t="s">
        <v>52</v>
      </c>
      <c r="F8" s="97" t="s">
        <v>6</v>
      </c>
      <c r="G8" s="97" t="s">
        <v>20</v>
      </c>
      <c r="H8" s="99" t="s">
        <v>71</v>
      </c>
      <c r="I8" s="100" t="s">
        <v>73</v>
      </c>
      <c r="J8" s="99" t="s">
        <v>64</v>
      </c>
      <c r="K8" s="101" t="s">
        <v>62</v>
      </c>
      <c r="L8" s="147"/>
      <c r="M8" s="129" t="s">
        <v>80</v>
      </c>
    </row>
    <row r="9" spans="1:13">
      <c r="A9" s="158" t="s">
        <v>357</v>
      </c>
      <c r="B9" s="132" t="s">
        <v>376</v>
      </c>
      <c r="C9" s="491" t="str">
        <f>'Personal File'!$C$10</f>
        <v>+2</v>
      </c>
      <c r="D9" s="159" t="s">
        <v>50</v>
      </c>
      <c r="E9" s="132" t="s">
        <v>135</v>
      </c>
      <c r="F9" s="159" t="s">
        <v>358</v>
      </c>
      <c r="G9" s="160">
        <v>3</v>
      </c>
      <c r="H9" s="134" t="str">
        <f>CONCATENATE("+",'Personal File'!$B$8+'Personal File'!$C$11+D9)</f>
        <v>+3</v>
      </c>
      <c r="I9" s="146">
        <f ca="1">RANDBETWEEN(1,20)</f>
        <v>5</v>
      </c>
      <c r="J9" s="138">
        <f ca="1">I9+H9</f>
        <v>8</v>
      </c>
      <c r="K9" s="161"/>
      <c r="L9" s="147"/>
      <c r="M9" s="150">
        <v>600</v>
      </c>
    </row>
    <row r="10" spans="1:13" ht="16.2" thickBot="1">
      <c r="A10" s="337" t="s">
        <v>91</v>
      </c>
      <c r="B10" s="163" t="s">
        <v>83</v>
      </c>
      <c r="C10" s="163" t="s">
        <v>83</v>
      </c>
      <c r="D10" s="163">
        <v>0</v>
      </c>
      <c r="E10" s="164" t="s">
        <v>83</v>
      </c>
      <c r="F10" s="163" t="s">
        <v>83</v>
      </c>
      <c r="G10" s="163" t="s">
        <v>83</v>
      </c>
      <c r="H10" s="163" t="str">
        <f>CONCATENATE("+",'Personal File'!$B$8+'Personal File'!$C$11+D10)</f>
        <v>+3</v>
      </c>
      <c r="I10" s="116">
        <f ca="1">RANDBETWEEN(1,20)</f>
        <v>13</v>
      </c>
      <c r="J10" s="168">
        <f ca="1">I10+H10</f>
        <v>16</v>
      </c>
      <c r="K10" s="338"/>
      <c r="L10" s="147"/>
      <c r="M10" s="339" t="s">
        <v>83</v>
      </c>
    </row>
    <row r="11" spans="1:13" ht="6" customHeight="1" thickTop="1" thickBot="1">
      <c r="D11" s="102"/>
      <c r="E11" s="102"/>
      <c r="G11" s="95"/>
      <c r="H11" s="95"/>
      <c r="I11" s="95"/>
      <c r="J11" s="95"/>
      <c r="L11" s="147"/>
    </row>
    <row r="12" spans="1:13" ht="16.8" thickTop="1" thickBot="1">
      <c r="A12" s="96" t="s">
        <v>56</v>
      </c>
      <c r="B12" s="97" t="s">
        <v>9</v>
      </c>
      <c r="C12" s="97" t="s">
        <v>23</v>
      </c>
      <c r="D12" s="97" t="s">
        <v>64</v>
      </c>
      <c r="E12" s="97" t="s">
        <v>65</v>
      </c>
      <c r="F12" s="97" t="s">
        <v>66</v>
      </c>
      <c r="G12" s="97" t="s">
        <v>20</v>
      </c>
      <c r="H12" s="103" t="s">
        <v>62</v>
      </c>
      <c r="I12" s="104"/>
      <c r="J12" s="104"/>
      <c r="K12" s="105"/>
      <c r="L12" s="147"/>
      <c r="M12" s="129" t="s">
        <v>80</v>
      </c>
    </row>
    <row r="13" spans="1:13">
      <c r="A13" s="71" t="s">
        <v>365</v>
      </c>
      <c r="B13" s="119">
        <v>8</v>
      </c>
      <c r="C13" s="118">
        <v>1</v>
      </c>
      <c r="D13" s="119">
        <v>-5</v>
      </c>
      <c r="E13" s="120">
        <v>0.35</v>
      </c>
      <c r="F13" s="118" t="s">
        <v>143</v>
      </c>
      <c r="G13" s="121">
        <v>50</v>
      </c>
      <c r="H13" s="122" t="s">
        <v>138</v>
      </c>
      <c r="I13" s="106"/>
      <c r="J13" s="106"/>
      <c r="K13" s="107"/>
      <c r="M13" s="150">
        <v>1800</v>
      </c>
    </row>
    <row r="14" spans="1:13">
      <c r="A14" s="136" t="s">
        <v>139</v>
      </c>
      <c r="B14" s="171">
        <v>1</v>
      </c>
      <c r="C14" s="171" t="s">
        <v>83</v>
      </c>
      <c r="D14" s="137" t="s">
        <v>83</v>
      </c>
      <c r="E14" s="173" t="s">
        <v>83</v>
      </c>
      <c r="F14" s="137" t="s">
        <v>83</v>
      </c>
      <c r="G14" s="134">
        <v>5</v>
      </c>
      <c r="H14" s="133" t="s">
        <v>138</v>
      </c>
      <c r="I14" s="131"/>
      <c r="J14" s="131"/>
      <c r="K14" s="175"/>
      <c r="M14" s="152">
        <v>15</v>
      </c>
    </row>
    <row r="15" spans="1:13" ht="16.2" thickBot="1">
      <c r="A15" s="84"/>
      <c r="B15" s="115"/>
      <c r="C15" s="172"/>
      <c r="D15" s="115"/>
      <c r="E15" s="174"/>
      <c r="F15" s="172"/>
      <c r="G15" s="117"/>
      <c r="H15" s="123"/>
      <c r="I15" s="108"/>
      <c r="J15" s="108"/>
      <c r="K15" s="176"/>
      <c r="M15" s="153"/>
    </row>
    <row r="16" spans="1:13" ht="6.75" customHeight="1" thickTop="1" thickBot="1"/>
    <row r="17" spans="4:13" ht="16.8" thickTop="1" thickBot="1">
      <c r="D17" s="109" t="s">
        <v>57</v>
      </c>
      <c r="E17" s="110"/>
      <c r="F17" s="103" t="s">
        <v>3</v>
      </c>
      <c r="G17" s="97" t="s">
        <v>20</v>
      </c>
      <c r="H17" s="99" t="s">
        <v>71</v>
      </c>
      <c r="I17" s="103" t="s">
        <v>62</v>
      </c>
      <c r="J17" s="104"/>
      <c r="K17" s="105"/>
      <c r="M17" s="129" t="s">
        <v>80</v>
      </c>
    </row>
    <row r="18" spans="4:13" ht="16.2" thickBot="1">
      <c r="D18" s="111" t="s">
        <v>137</v>
      </c>
      <c r="E18" s="124"/>
      <c r="F18" s="125">
        <v>19</v>
      </c>
      <c r="G18" s="126">
        <f>F18/20</f>
        <v>0.95</v>
      </c>
      <c r="H18" s="127" t="s">
        <v>79</v>
      </c>
      <c r="I18" s="128"/>
      <c r="J18" s="112"/>
      <c r="K18" s="113"/>
      <c r="M18" s="336">
        <f>F18/20</f>
        <v>0.95</v>
      </c>
    </row>
    <row r="19" spans="4:13" ht="16.8" thickTop="1" thickBot="1"/>
    <row r="20" spans="4:13" ht="16.8" thickTop="1" thickBot="1">
      <c r="D20" s="109" t="s">
        <v>93</v>
      </c>
      <c r="E20" s="104"/>
      <c r="F20" s="104"/>
      <c r="G20" s="104"/>
      <c r="H20" s="179" t="s">
        <v>3</v>
      </c>
      <c r="I20" s="179" t="s">
        <v>0</v>
      </c>
      <c r="J20" s="179" t="s">
        <v>94</v>
      </c>
      <c r="K20" s="105" t="s">
        <v>62</v>
      </c>
      <c r="L20" s="147"/>
      <c r="M20" s="180" t="s">
        <v>80</v>
      </c>
    </row>
    <row r="21" spans="4:13">
      <c r="D21" s="182"/>
      <c r="E21" s="183"/>
      <c r="F21" s="183"/>
      <c r="G21" s="184"/>
      <c r="H21" s="185"/>
      <c r="I21" s="137"/>
      <c r="J21" s="137"/>
      <c r="K21" s="186"/>
      <c r="L21" s="147"/>
      <c r="M21" s="181"/>
    </row>
    <row r="22" spans="4:13" ht="16.2" thickBot="1">
      <c r="D22" s="187"/>
      <c r="E22" s="188"/>
      <c r="F22" s="188"/>
      <c r="G22" s="189"/>
      <c r="H22" s="190"/>
      <c r="I22" s="191"/>
      <c r="J22" s="191"/>
      <c r="K22" s="192"/>
      <c r="L22" s="147"/>
      <c r="M22" s="193"/>
    </row>
    <row r="23" spans="4:13" ht="16.2" thickTop="1"/>
  </sheetData>
  <sortState xmlns:xlrd2="http://schemas.microsoft.com/office/spreadsheetml/2017/richdata2" ref="A2:M3">
    <sortCondition ref="A3"/>
  </sortState>
  <phoneticPr fontId="0" type="noConversion"/>
  <conditionalFormatting sqref="I5:I6 I9:I10">
    <cfRule type="cellIs" dxfId="5" priority="22" operator="equal">
      <formula>20</formula>
    </cfRule>
  </conditionalFormatting>
  <conditionalFormatting sqref="I6 I9">
    <cfRule type="cellIs" dxfId="4" priority="21" operator="equal">
      <formula>19</formula>
    </cfRule>
  </conditionalFormatting>
  <conditionalFormatting sqref="I3:I4">
    <cfRule type="cellIs" dxfId="3" priority="19" operator="equal">
      <formula>20</formula>
    </cfRule>
  </conditionalFormatting>
  <conditionalFormatting sqref="I9:I10 I3:I6">
    <cfRule type="cellIs" dxfId="2" priority="1"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showGridLines="0" workbookViewId="0"/>
  </sheetViews>
  <sheetFormatPr defaultColWidth="7.8984375" defaultRowHeight="15.6"/>
  <cols>
    <col min="1" max="1" width="28.796875" style="66" bestFit="1" customWidth="1"/>
    <col min="2" max="2" width="4.69921875" style="66" bestFit="1" customWidth="1"/>
    <col min="3" max="3" width="5.3984375" style="95" bestFit="1" customWidth="1"/>
    <col min="4" max="5" width="18.09765625" style="7" customWidth="1"/>
    <col min="6" max="6" width="1.19921875" style="66" customWidth="1"/>
    <col min="7" max="7" width="7.296875" style="7" bestFit="1" customWidth="1"/>
    <col min="8" max="16384" width="7.8984375" style="7"/>
  </cols>
  <sheetData>
    <row r="1" spans="1:7" ht="23.4" thickBot="1">
      <c r="A1" s="58" t="s">
        <v>59</v>
      </c>
      <c r="B1" s="58"/>
      <c r="C1" s="65"/>
      <c r="D1" s="58"/>
      <c r="E1" s="58"/>
    </row>
    <row r="2" spans="1:7" s="66" customFormat="1" ht="16.8" thickTop="1" thickBot="1">
      <c r="A2" s="67" t="s">
        <v>60</v>
      </c>
      <c r="B2" s="67" t="s">
        <v>3</v>
      </c>
      <c r="C2" s="68" t="s">
        <v>20</v>
      </c>
      <c r="D2" s="69" t="s">
        <v>61</v>
      </c>
      <c r="E2" s="70" t="s">
        <v>62</v>
      </c>
      <c r="F2" s="74"/>
      <c r="G2" s="130" t="s">
        <v>80</v>
      </c>
    </row>
    <row r="3" spans="1:7">
      <c r="A3" s="71" t="s">
        <v>120</v>
      </c>
      <c r="B3" s="91">
        <v>1</v>
      </c>
      <c r="C3" s="144">
        <v>2</v>
      </c>
      <c r="D3" s="72"/>
      <c r="E3" s="73"/>
      <c r="G3" s="139">
        <v>2</v>
      </c>
    </row>
    <row r="4" spans="1:7">
      <c r="A4" s="79" t="s">
        <v>142</v>
      </c>
      <c r="B4" s="80">
        <v>1</v>
      </c>
      <c r="C4" s="81" t="s">
        <v>360</v>
      </c>
      <c r="D4" s="82"/>
      <c r="E4" s="83"/>
      <c r="G4" s="139" t="s">
        <v>361</v>
      </c>
    </row>
    <row r="5" spans="1:7">
      <c r="A5" s="79" t="s">
        <v>359</v>
      </c>
      <c r="B5" s="80">
        <v>1</v>
      </c>
      <c r="C5" s="81">
        <v>0.5</v>
      </c>
      <c r="D5" s="82"/>
      <c r="E5" s="83"/>
      <c r="G5" s="139">
        <v>1</v>
      </c>
    </row>
    <row r="6" spans="1:7" ht="16.2" thickBot="1">
      <c r="A6" s="84" t="s">
        <v>119</v>
      </c>
      <c r="B6" s="157">
        <v>1</v>
      </c>
      <c r="C6" s="86">
        <v>1</v>
      </c>
      <c r="D6" s="87"/>
      <c r="E6" s="88"/>
      <c r="G6" s="140">
        <v>25</v>
      </c>
    </row>
    <row r="7" spans="1:7" ht="24" thickTop="1" thickBot="1">
      <c r="A7" s="58" t="s">
        <v>63</v>
      </c>
      <c r="B7" s="58"/>
      <c r="C7" s="89"/>
      <c r="D7" s="58"/>
      <c r="E7" s="90"/>
      <c r="G7" s="141"/>
    </row>
    <row r="8" spans="1:7" ht="16.8" thickTop="1" thickBot="1">
      <c r="A8" s="67" t="s">
        <v>60</v>
      </c>
      <c r="B8" s="67" t="s">
        <v>3</v>
      </c>
      <c r="C8" s="68" t="s">
        <v>20</v>
      </c>
      <c r="D8" s="69" t="s">
        <v>61</v>
      </c>
      <c r="E8" s="70" t="s">
        <v>62</v>
      </c>
      <c r="F8" s="74"/>
      <c r="G8" s="142" t="s">
        <v>80</v>
      </c>
    </row>
    <row r="9" spans="1:7">
      <c r="A9" s="75" t="s">
        <v>121</v>
      </c>
      <c r="B9" s="204"/>
      <c r="C9" s="93">
        <f>B9*0.01</f>
        <v>0</v>
      </c>
      <c r="D9" s="77"/>
      <c r="E9" s="78"/>
      <c r="F9" s="74"/>
      <c r="G9" s="139">
        <f>B9</f>
        <v>0</v>
      </c>
    </row>
    <row r="10" spans="1:7">
      <c r="A10" s="203" t="s">
        <v>122</v>
      </c>
      <c r="B10" s="204">
        <v>1</v>
      </c>
      <c r="C10" s="205">
        <v>5</v>
      </c>
      <c r="D10" s="206"/>
      <c r="E10" s="207"/>
      <c r="F10" s="74"/>
      <c r="G10" s="340">
        <v>0.25</v>
      </c>
    </row>
    <row r="11" spans="1:7">
      <c r="A11" s="208" t="s">
        <v>123</v>
      </c>
      <c r="B11" s="209">
        <v>1</v>
      </c>
      <c r="C11" s="205">
        <f>B11*4</f>
        <v>4</v>
      </c>
      <c r="D11" s="210"/>
      <c r="E11" s="145"/>
      <c r="F11"/>
      <c r="G11" s="211">
        <v>1</v>
      </c>
    </row>
    <row r="12" spans="1:7">
      <c r="A12" s="208" t="s">
        <v>366</v>
      </c>
      <c r="B12" s="209">
        <v>1</v>
      </c>
      <c r="C12" s="205">
        <v>0</v>
      </c>
      <c r="D12" s="210"/>
      <c r="E12" s="145"/>
      <c r="F12"/>
      <c r="G12" s="139">
        <v>1</v>
      </c>
    </row>
    <row r="13" spans="1:7">
      <c r="A13" s="208" t="s">
        <v>140</v>
      </c>
      <c r="B13" s="209">
        <v>1</v>
      </c>
      <c r="C13" s="205">
        <v>1</v>
      </c>
      <c r="D13" s="210"/>
      <c r="E13" s="145"/>
      <c r="F13"/>
      <c r="G13" s="340">
        <v>0.02</v>
      </c>
    </row>
    <row r="14" spans="1:7">
      <c r="A14" s="208" t="s">
        <v>369</v>
      </c>
      <c r="B14" s="209">
        <v>7</v>
      </c>
      <c r="C14" s="205">
        <f>B14</f>
        <v>7</v>
      </c>
      <c r="D14" s="210"/>
      <c r="E14" s="145"/>
      <c r="F14"/>
      <c r="G14" s="340">
        <f>B14*0.05</f>
        <v>0.35000000000000003</v>
      </c>
    </row>
    <row r="15" spans="1:7">
      <c r="A15" s="208" t="s">
        <v>367</v>
      </c>
      <c r="B15" s="209">
        <v>1</v>
      </c>
      <c r="C15" s="205">
        <v>1</v>
      </c>
      <c r="D15" s="210"/>
      <c r="E15" s="145"/>
      <c r="F15"/>
      <c r="G15" s="139">
        <v>110</v>
      </c>
    </row>
    <row r="16" spans="1:7">
      <c r="A16" s="208" t="s">
        <v>368</v>
      </c>
      <c r="B16" s="209">
        <v>1</v>
      </c>
      <c r="C16" s="205">
        <v>6</v>
      </c>
      <c r="D16" s="210"/>
      <c r="E16" s="145"/>
      <c r="F16"/>
      <c r="G16" s="139">
        <v>5</v>
      </c>
    </row>
    <row r="17" spans="1:7">
      <c r="A17" s="208" t="s">
        <v>122</v>
      </c>
      <c r="B17" s="209">
        <v>1</v>
      </c>
      <c r="C17" s="205">
        <v>5</v>
      </c>
      <c r="D17" s="210"/>
      <c r="E17" s="145"/>
      <c r="F17"/>
      <c r="G17" s="340">
        <v>0.05</v>
      </c>
    </row>
    <row r="18" spans="1:7">
      <c r="A18" s="208" t="s">
        <v>124</v>
      </c>
      <c r="B18" s="209">
        <v>1</v>
      </c>
      <c r="C18" s="76">
        <v>0</v>
      </c>
      <c r="D18" s="210"/>
      <c r="E18" s="145"/>
      <c r="F18"/>
      <c r="G18" s="211">
        <v>1</v>
      </c>
    </row>
    <row r="19" spans="1:7">
      <c r="A19" s="208" t="s">
        <v>140</v>
      </c>
      <c r="B19" s="209">
        <v>1</v>
      </c>
      <c r="C19" s="76">
        <v>1</v>
      </c>
      <c r="D19" s="210"/>
      <c r="E19" s="145"/>
      <c r="F19"/>
      <c r="G19" s="341">
        <v>0.02</v>
      </c>
    </row>
    <row r="20" spans="1:7" ht="16.2" thickBot="1">
      <c r="A20" s="84" t="s">
        <v>141</v>
      </c>
      <c r="B20" s="85">
        <v>6</v>
      </c>
      <c r="C20" s="94">
        <f>B20</f>
        <v>6</v>
      </c>
      <c r="D20" s="87"/>
      <c r="E20" s="88"/>
      <c r="F20" s="74"/>
      <c r="G20" s="140">
        <f>B20</f>
        <v>6</v>
      </c>
    </row>
    <row r="21" spans="1:7" ht="16.2" thickTop="1">
      <c r="G21" s="143"/>
    </row>
    <row r="22" spans="1:7">
      <c r="E22" s="48" t="s">
        <v>81</v>
      </c>
      <c r="G22" s="148">
        <f>SUM(G3:G21,Martial!M3:M22)</f>
        <v>2603.64</v>
      </c>
    </row>
  </sheetData>
  <sortState xmlns:xlrd2="http://schemas.microsoft.com/office/spreadsheetml/2017/richdata2" ref="A7:G19">
    <sortCondition ref="A7:A19"/>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34FD-F9B1-44D6-8C76-25DA4B5E5990}">
  <dimension ref="A1:C17"/>
  <sheetViews>
    <sheetView showGridLines="0" workbookViewId="0"/>
  </sheetViews>
  <sheetFormatPr defaultColWidth="9" defaultRowHeight="15.6"/>
  <cols>
    <col min="1" max="1" width="62.796875" style="12" bestFit="1" customWidth="1"/>
    <col min="2" max="2" width="9.5" style="356" customWidth="1"/>
    <col min="3" max="3" width="6.3984375" style="12" customWidth="1"/>
    <col min="4" max="16384" width="9" style="12"/>
  </cols>
  <sheetData>
    <row r="1" spans="1:3">
      <c r="A1" s="344" t="s">
        <v>147</v>
      </c>
      <c r="B1" s="345" t="str">
        <f>'Personal File'!A1</f>
        <v>Laryssa</v>
      </c>
      <c r="C1" s="346" t="s">
        <v>148</v>
      </c>
    </row>
    <row r="2" spans="1:3">
      <c r="A2" s="347" t="s">
        <v>156</v>
      </c>
      <c r="B2" s="348" t="s">
        <v>149</v>
      </c>
      <c r="C2" s="349">
        <v>0.2</v>
      </c>
    </row>
    <row r="3" spans="1:3">
      <c r="A3" s="347" t="s">
        <v>157</v>
      </c>
      <c r="B3" s="348" t="s">
        <v>161</v>
      </c>
      <c r="C3" s="349">
        <v>0.16</v>
      </c>
    </row>
    <row r="4" spans="1:3">
      <c r="A4" s="347" t="s">
        <v>158</v>
      </c>
      <c r="B4" s="348" t="s">
        <v>149</v>
      </c>
      <c r="C4" s="349">
        <v>0.2</v>
      </c>
    </row>
    <row r="5" spans="1:3">
      <c r="A5" s="347" t="s">
        <v>159</v>
      </c>
      <c r="B5" s="348" t="s">
        <v>149</v>
      </c>
      <c r="C5" s="349">
        <v>0.2</v>
      </c>
    </row>
    <row r="6" spans="1:3">
      <c r="A6" s="347" t="s">
        <v>160</v>
      </c>
      <c r="B6" s="348" t="s">
        <v>161</v>
      </c>
      <c r="C6" s="349">
        <v>0.16</v>
      </c>
    </row>
    <row r="7" spans="1:3">
      <c r="A7" s="344" t="s">
        <v>51</v>
      </c>
      <c r="B7" s="345"/>
      <c r="C7" s="346">
        <f>SUM(C2:C6)</f>
        <v>0.92</v>
      </c>
    </row>
    <row r="8" spans="1:3">
      <c r="A8" s="344"/>
      <c r="B8" s="345"/>
      <c r="C8" s="346"/>
    </row>
    <row r="9" spans="1:3">
      <c r="A9" s="344" t="s">
        <v>150</v>
      </c>
      <c r="B9" s="350">
        <v>0</v>
      </c>
      <c r="C9" s="351"/>
    </row>
    <row r="10" spans="1:3">
      <c r="A10" s="344" t="s">
        <v>151</v>
      </c>
      <c r="B10" s="350"/>
      <c r="C10" s="351"/>
    </row>
    <row r="11" spans="1:3">
      <c r="A11" s="344" t="s">
        <v>152</v>
      </c>
      <c r="B11" s="350">
        <f>IF(B9=0,B10*C7,(B10*C7*(1-(B9/4))))</f>
        <v>0</v>
      </c>
      <c r="C11" s="351"/>
    </row>
    <row r="12" spans="1:3">
      <c r="A12" s="344" t="s">
        <v>153</v>
      </c>
      <c r="B12" s="352">
        <v>0</v>
      </c>
      <c r="C12" s="353"/>
    </row>
    <row r="13" spans="1:3">
      <c r="A13" s="344" t="s">
        <v>51</v>
      </c>
      <c r="B13" s="354">
        <f>SUM(B11:B12)</f>
        <v>0</v>
      </c>
      <c r="C13" s="351"/>
    </row>
    <row r="14" spans="1:3">
      <c r="A14" s="344" t="s">
        <v>154</v>
      </c>
      <c r="B14" s="350">
        <v>0</v>
      </c>
      <c r="C14" s="351"/>
    </row>
    <row r="15" spans="1:3">
      <c r="A15" s="344" t="s">
        <v>155</v>
      </c>
      <c r="B15" s="354">
        <f>SUM(B13:B14)</f>
        <v>0</v>
      </c>
      <c r="C15" s="351"/>
    </row>
    <row r="17" spans="1:1">
      <c r="A17" s="355"/>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Mayaheine</vt:lpstr>
      <vt:lpstr>Spells</vt:lpstr>
      <vt:lpstr>Feats</vt:lpstr>
      <vt:lpstr>Martial</vt:lpstr>
      <vt:lpstr>Equipment</vt:lpstr>
      <vt:lpstr>XP Awards</vt:lpstr>
      <vt:lpstr>Mayaheine!Print_Area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2020-07-05T14:03:43Z</dcterms:modified>
</cp:coreProperties>
</file>