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C:\A\Jue\FoL\PCs\"/>
    </mc:Choice>
  </mc:AlternateContent>
  <xr:revisionPtr revIDLastSave="0" documentId="13_ncr:1_{410F26EC-1305-4BED-8DAB-33E61F95D869}"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ayaheine" sheetId="29" r:id="rId3"/>
    <sheet name="Spells" sheetId="28" r:id="rId4"/>
    <sheet name="Feats" sheetId="26" r:id="rId5"/>
    <sheet name="Martial" sheetId="6" r:id="rId6"/>
    <sheet name="Equipment" sheetId="19" r:id="rId7"/>
    <sheet name="XP Awards"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Mayaheine!$A$1:$I$37</definedName>
    <definedName name="_xlnm.Print_Area" localSheetId="0">'Personal File'!$A$1:$H$29</definedName>
    <definedName name="_xlnm.Print_Area" localSheetId="1">Skills!$A$1:$K$27</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 i="6" l="1"/>
  <c r="F39" i="15" l="1"/>
  <c r="B16" i="6" l="1"/>
  <c r="B5" i="15" l="1"/>
  <c r="B3" i="15"/>
  <c r="B8" i="4"/>
  <c r="I7" i="6" l="1"/>
  <c r="C7" i="6"/>
  <c r="D4" i="6" l="1"/>
  <c r="D3" i="6"/>
  <c r="B4" i="15" l="1"/>
  <c r="H30" i="15" l="1"/>
  <c r="J7" i="28" l="1"/>
  <c r="I4" i="6" l="1"/>
  <c r="G15" i="19" l="1"/>
  <c r="C15" i="19"/>
  <c r="H35" i="15" l="1"/>
  <c r="H34" i="15"/>
  <c r="H33" i="15"/>
  <c r="H32" i="15"/>
  <c r="H31" i="15"/>
  <c r="H29" i="15"/>
  <c r="H28" i="15"/>
  <c r="H27" i="15"/>
  <c r="H26" i="15"/>
  <c r="H25" i="15"/>
  <c r="H24" i="15"/>
  <c r="H23" i="15"/>
  <c r="H22" i="15"/>
  <c r="H21" i="15"/>
  <c r="H20" i="15"/>
  <c r="H19" i="15"/>
  <c r="H11" i="15"/>
  <c r="K20" i="28"/>
  <c r="K19" i="28"/>
  <c r="I10" i="28"/>
  <c r="I13" i="28"/>
  <c r="I11" i="28"/>
  <c r="O7" i="28"/>
  <c r="I7" i="28"/>
  <c r="H7" i="28"/>
  <c r="C7" i="27" l="1"/>
  <c r="B11" i="27" s="1"/>
  <c r="B13" i="27" s="1"/>
  <c r="B15" i="27" s="1"/>
  <c r="B1" i="27" l="1"/>
  <c r="C12" i="19" l="1"/>
  <c r="G21" i="19"/>
  <c r="C21" i="19"/>
  <c r="M20" i="6"/>
  <c r="G20" i="6"/>
  <c r="F26" i="15" l="1"/>
  <c r="F33" i="15"/>
  <c r="F23" i="15"/>
  <c r="F21" i="15"/>
  <c r="F16" i="15"/>
  <c r="F9" i="15"/>
  <c r="F7" i="15"/>
  <c r="H40" i="15" l="1"/>
  <c r="H39" i="15"/>
  <c r="H38" i="15"/>
  <c r="H37" i="15"/>
  <c r="H36" i="15"/>
  <c r="H18" i="15"/>
  <c r="H17" i="15"/>
  <c r="H16" i="15"/>
  <c r="H15" i="15"/>
  <c r="H14" i="15"/>
  <c r="H13" i="15"/>
  <c r="H12" i="15"/>
  <c r="H10" i="15"/>
  <c r="H9" i="15"/>
  <c r="H8" i="15"/>
  <c r="I3" i="6" l="1"/>
  <c r="H7" i="15" l="1"/>
  <c r="E49" i="15" l="1"/>
  <c r="H3" i="15" l="1"/>
  <c r="H4" i="15"/>
  <c r="H5" i="15"/>
  <c r="I10" i="6" l="1"/>
  <c r="I11" i="6" l="1"/>
  <c r="I6" i="6" l="1"/>
  <c r="B42" i="15" l="1"/>
  <c r="C15" i="4" l="1"/>
  <c r="C14" i="4"/>
  <c r="C13" i="4"/>
  <c r="C12" i="4"/>
  <c r="E12" i="4" s="1"/>
  <c r="C11" i="4"/>
  <c r="C10" i="4"/>
  <c r="F5" i="15" l="1"/>
  <c r="F3" i="15"/>
  <c r="F4" i="15"/>
  <c r="I15" i="28"/>
  <c r="I12" i="28"/>
  <c r="I14" i="28"/>
  <c r="C4" i="6"/>
  <c r="C3" i="6"/>
  <c r="E48" i="15"/>
  <c r="E47" i="15"/>
  <c r="T16" i="28"/>
  <c r="T8" i="28"/>
  <c r="D14" i="28"/>
  <c r="T15" i="28"/>
  <c r="T7" i="28"/>
  <c r="T14" i="28"/>
  <c r="T6" i="28"/>
  <c r="T13" i="28"/>
  <c r="T5" i="28"/>
  <c r="T12" i="28"/>
  <c r="T4" i="28"/>
  <c r="D12" i="28"/>
  <c r="T11" i="28"/>
  <c r="T3" i="28"/>
  <c r="T10" i="28"/>
  <c r="D7" i="28"/>
  <c r="T9" i="28"/>
  <c r="H7" i="6"/>
  <c r="J7" i="6" s="1"/>
  <c r="H4" i="6"/>
  <c r="J4" i="6" s="1"/>
  <c r="C10" i="6"/>
  <c r="C6" i="6"/>
  <c r="E46" i="15"/>
  <c r="E45" i="15"/>
  <c r="E44" i="15"/>
  <c r="E43" i="15"/>
  <c r="D4" i="28"/>
  <c r="D13" i="28"/>
  <c r="D8" i="28"/>
  <c r="D16" i="28"/>
  <c r="D11" i="28"/>
  <c r="C7" i="26"/>
  <c r="C5" i="26"/>
  <c r="D6" i="28"/>
  <c r="D5" i="28"/>
  <c r="D3" i="28"/>
  <c r="D10" i="28"/>
  <c r="D15" i="28"/>
  <c r="D9" i="28"/>
  <c r="E13" i="4"/>
  <c r="E15" i="4" s="1"/>
  <c r="E14" i="4" s="1"/>
  <c r="H6" i="6"/>
  <c r="J6" i="6" s="1"/>
  <c r="H3" i="6"/>
  <c r="J3" i="6" s="1"/>
  <c r="D3" i="15"/>
  <c r="D10" i="15"/>
  <c r="E10" i="15" s="1"/>
  <c r="D4" i="15"/>
  <c r="D21" i="15"/>
  <c r="E21" i="15" s="1"/>
  <c r="D33" i="15"/>
  <c r="E33" i="15" s="1"/>
  <c r="D7" i="15"/>
  <c r="E7" i="15" s="1"/>
  <c r="D26" i="15"/>
  <c r="E26" i="15" s="1"/>
  <c r="D39" i="15"/>
  <c r="E39" i="15" s="1"/>
  <c r="D27" i="15"/>
  <c r="E27" i="15" s="1"/>
  <c r="D41" i="15"/>
  <c r="E41" i="15" s="1"/>
  <c r="D16" i="15"/>
  <c r="E16" i="15" s="1"/>
  <c r="D30" i="15"/>
  <c r="E30" i="15" s="1"/>
  <c r="D8" i="15"/>
  <c r="E8" i="15" s="1"/>
  <c r="D22" i="15"/>
  <c r="E22" i="15" s="1"/>
  <c r="D18" i="15"/>
  <c r="E18" i="15" s="1"/>
  <c r="D15" i="15"/>
  <c r="E15" i="15" s="1"/>
  <c r="D13" i="15"/>
  <c r="E13" i="15" s="1"/>
  <c r="D19" i="15"/>
  <c r="E19" i="15" s="1"/>
  <c r="D28" i="15"/>
  <c r="E28" i="15" s="1"/>
  <c r="D40" i="15"/>
  <c r="E40" i="15" s="1"/>
  <c r="D32" i="15"/>
  <c r="E32" i="15" s="1"/>
  <c r="D5" i="15"/>
  <c r="D29" i="15"/>
  <c r="E29" i="15" s="1"/>
  <c r="D20" i="15"/>
  <c r="E20" i="15" s="1"/>
  <c r="D37" i="15"/>
  <c r="E37" i="15" s="1"/>
  <c r="D25" i="15"/>
  <c r="E25" i="15" s="1"/>
  <c r="D36" i="15"/>
  <c r="E36" i="15" s="1"/>
  <c r="D23" i="15"/>
  <c r="E23" i="15" s="1"/>
  <c r="D38" i="15"/>
  <c r="E38" i="15" s="1"/>
  <c r="D9" i="15"/>
  <c r="E9" i="15" s="1"/>
  <c r="D6" i="15"/>
  <c r="E6" i="15" s="1"/>
  <c r="D14" i="15"/>
  <c r="E14" i="15" s="1"/>
  <c r="D24" i="15"/>
  <c r="E24" i="15" s="1"/>
  <c r="D11" i="15"/>
  <c r="E11" i="15" s="1"/>
  <c r="D17" i="15"/>
  <c r="E17" i="15" s="1"/>
  <c r="D35" i="15"/>
  <c r="E35" i="15" s="1"/>
  <c r="D12" i="15"/>
  <c r="E12" i="15" s="1"/>
  <c r="D34" i="15"/>
  <c r="E34" i="15" s="1"/>
  <c r="D31" i="15"/>
  <c r="E31" i="15" s="1"/>
  <c r="H10" i="6"/>
  <c r="J10" i="6" s="1"/>
  <c r="H11" i="6"/>
  <c r="J11" i="6" s="1"/>
  <c r="B9" i="4"/>
  <c r="H41" i="15"/>
  <c r="H6" i="15"/>
  <c r="E3" i="15" l="1"/>
  <c r="G3" i="15"/>
  <c r="I3" i="15" s="1"/>
  <c r="E4" i="15"/>
  <c r="G4" i="15"/>
  <c r="I4" i="15" s="1"/>
  <c r="E42" i="15"/>
  <c r="E5" i="15"/>
  <c r="G5" i="15"/>
  <c r="I5" i="15" s="1"/>
  <c r="G24" i="15"/>
  <c r="I24" i="15" s="1"/>
  <c r="G29" i="15" l="1"/>
  <c r="G8" i="15" l="1"/>
  <c r="G6" i="15"/>
  <c r="I6" i="15" s="1"/>
  <c r="G10" i="15"/>
  <c r="G16" i="15"/>
  <c r="G21" i="15"/>
  <c r="G26" i="15"/>
  <c r="I26" i="15" s="1"/>
  <c r="G41" i="15"/>
  <c r="G27" i="15"/>
  <c r="I27" i="15" s="1"/>
  <c r="G36" i="15"/>
  <c r="G19" i="15"/>
  <c r="G7" i="15"/>
  <c r="G17" i="15"/>
  <c r="G22" i="15"/>
  <c r="I29" i="15"/>
  <c r="G28" i="15"/>
  <c r="I28" i="15" s="1"/>
  <c r="G12" i="15"/>
  <c r="G40" i="15"/>
  <c r="G39" i="15"/>
  <c r="G35" i="15"/>
  <c r="G13" i="15"/>
  <c r="I13" i="15" s="1"/>
  <c r="G18" i="15"/>
  <c r="G23" i="15"/>
  <c r="G30" i="15"/>
  <c r="G14" i="15"/>
  <c r="G31" i="15"/>
  <c r="G34" i="15"/>
  <c r="G11" i="15"/>
  <c r="I11" i="15" s="1"/>
  <c r="G9" i="15"/>
  <c r="G15" i="15"/>
  <c r="G20" i="15"/>
  <c r="G25" i="15"/>
  <c r="G32" i="15"/>
  <c r="I32" i="15" s="1"/>
  <c r="G33" i="15"/>
  <c r="G38" i="15"/>
  <c r="I38" i="15" s="1"/>
  <c r="G37" i="15"/>
  <c r="I34" i="15" l="1"/>
  <c r="I12" i="15"/>
  <c r="I39" i="15"/>
  <c r="I9" i="15"/>
  <c r="I23" i="15"/>
  <c r="I7" i="15"/>
  <c r="I25" i="15"/>
  <c r="I15" i="15"/>
  <c r="I30" i="15"/>
  <c r="I18" i="15"/>
  <c r="I17" i="15"/>
  <c r="I19" i="15"/>
  <c r="I16" i="15"/>
  <c r="I37" i="15"/>
  <c r="I33" i="15"/>
  <c r="I14" i="15"/>
  <c r="I40" i="15"/>
  <c r="I41" i="15"/>
  <c r="I21" i="15"/>
  <c r="I31" i="15"/>
  <c r="I35" i="15"/>
  <c r="I20" i="15"/>
  <c r="I36" i="15"/>
  <c r="I22" i="15"/>
  <c r="I10" i="15"/>
  <c r="I8" i="15"/>
  <c r="C10" i="19"/>
  <c r="E11" i="4" s="1"/>
  <c r="G10" i="19"/>
  <c r="G23"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D67C89AD-06DF-44D2-A8C3-11C6F073B339}">
      <text>
        <r>
          <rPr>
            <sz val="12"/>
            <color indexed="81"/>
            <rFont val="Times New Roman"/>
            <family val="1"/>
          </rPr>
          <t>Next level at 15,000 XPs</t>
        </r>
      </text>
    </comment>
    <comment ref="E10" authorId="0" shapeId="0" xr:uid="{1DFE0DC6-123D-41E2-8EEE-5EFDB20C9E25}">
      <text>
        <r>
          <rPr>
            <sz val="12"/>
            <color indexed="81"/>
            <rFont val="Times New Roman"/>
            <family val="1"/>
          </rPr>
          <t>See PHB 162</t>
        </r>
      </text>
    </comment>
    <comment ref="E12" authorId="0" shapeId="0" xr:uid="{00000000-0006-0000-0000-000004000000}">
      <text>
        <r>
          <rPr>
            <sz val="12"/>
            <color indexed="81"/>
            <rFont val="Times New Roman"/>
            <family val="1"/>
          </rPr>
          <t>[(2 * 8 Paladin) * 75%]
[(4 * 6 Cleric) * 75%]
+ (6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B4BBCC63-0403-4EF1-B498-4E6942095F71}">
      <text>
        <r>
          <rPr>
            <sz val="12"/>
            <color indexed="81"/>
            <rFont val="Times New Roman"/>
            <family val="1"/>
          </rPr>
          <t>Divine Grace
Snake Blood +2</t>
        </r>
      </text>
    </comment>
    <comment ref="F4" authorId="0" shapeId="0" xr:uid="{FCF74EF1-8734-4286-9005-DCE6BD090038}">
      <text>
        <r>
          <rPr>
            <sz val="12"/>
            <color indexed="81"/>
            <rFont val="Times New Roman"/>
            <family val="1"/>
          </rPr>
          <t>Divine Grace
Snake Blood +1</t>
        </r>
      </text>
    </comment>
    <comment ref="F5" authorId="0" shapeId="0" xr:uid="{DEA7EF86-6F21-42FD-9FDB-E52CD52E4BAA}">
      <text>
        <r>
          <rPr>
            <sz val="12"/>
            <color indexed="81"/>
            <rFont val="Times New Roman"/>
            <family val="1"/>
          </rPr>
          <t>Divine Grace</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t>
        </r>
      </text>
    </comment>
    <comment ref="F16" authorId="0" shapeId="0" xr:uid="{8681E728-1490-4A26-847C-89C1664AE8FC}">
      <text>
        <r>
          <rPr>
            <sz val="12"/>
            <color indexed="81"/>
            <rFont val="Times New Roman"/>
            <family val="1"/>
          </rPr>
          <t>Armor penalty</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Armor penalty</t>
        </r>
      </text>
    </comment>
    <comment ref="F26" authorId="0" shapeId="0" xr:uid="{FEAABE47-FE22-4571-B027-838DB519F77D}">
      <text>
        <r>
          <rPr>
            <sz val="12"/>
            <color indexed="81"/>
            <rFont val="Times New Roman"/>
            <family val="1"/>
          </rPr>
          <t>Armor penalty</t>
        </r>
      </text>
    </comment>
    <comment ref="F33" authorId="0" shapeId="0" xr:uid="{590B8E20-33CF-45A1-9151-6E34B1F8BCD7}">
      <text>
        <r>
          <rPr>
            <sz val="12"/>
            <color indexed="81"/>
            <rFont val="Times New Roman"/>
            <family val="1"/>
          </rPr>
          <t>Armor penalty</t>
        </r>
      </text>
    </comment>
    <comment ref="F39" authorId="0" shapeId="0" xr:uid="{9B6B967C-7166-4A3D-A949-9124D3193379}">
      <text>
        <r>
          <rPr>
            <sz val="12"/>
            <color indexed="81"/>
            <rFont val="Times New Roman"/>
            <family val="1"/>
          </rPr>
          <t>Acrobat Boots +2
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D3638862-A12B-4330-B99C-7F9F26280C83}">
      <text>
        <r>
          <rPr>
            <sz val="12"/>
            <color indexed="81"/>
            <rFont val="Times New Roman"/>
            <family val="1"/>
          </rPr>
          <t>Phosphorescent moss</t>
        </r>
      </text>
    </comment>
    <comment ref="E12" authorId="0" shapeId="0" xr:uid="{F0D3D0D0-A118-45FB-ACFC-B1519EFDFEAB}">
      <text>
        <r>
          <rPr>
            <sz val="12"/>
            <color indexed="81"/>
            <rFont val="Times New Roman"/>
            <family val="1"/>
          </rPr>
          <t>Copper wire</t>
        </r>
      </text>
    </comment>
    <comment ref="E15" authorId="0" shapeId="0" xr:uid="{B70BF837-A78A-4B8E-B551-EC9A21B3F7C7}">
      <text>
        <r>
          <rPr>
            <sz val="12"/>
            <color indexed="81"/>
            <rFont val="Times New Roman"/>
            <family val="1"/>
          </rPr>
          <t>Prism, lens, or monocle</t>
        </r>
      </text>
    </comment>
    <comment ref="E16" authorId="0" shapeId="0" xr:uid="{63E846B4-A48B-4C2B-80EF-EF8C119A2AD3}">
      <text>
        <r>
          <rPr>
            <sz val="12"/>
            <color indexed="81"/>
            <rFont val="Times New Roman"/>
            <family val="1"/>
          </rPr>
          <t>Miniature cloak</t>
        </r>
      </text>
    </comment>
    <comment ref="E24" authorId="0" shapeId="0" xr:uid="{D01D321E-9E84-4989-AB80-268590ABB8D4}">
      <text>
        <r>
          <rPr>
            <sz val="12"/>
            <color indexed="81"/>
            <rFont val="Times New Roman"/>
            <family val="1"/>
          </rPr>
          <t>Pure Water</t>
        </r>
      </text>
    </comment>
    <comment ref="E26" authorId="0" shapeId="0" xr:uid="{A9B16558-E231-43E3-9D31-AE4AE297DEE7}">
      <text>
        <r>
          <rPr>
            <sz val="12"/>
            <color indexed="81"/>
            <rFont val="Times New Roman"/>
            <family val="1"/>
          </rPr>
          <t>holy water, holy symbol, 100 XP</t>
        </r>
      </text>
    </comment>
    <comment ref="E29" authorId="0" shapeId="0" xr:uid="{FC2F1EB3-9937-4D23-A63A-55FC4FF67549}">
      <text>
        <r>
          <rPr>
            <sz val="12"/>
            <color indexed="81"/>
            <rFont val="Times New Roman"/>
            <family val="1"/>
          </rPr>
          <t>Soot &amp; Salt</t>
        </r>
      </text>
    </comment>
    <comment ref="E32" authorId="0" shapeId="0" xr:uid="{8EC5151A-6708-4474-B3B3-C8D8341E0D58}">
      <text>
        <r>
          <rPr>
            <sz val="12"/>
            <color indexed="81"/>
            <rFont val="Times New Roman"/>
            <family val="1"/>
          </rPr>
          <t>Bacteria culture</t>
        </r>
      </text>
    </comment>
    <comment ref="E36" authorId="0" shapeId="0" xr:uid="{FAADF92A-1CBB-488F-B1B8-B5AB0E7A635E}">
      <text>
        <r>
          <rPr>
            <sz val="12"/>
            <color indexed="81"/>
            <rFont val="Times New Roman"/>
            <family val="1"/>
          </rPr>
          <t>Earth from grave</t>
        </r>
      </text>
    </comment>
    <comment ref="E40" authorId="0" shapeId="0" xr:uid="{EFD6F808-94C7-4E15-B95F-32161C461122}">
      <text>
        <r>
          <rPr>
            <sz val="12"/>
            <color indexed="81"/>
            <rFont val="Times New Roman"/>
            <family val="1"/>
          </rPr>
          <t>powdered black gemstone</t>
        </r>
      </text>
    </comment>
    <comment ref="E52" authorId="0" shapeId="0" xr:uid="{0B54E08C-86D8-42BE-93FE-FB795A78C135}">
      <text>
        <r>
          <rPr>
            <sz val="12"/>
            <color indexed="81"/>
            <rFont val="Times New Roman"/>
            <family val="1"/>
          </rPr>
          <t>vial with the diluted poison from four separate venomous creatures</t>
        </r>
      </text>
    </comment>
    <comment ref="E54" authorId="0" shapeId="0" xr:uid="{7A0EEF28-D716-42E1-885E-C9E56FB1EDD9}">
      <text>
        <r>
          <rPr>
            <sz val="12"/>
            <color indexed="81"/>
            <rFont val="Times New Roman"/>
            <family val="1"/>
          </rPr>
          <t>Pinch of dirt</t>
        </r>
      </text>
    </comment>
    <comment ref="E56" authorId="0" shapeId="0" xr:uid="{7CF0524D-E5B3-430E-AF59-984EDEBCB208}">
      <text>
        <r>
          <rPr>
            <sz val="12"/>
            <color indexed="81"/>
            <rFont val="Times New Roman"/>
            <family val="1"/>
          </rPr>
          <t>Imbued weapon</t>
        </r>
      </text>
    </comment>
    <comment ref="E61" authorId="0" shapeId="0" xr:uid="{79FD6235-97BD-4212-A5A3-FFF830EEE727}">
      <text>
        <r>
          <rPr>
            <sz val="12"/>
            <color indexed="81"/>
            <rFont val="Times New Roman"/>
            <family val="1"/>
          </rPr>
          <t>Powdered silver</t>
        </r>
      </text>
    </comment>
    <comment ref="E64" authorId="0" shapeId="0" xr:uid="{EA6B25DF-8BC8-4DA3-B4F4-35F5DA09E757}">
      <text>
        <r>
          <rPr>
            <sz val="12"/>
            <color indexed="81"/>
            <rFont val="Times New Roman"/>
            <family val="1"/>
          </rPr>
          <t>hair of unwilling humanoid</t>
        </r>
      </text>
    </comment>
    <comment ref="E66" authorId="0" shapeId="0" xr:uid="{5E91AF93-CD61-4F8D-869A-FE3F2AA1651E}">
      <text>
        <r>
          <rPr>
            <sz val="12"/>
            <color indexed="81"/>
            <rFont val="Times New Roman"/>
            <family val="1"/>
          </rPr>
          <t>Parchment w/ holy text</t>
        </r>
      </text>
    </comment>
    <comment ref="E68" authorId="0" shapeId="0" xr:uid="{FB8B9697-AA23-4A4E-82EB-41486258DEB6}">
      <text>
        <r>
          <rPr>
            <sz val="12"/>
            <color indexed="81"/>
            <rFont val="Times New Roman"/>
            <family val="1"/>
          </rPr>
          <t>a tear</t>
        </r>
      </text>
    </comment>
    <comment ref="E71" authorId="0" shapeId="0" xr:uid="{31145E83-508D-4914-81A4-E5806C5FB98D}">
      <text>
        <r>
          <rPr>
            <sz val="12"/>
            <color indexed="81"/>
            <rFont val="Times New Roman"/>
            <family val="1"/>
          </rPr>
          <t>puffball mushroom</t>
        </r>
      </text>
    </comment>
    <comment ref="E72" authorId="0" shapeId="0" xr:uid="{74A64FA0-BDD2-4D6F-85FF-E85B243F716B}">
      <text>
        <r>
          <rPr>
            <sz val="12"/>
            <rFont val="Times New Roman"/>
            <family val="1"/>
          </rPr>
          <t>Bag and candle</t>
        </r>
      </text>
    </comment>
    <comment ref="E73" authorId="0" shapeId="0" xr:uid="{F3878EEE-1684-4311-ADE8-0278A14084FF}">
      <text/>
    </comment>
    <comment ref="E74" authorId="0" shapeId="0" xr:uid="{4608D8D6-7ADC-4314-A101-D2BC2B4C11B9}">
      <text>
        <r>
          <rPr>
            <sz val="12"/>
            <color indexed="81"/>
            <rFont val="Times New Roman"/>
            <family val="1"/>
          </rPr>
          <t>drop of bile</t>
        </r>
      </text>
    </comment>
    <comment ref="E80" authorId="0" shapeId="0" xr:uid="{0F426D91-9031-4EE1-9003-49A0985979C0}">
      <text>
        <r>
          <rPr>
            <sz val="12"/>
            <color indexed="81"/>
            <rFont val="Times New Roman"/>
            <family val="1"/>
          </rPr>
          <t>fur, feathers, skin</t>
        </r>
      </text>
    </comment>
    <comment ref="E81" authorId="0" shapeId="0" xr:uid="{3D605B74-2296-4F4E-97DF-7DB27FCE0133}">
      <text>
        <r>
          <rPr>
            <sz val="12"/>
            <color indexed="81"/>
            <rFont val="Times New Roman"/>
            <family val="1"/>
          </rPr>
          <t>25 gp of sticks and bones</t>
        </r>
      </text>
    </comment>
    <comment ref="E92" authorId="0" shapeId="0" xr:uid="{6C57891D-2534-474E-AFA1-58986C4C24B2}">
      <text>
        <r>
          <rPr>
            <sz val="12"/>
            <color indexed="81"/>
            <rFont val="Times New Roman"/>
            <family val="1"/>
          </rPr>
          <t>Small thorn</t>
        </r>
      </text>
    </comment>
    <comment ref="E94" authorId="0" shapeId="0" xr:uid="{1F152DAF-96E6-4B59-B77E-C4D9EE870F2F}">
      <text>
        <r>
          <rPr>
            <sz val="12"/>
            <color indexed="81"/>
            <rFont val="Times New Roman"/>
            <family val="1"/>
          </rPr>
          <t>Bull-shit or bull-hair</t>
        </r>
      </text>
    </comment>
    <comment ref="E96" authorId="0" shapeId="0" xr:uid="{263D42BC-47B0-47B4-8C1C-DF35648C4203}">
      <text>
        <r>
          <rPr>
            <sz val="12"/>
            <color indexed="81"/>
            <rFont val="Times New Roman"/>
            <family val="1"/>
          </rPr>
          <t>Pinch of cat fur</t>
        </r>
      </text>
    </comment>
    <comment ref="E98" authorId="0" shapeId="0" xr:uid="{12CF9AB3-A19D-41B2-B15D-6D55EB6526CE}">
      <text>
        <r>
          <rPr>
            <sz val="12"/>
            <color indexed="81"/>
            <rFont val="Times New Roman"/>
            <family val="1"/>
          </rPr>
          <t>knife or dagger</t>
        </r>
      </text>
    </comment>
    <comment ref="E102" authorId="0" shapeId="0" xr:uid="{D884331A-20CB-4F70-89F6-225EC0E86AF6}">
      <text>
        <r>
          <rPr>
            <sz val="12"/>
            <color indexed="81"/>
            <rFont val="Times New Roman"/>
            <family val="1"/>
          </rPr>
          <t>Holy water, silver dust.</t>
        </r>
      </text>
    </comment>
    <comment ref="E105" authorId="0" shapeId="0" xr:uid="{8B45130E-DE20-4199-BF42-E841B11D73D3}">
      <text/>
    </comment>
    <comment ref="E109" authorId="0" shapeId="0" xr:uid="{7E0DF6D9-3182-4119-AB0A-82B46B84680E}">
      <text/>
    </comment>
    <comment ref="E115" authorId="0" shapeId="0" xr:uid="{6004763D-6FBA-434B-9AD1-276328EBF08A}">
      <text>
        <r>
          <rPr>
            <sz val="12"/>
            <color indexed="81"/>
            <rFont val="Times New Roman"/>
            <family val="1"/>
          </rPr>
          <t>Eagle feathers or droppings</t>
        </r>
      </text>
    </comment>
    <comment ref="E121" authorId="0" shapeId="0" xr:uid="{BF4A3F44-47FE-4E45-9C25-69A3EF8A278D}">
      <text>
        <r>
          <rPr>
            <sz val="12"/>
            <color indexed="81"/>
            <rFont val="Times New Roman"/>
            <family val="1"/>
          </rPr>
          <t>Snake scales</t>
        </r>
      </text>
    </comment>
    <comment ref="E123" authorId="0" shapeId="0" xr:uid="{0BD81D5C-7DCF-4210-99BE-8D538C16B275}">
      <text>
        <r>
          <rPr>
            <sz val="12"/>
            <color indexed="81"/>
            <rFont val="Times New Roman"/>
            <family val="1"/>
          </rPr>
          <t>drop of water</t>
        </r>
      </text>
    </comment>
    <comment ref="E126" authorId="0" shapeId="0" xr:uid="{F4728239-30C0-47BE-A53F-7B8F72ADBB70}">
      <text>
        <r>
          <rPr>
            <sz val="12"/>
            <color indexed="81"/>
            <rFont val="Times New Roman"/>
            <family val="1"/>
          </rPr>
          <t>Salt, copper pieces</t>
        </r>
      </text>
    </comment>
    <comment ref="E127" authorId="0" shapeId="0" xr:uid="{9B61781F-93D2-466F-8587-A217036931CD}">
      <text>
        <r>
          <rPr>
            <sz val="12"/>
            <color indexed="81"/>
            <rFont val="Times New Roman"/>
            <family val="1"/>
          </rPr>
          <t>tiny shield made of resin</t>
        </r>
      </text>
    </comment>
    <comment ref="E128" authorId="0" shapeId="0" xr:uid="{DDE52BFD-B546-4B7B-A354-BFEA01659B1B}">
      <text>
        <r>
          <rPr>
            <sz val="12"/>
            <color indexed="81"/>
            <rFont val="Times New Roman"/>
            <family val="1"/>
          </rPr>
          <t>small mint leaf</t>
        </r>
      </text>
    </comment>
    <comment ref="E129" authorId="0" shapeId="0" xr:uid="{9C1CD572-127D-4CDD-A5AE-3365E2BECA03}">
      <text>
        <r>
          <rPr>
            <sz val="12"/>
            <color indexed="81"/>
            <rFont val="Times New Roman"/>
            <family val="1"/>
          </rPr>
          <t>Iron or holy symbol</t>
        </r>
      </text>
    </comment>
    <comment ref="E131" authorId="0" shapeId="0" xr:uid="{933F61AB-AFBF-4D92-AF7D-99ECF5C991CA}">
      <text>
        <r>
          <rPr>
            <sz val="12"/>
            <color indexed="81"/>
            <rFont val="Times New Roman"/>
            <family val="1"/>
          </rPr>
          <t>gold die worth 20 GP</t>
        </r>
      </text>
    </comment>
    <comment ref="E135" authorId="0" shapeId="0" xr:uid="{9091B109-9489-4DE3-B6DA-D9032729E7F1}">
      <text>
        <r>
          <rPr>
            <sz val="12"/>
            <color indexed="81"/>
            <rFont val="Times New Roman"/>
            <family val="1"/>
          </rPr>
          <t>A tiny iron statuette of a devil or imp, plus either a drop of the intended victim’s blood or one personal article belonging to the intended victim.</t>
        </r>
      </text>
    </comment>
    <comment ref="E146" authorId="0" shapeId="0" xr:uid="{0235BC34-6D08-4BCB-AB23-A097CD8F7B69}">
      <text>
        <r>
          <rPr>
            <sz val="12"/>
            <color indexed="81"/>
            <rFont val="Times New Roman"/>
            <family val="1"/>
          </rPr>
          <t>Feathers or pinch of owl droppings</t>
        </r>
      </text>
    </comment>
    <comment ref="E147" authorId="0" shapeId="0" xr:uid="{7B217061-B25E-4FC2-AB85-536CBD096828}">
      <text>
        <r>
          <rPr>
            <sz val="12"/>
            <color indexed="81"/>
            <rFont val="Times New Roman"/>
            <family val="1"/>
          </rPr>
          <t>Silver wire knot</t>
        </r>
      </text>
    </comment>
    <comment ref="E154" authorId="0" shapeId="0" xr:uid="{E7E9140C-C0C8-44F0-A6B6-A5EE556AD900}">
      <text>
        <r>
          <rPr>
            <sz val="12"/>
            <color indexed="81"/>
            <rFont val="Times New Roman"/>
            <family val="1"/>
          </rPr>
          <t>knotted rope</t>
        </r>
      </text>
    </comment>
    <comment ref="E155" authorId="0" shapeId="0" xr:uid="{B3E72781-24F4-4023-813C-73443AFDCBBB}">
      <text/>
    </comment>
    <comment ref="E156" authorId="0" shapeId="0" xr:uid="{81571683-2A9C-4F27-AD8D-4C778D83FEBA}">
      <text>
        <r>
          <rPr>
            <sz val="12"/>
            <color indexed="81"/>
            <rFont val="Times New Roman"/>
            <family val="1"/>
          </rPr>
          <t>25 gp of sticks and bones</t>
        </r>
      </text>
    </comment>
    <comment ref="E159" authorId="0" shapeId="0" xr:uid="{1C9139B9-1B81-478A-9528-E25F1BBF7565}">
      <text>
        <r>
          <rPr>
            <sz val="12"/>
            <color indexed="81"/>
            <rFont val="Times New Roman"/>
            <family val="1"/>
          </rPr>
          <t>Musical Instrument</t>
        </r>
      </text>
    </comment>
    <comment ref="E167" authorId="0" shapeId="0" xr:uid="{9AF0CF14-2CA1-43D2-9627-D88CDD0EF6FC}">
      <text>
        <r>
          <rPr>
            <sz val="12"/>
            <rFont val="Times New Roman"/>
            <family val="1"/>
          </rPr>
          <t>Bag and candle</t>
        </r>
      </text>
    </comment>
    <comment ref="E168" authorId="0" shapeId="0" xr:uid="{D893FEB5-D5B5-423E-89E2-DCDABAAB237C}">
      <text/>
    </comment>
    <comment ref="E174" authorId="0" shapeId="0" xr:uid="{7D5500C8-CFA6-4F09-8EAA-04F51AB073BF}">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4B0CB2-A16E-457F-B83B-CEC3AAE221A9}">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 xml:space="preserve">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t>
        </r>
        <r>
          <rPr>
            <b/>
            <sz val="12"/>
            <color indexed="81"/>
            <rFont val="Times New Roman"/>
            <family val="1"/>
          </rPr>
          <t xml:space="preserve">Special:  </t>
        </r>
        <r>
          <rPr>
            <sz val="12"/>
            <color indexed="81"/>
            <rFont val="Times New Roman"/>
            <family val="1"/>
          </rPr>
          <t>A fighter may select Dodge as one of his fighter bonus feats (see page 38).
PHB 93</t>
        </r>
      </text>
    </comment>
    <comment ref="C2" authorId="0" shapeId="0" xr:uid="{6FAC8D94-E7FA-42F5-B365-1E171A49E35C}">
      <text>
        <r>
          <rPr>
            <sz val="12"/>
            <color indexed="81"/>
            <rFont val="Times New Roman"/>
            <family val="1"/>
          </rPr>
          <t>The power of a paladin’s aura of good (see the detect good spell) is equal to her paladin level, just like the aura of a cleric of a good deity.
PHB 44</t>
        </r>
      </text>
    </comment>
    <comment ref="A3" authorId="0" shapeId="0" xr:uid="{A14A7FD9-D43F-4C59-9F85-8FE356761E0C}">
      <text>
        <r>
          <rPr>
            <sz val="12"/>
            <color indexed="81"/>
            <rFont val="Times New Roman"/>
            <family val="1"/>
          </rPr>
          <t xml:space="preserve">The taint of the yuan-ti runs in your veins.  No outward signs give away your heritage, but you are something more—or less—than human.
</t>
        </r>
        <r>
          <rPr>
            <b/>
            <sz val="12"/>
            <color indexed="81"/>
            <rFont val="Times New Roman"/>
            <family val="1"/>
          </rPr>
          <t xml:space="preserve">Prerequisite:  </t>
        </r>
        <r>
          <rPr>
            <sz val="12"/>
            <color indexed="81"/>
            <rFont val="Times New Roman"/>
            <family val="1"/>
          </rPr>
          <t xml:space="preserve">Human (Chult, the Lake of Steam, Lapaliiya, Samarach, Tashalar, Tharsult, Thindol, the Vilhon Reach, or the Western Heartlands).
</t>
        </r>
        <r>
          <rPr>
            <b/>
            <sz val="12"/>
            <color indexed="81"/>
            <rFont val="Times New Roman"/>
            <family val="1"/>
          </rPr>
          <t xml:space="preserve">Benefit:  </t>
        </r>
        <r>
          <rPr>
            <sz val="12"/>
            <color indexed="81"/>
            <rFont val="Times New Roman"/>
            <family val="1"/>
          </rPr>
          <t xml:space="preserve">You gain a +2 bonus on Reflex saving throws and a +2 bonus on Fortitude saves against poison.
</t>
        </r>
        <r>
          <rPr>
            <b/>
            <sz val="12"/>
            <color indexed="81"/>
            <rFont val="Times New Roman"/>
            <family val="1"/>
          </rPr>
          <t xml:space="preserve">Special:  </t>
        </r>
        <r>
          <rPr>
            <sz val="12"/>
            <color indexed="81"/>
            <rFont val="Times New Roman"/>
            <family val="1"/>
          </rPr>
          <t xml:space="preserve">You may select this feat only as a 1st-level character.  You may have only one regional feat.
Player’s Guide to Faerûn 43 – 44 </t>
        </r>
      </text>
    </comment>
    <comment ref="C4" authorId="0" shapeId="0" xr:uid="{0825C447-214C-4AF3-AE8F-F7D769657AD1}">
      <text>
        <r>
          <rPr>
            <sz val="12"/>
            <color indexed="81"/>
            <rFont val="Times New Roman"/>
            <family val="1"/>
          </rPr>
          <t>At will, a paladin can use detect evil, as the spell.
PHB 44</t>
        </r>
      </text>
    </comment>
    <comment ref="A5" authorId="0" shapeId="0" xr:uid="{5A7EC9A7-2482-47CC-9A80-646A332EEA0E}">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C5" authorId="0" shapeId="0" xr:uid="{97F4F475-B17A-4E78-9472-A39CC75F08FE}">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A6" authorId="0" shapeId="0" xr:uid="{BAC46052-0E10-4E6F-9429-C582E9572355}">
      <text>
        <r>
          <rPr>
            <sz val="12"/>
            <color indexed="81"/>
            <rFont val="Times New Roman"/>
            <family val="1"/>
          </rPr>
          <t xml:space="preserve">You can make exceptionally powerful melee attacks.
</t>
        </r>
        <r>
          <rPr>
            <b/>
            <sz val="12"/>
            <color indexed="81"/>
            <rFont val="Times New Roman"/>
            <family val="1"/>
          </rPr>
          <t xml:space="preserve">Prerequisite:  </t>
        </r>
        <r>
          <rPr>
            <sz val="12"/>
            <color indexed="81"/>
            <rFont val="Times New Roman"/>
            <family val="1"/>
          </rPr>
          <t xml:space="preserve">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6" authorId="0" shapeId="0" xr:uid="{76516917-04C6-4078-8BAA-90AA852F01C1}">
      <text>
        <r>
          <rPr>
            <sz val="12"/>
            <color indexed="81"/>
            <rFont val="Times New Roman"/>
            <family val="1"/>
          </rPr>
          <t>At 2nd level, a paladin gains a bonus equal to her Charisma bonus (if any) on all saving throws.
PHB 44</t>
        </r>
      </text>
    </comment>
    <comment ref="C7" authorId="0" shapeId="0" xr:uid="{F6FE0808-31A7-430D-A3A3-0BC4B77D68D6}">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C13" authorId="0" shapeId="0" xr:uid="{A78391A1-CA41-425A-8235-EE5CCDC9FD89}">
      <text>
        <r>
          <rPr>
            <b/>
            <sz val="12"/>
            <color indexed="81"/>
            <rFont val="Times New Roman"/>
            <family val="1"/>
          </rPr>
          <t>Protection Domain</t>
        </r>
        <r>
          <rPr>
            <sz val="12"/>
            <color indexed="81"/>
            <rFont val="Times New Roman"/>
            <family val="1"/>
          </rPr>
          <t xml:space="preserve">
1 Sanctuary:  Opponents can’t attack you, and you can’t attack.
2 Shield Other:  You take half of subject’s damage.
3 Protection from Energy:  Absorb 12 points/level of damage from one kind of energy.
4 Spell Immunity:  Subject is immune to one spell per four levels.
5 Spell Resistance:  Subject gains SR 12 + level.
6 Antimagic Field:  Negates magic within 10 ft.
7 Repulsion:  Creatures can’t approach you.
8 Mind Blank:  Subject is immune to mental/emotional magic and
scrying.
9 Prismatic Sphere:  As prismatic wall, but surrounds on all sides.</t>
        </r>
      </text>
    </comment>
    <comment ref="C14" authorId="0" shapeId="0" xr:uid="{C8CA40AF-EC51-4C6C-9EB9-266E0D422A45}">
      <text>
        <r>
          <rPr>
            <sz val="12"/>
            <color indexed="81"/>
            <rFont val="Times New Roman"/>
            <family val="1"/>
          </rPr>
          <t>You can generate a protective ward as a supernatural ability. Grant someone you touch a resistance bonus equal to your cleric level on his or her next saving throw. Activating this power is a standard action. The protective ward is an abjuration effect with a duration of 1 hour that is usable once per day.</t>
        </r>
      </text>
    </comment>
    <comment ref="C15" authorId="0" shapeId="0" xr:uid="{36307492-E55F-45B8-9C13-E9EC16DCC8F0}">
      <text>
        <r>
          <rPr>
            <b/>
            <sz val="12"/>
            <color indexed="81"/>
            <rFont val="Times New Roman"/>
            <family val="1"/>
          </rPr>
          <t xml:space="preserve">War Domain Spells
1 Magic Weapon:  </t>
        </r>
        <r>
          <rPr>
            <sz val="12"/>
            <color indexed="81"/>
            <rFont val="Times New Roman"/>
            <family val="1"/>
          </rPr>
          <t xml:space="preserve">Weapon gains +1 bonus.
</t>
        </r>
        <r>
          <rPr>
            <b/>
            <sz val="12"/>
            <color indexed="81"/>
            <rFont val="Times New Roman"/>
            <family val="1"/>
          </rPr>
          <t xml:space="preserve">2 Spiritual Weapon:  </t>
        </r>
        <r>
          <rPr>
            <sz val="12"/>
            <color indexed="81"/>
            <rFont val="Times New Roman"/>
            <family val="1"/>
          </rPr>
          <t xml:space="preserve">Magical weapon attacks on its own.
</t>
        </r>
        <r>
          <rPr>
            <b/>
            <sz val="12"/>
            <color indexed="81"/>
            <rFont val="Times New Roman"/>
            <family val="1"/>
          </rPr>
          <t xml:space="preserve">3 Magic Vestment:  </t>
        </r>
        <r>
          <rPr>
            <sz val="12"/>
            <color indexed="81"/>
            <rFont val="Times New Roman"/>
            <family val="1"/>
          </rPr>
          <t xml:space="preserve">Armor or shield gains +1 enhancement per
four levels.
</t>
        </r>
        <r>
          <rPr>
            <b/>
            <sz val="12"/>
            <color indexed="81"/>
            <rFont val="Times New Roman"/>
            <family val="1"/>
          </rPr>
          <t xml:space="preserve">4 Divine Power:  </t>
        </r>
        <r>
          <rPr>
            <sz val="12"/>
            <color indexed="81"/>
            <rFont val="Times New Roman"/>
            <family val="1"/>
          </rPr>
          <t xml:space="preserve">You gain attack bonus, +6 to Str, and 1 hp/level.
</t>
        </r>
        <r>
          <rPr>
            <b/>
            <sz val="12"/>
            <color indexed="81"/>
            <rFont val="Times New Roman"/>
            <family val="1"/>
          </rPr>
          <t xml:space="preserve">5 Flame Strike:  </t>
        </r>
        <r>
          <rPr>
            <sz val="12"/>
            <color indexed="81"/>
            <rFont val="Times New Roman"/>
            <family val="1"/>
          </rPr>
          <t xml:space="preserve">Smite foes with divine fire (1d6/level damage).
</t>
        </r>
        <r>
          <rPr>
            <b/>
            <sz val="12"/>
            <color indexed="81"/>
            <rFont val="Times New Roman"/>
            <family val="1"/>
          </rPr>
          <t xml:space="preserve">6 Blade Barrier:  </t>
        </r>
        <r>
          <rPr>
            <sz val="12"/>
            <color indexed="81"/>
            <rFont val="Times New Roman"/>
            <family val="1"/>
          </rPr>
          <t xml:space="preserve">Wall of blades deals 1d6/level damage.
</t>
        </r>
        <r>
          <rPr>
            <b/>
            <sz val="12"/>
            <color indexed="81"/>
            <rFont val="Times New Roman"/>
            <family val="1"/>
          </rPr>
          <t xml:space="preserve">7 Power Word Blind:  </t>
        </r>
        <r>
          <rPr>
            <sz val="12"/>
            <color indexed="81"/>
            <rFont val="Times New Roman"/>
            <family val="1"/>
          </rPr>
          <t xml:space="preserve">Blinds creature with 200 hp or less.
</t>
        </r>
        <r>
          <rPr>
            <b/>
            <sz val="12"/>
            <color indexed="81"/>
            <rFont val="Times New Roman"/>
            <family val="1"/>
          </rPr>
          <t xml:space="preserve">8 Power Word Stun:  </t>
        </r>
        <r>
          <rPr>
            <sz val="12"/>
            <color indexed="81"/>
            <rFont val="Times New Roman"/>
            <family val="1"/>
          </rPr>
          <t xml:space="preserve">Stuns creature with 150 hp or less.
</t>
        </r>
        <r>
          <rPr>
            <b/>
            <sz val="12"/>
            <color indexed="81"/>
            <rFont val="Times New Roman"/>
            <family val="1"/>
          </rPr>
          <t xml:space="preserve">9 Power Word Kill:  </t>
        </r>
        <r>
          <rPr>
            <sz val="12"/>
            <color indexed="81"/>
            <rFont val="Times New Roman"/>
            <family val="1"/>
          </rPr>
          <t>Kills creature with 100 hp or less.</t>
        </r>
      </text>
    </comment>
    <comment ref="C16" authorId="0" shapeId="0" xr:uid="{F2CE66AD-6B06-4195-B136-546F35016CB9}">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93186003-5391-4763-87B3-65AFBD0E1D2F}">
      <text>
        <r>
          <rPr>
            <sz val="12"/>
            <color indexed="81"/>
            <rFont val="Times New Roman"/>
            <family val="1"/>
          </rPr>
          <t>If using 2H, -1/+1</t>
        </r>
      </text>
    </comment>
    <comment ref="D3" authorId="0" shapeId="0" xr:uid="{48E16255-551B-46DE-936B-2B167347FC63}">
      <text>
        <r>
          <rPr>
            <sz val="12"/>
            <color indexed="81"/>
            <rFont val="Times New Roman"/>
            <family val="1"/>
          </rPr>
          <t>Weapon Focus +1
Buckler -1</t>
        </r>
      </text>
    </comment>
    <comment ref="D4" authorId="0" shapeId="0" xr:uid="{67C82105-36F9-47D0-B59E-5A0ECB08F23A}">
      <text>
        <r>
          <rPr>
            <sz val="12"/>
            <color indexed="81"/>
            <rFont val="Times New Roman"/>
            <family val="1"/>
          </rPr>
          <t>Weapon Focus +1</t>
        </r>
      </text>
    </comment>
    <comment ref="A5" authorId="0" shapeId="0" xr:uid="{A0A31E9C-EB0B-472D-A9E1-81046BFFF6B6}">
      <text>
        <r>
          <rPr>
            <b/>
            <sz val="12"/>
            <color indexed="81"/>
            <rFont val="Times New Roman"/>
            <family val="1"/>
          </rPr>
          <t xml:space="preserve">Price (Item Level):  </t>
        </r>
        <r>
          <rPr>
            <sz val="12"/>
            <color indexed="81"/>
            <rFont val="Times New Roman"/>
            <family val="1"/>
          </rPr>
          <t xml:space="preserve">200 gp (2nd) (least), 1,000 gp (4th) (lesser), or 5,000 gp (9th)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see text
</t>
        </r>
        <r>
          <rPr>
            <b/>
            <sz val="12"/>
            <color indexed="81"/>
            <rFont val="Times New Roman"/>
            <family val="1"/>
          </rPr>
          <t xml:space="preserve">Weight:  </t>
        </r>
        <r>
          <rPr>
            <sz val="12"/>
            <color indexed="81"/>
            <rFont val="Times New Roman"/>
            <family val="1"/>
          </rPr>
          <t xml:space="preserve">—
This bright crystal gleams and sparkles in the light.
A crystal of lifekeeping wards you against necromantic and death effects.
</t>
        </r>
        <r>
          <rPr>
            <b/>
            <sz val="12"/>
            <color indexed="81"/>
            <rFont val="Times New Roman"/>
            <family val="1"/>
          </rPr>
          <t xml:space="preserve">Least:  </t>
        </r>
        <r>
          <rPr>
            <sz val="12"/>
            <color indexed="81"/>
            <rFont val="Times New Roman"/>
            <family val="1"/>
          </rPr>
          <t xml:space="preserve">This augment crystal grants you a +1 competence bonus on saving throws against energy drain attacks, infl ict spells, death spells, and death effects.
</t>
        </r>
        <r>
          <rPr>
            <b/>
            <sz val="12"/>
            <color indexed="81"/>
            <rFont val="Times New Roman"/>
            <family val="1"/>
          </rPr>
          <t xml:space="preserve">Lesser: </t>
        </r>
        <r>
          <rPr>
            <sz val="12"/>
            <color indexed="81"/>
            <rFont val="Times New Roman"/>
            <family val="1"/>
          </rPr>
          <t xml:space="preserve"> As the least crystal, except the bonus is +3.
Greater:  As the least crystal, except the bonus is +5.  In addition, if you fail a save against any of these effects, you can choose to reroll the save as an immediate (mental) action.  This ability functions once per day.
MIC 25</t>
        </r>
      </text>
    </comment>
    <comment ref="D13" authorId="0" shapeId="0" xr:uid="{00000000-0006-0000-0500-000005000000}">
      <text>
        <r>
          <rPr>
            <sz val="12"/>
            <color indexed="81"/>
            <rFont val="Times New Roman"/>
            <family val="1"/>
          </rPr>
          <t>Balance, Climb, Escape Artist, Hide, Jump, Move Silently, Sleight of Hand, Tumble.</t>
        </r>
      </text>
    </comment>
    <comment ref="A15" authorId="0" shapeId="0" xr:uid="{E0BDFF2D-5982-4879-881E-75E17F7A56FE}">
      <text>
        <r>
          <rPr>
            <b/>
            <sz val="12"/>
            <color indexed="81"/>
            <rFont val="Times New Roman"/>
            <family val="1"/>
          </rPr>
          <t xml:space="preserve">Price (Item Level):  </t>
        </r>
        <r>
          <rPr>
            <sz val="12"/>
            <color indexed="81"/>
            <rFont val="Times New Roman"/>
            <family val="1"/>
          </rPr>
          <t xml:space="preserve">200 gp (2nd) (least), 1,000 gp (4th) (lesser), or 5,000 gp (9th)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see text
</t>
        </r>
        <r>
          <rPr>
            <b/>
            <sz val="12"/>
            <color indexed="81"/>
            <rFont val="Times New Roman"/>
            <family val="1"/>
          </rPr>
          <t xml:space="preserve">Weight:  </t>
        </r>
        <r>
          <rPr>
            <sz val="12"/>
            <color indexed="81"/>
            <rFont val="Times New Roman"/>
            <family val="1"/>
          </rPr>
          <t xml:space="preserve">—
This bright crystal gleams and sparkles in the light.
A crystal of lifekeeping wards you against necromantic and death effects.
</t>
        </r>
        <r>
          <rPr>
            <b/>
            <sz val="12"/>
            <color indexed="81"/>
            <rFont val="Times New Roman"/>
            <family val="1"/>
          </rPr>
          <t xml:space="preserve">Least:  </t>
        </r>
        <r>
          <rPr>
            <sz val="12"/>
            <color indexed="81"/>
            <rFont val="Times New Roman"/>
            <family val="1"/>
          </rPr>
          <t xml:space="preserve">This augment crystal grants you a +1 competence bonus on saving throws against energy drain attacks, inflict spells, death spells, and death effects.
</t>
        </r>
        <r>
          <rPr>
            <b/>
            <sz val="12"/>
            <color indexed="81"/>
            <rFont val="Times New Roman"/>
            <family val="1"/>
          </rPr>
          <t xml:space="preserve">Lesser:  </t>
        </r>
        <r>
          <rPr>
            <sz val="12"/>
            <color indexed="81"/>
            <rFont val="Times New Roman"/>
            <family val="1"/>
          </rPr>
          <t xml:space="preserve">As the least crystal, except the bonus is +3.
</t>
        </r>
        <r>
          <rPr>
            <b/>
            <sz val="12"/>
            <color indexed="81"/>
            <rFont val="Times New Roman"/>
            <family val="1"/>
          </rPr>
          <t xml:space="preserve">Greater:  </t>
        </r>
        <r>
          <rPr>
            <sz val="12"/>
            <color indexed="81"/>
            <rFont val="Times New Roman"/>
            <family val="1"/>
          </rPr>
          <t>As the least crystal, except the bonus is +5.  In addition, if you fail a save against any of these effects, you can choose to reroll the save as an immediate (mental) action.  This ability functions once per day.
MIC 25</t>
        </r>
      </text>
    </comment>
    <comment ref="A17" authorId="0" shapeId="0" xr:uid="{7D403448-ECEC-43BF-8C5D-0FDCD695D55E}">
      <text>
        <r>
          <rPr>
            <b/>
            <sz val="12"/>
            <color indexed="81"/>
            <rFont val="Times New Roman"/>
            <family val="1"/>
          </rPr>
          <t xml:space="preserve">Price (Item Level):  </t>
        </r>
        <r>
          <rPr>
            <sz val="12"/>
            <color indexed="81"/>
            <rFont val="Times New Roman"/>
            <family val="1"/>
          </rPr>
          <t xml:space="preserve">5,000 gp (9th)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perfectly smooth adamantine ring bears a massive turquoise carved in the shape of a heavily armored knight.
When you activate a ring of arming, any armor or weapons you currently wear disappear and are stored magically within the ring, and any armor or weapons currently stored within the ring appear in the appropriate places on your body (items that must be held appear at your feet if you don’t have free hands).</t>
        </r>
        <r>
          <rPr>
            <b/>
            <sz val="12"/>
            <color indexed="81"/>
            <rFont val="Times New Roman"/>
            <family val="1"/>
          </rPr>
          <t xml:space="preserve">
</t>
        </r>
        <r>
          <rPr>
            <sz val="12"/>
            <color indexed="81"/>
            <rFont val="Times New Roman"/>
            <family val="1"/>
          </rPr>
          <t>MIC 122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6" authorId="0" shapeId="0" xr:uid="{70CF8CB0-2292-44B7-9B79-E2A976FD632F}">
      <text>
        <r>
          <rPr>
            <b/>
            <sz val="12"/>
            <color indexed="81"/>
            <rFont val="Times New Roman"/>
            <family val="1"/>
          </rPr>
          <t xml:space="preserve">Price (Item Level):  </t>
        </r>
        <r>
          <rPr>
            <sz val="12"/>
            <color indexed="81"/>
            <rFont val="Times New Roman"/>
            <family val="1"/>
          </rPr>
          <t xml:space="preserve">900 gp (4th)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1 lb.
Multiple brass buckles run from the ankle to the top of the calf on these finely crafted, black leather boots.
A pair of acrobat boots grants you a +2 competence bonus on Tumble checks.  This is a continuous effect and requires no activation.
In addition, these boots have 3 charges, which are renewed each day at dawn.  Spending 1 or more charges grants you an enhancement bonus to your speed for 1 round.
</t>
        </r>
        <r>
          <rPr>
            <b/>
            <sz val="12"/>
            <color indexed="81"/>
            <rFont val="Times New Roman"/>
            <family val="1"/>
          </rPr>
          <t xml:space="preserve">1 charge:  </t>
        </r>
        <r>
          <rPr>
            <sz val="12"/>
            <color indexed="81"/>
            <rFont val="Times New Roman"/>
            <family val="1"/>
          </rPr>
          <t xml:space="preserve">+10-foot enhancement bonus.
</t>
        </r>
        <r>
          <rPr>
            <b/>
            <sz val="12"/>
            <color indexed="81"/>
            <rFont val="Times New Roman"/>
            <family val="1"/>
          </rPr>
          <t xml:space="preserve">2 charges:  </t>
        </r>
        <r>
          <rPr>
            <sz val="12"/>
            <color indexed="81"/>
            <rFont val="Times New Roman"/>
            <family val="1"/>
          </rPr>
          <t xml:space="preserve">+15-foot enhancement bonus.
</t>
        </r>
        <r>
          <rPr>
            <b/>
            <sz val="12"/>
            <color indexed="81"/>
            <rFont val="Times New Roman"/>
            <family val="1"/>
          </rPr>
          <t xml:space="preserve">3 charges:  </t>
        </r>
        <r>
          <rPr>
            <sz val="12"/>
            <color indexed="81"/>
            <rFont val="Times New Roman"/>
            <family val="1"/>
          </rPr>
          <t>+20-foot enhancement bonus.</t>
        </r>
        <r>
          <rPr>
            <b/>
            <sz val="12"/>
            <color indexed="81"/>
            <rFont val="Times New Roman"/>
            <family val="1"/>
          </rPr>
          <t xml:space="preserve">
</t>
        </r>
        <r>
          <rPr>
            <sz val="12"/>
            <color indexed="81"/>
            <rFont val="Times New Roman"/>
            <family val="1"/>
          </rPr>
          <t>MIC 67</t>
        </r>
      </text>
    </comment>
  </commentList>
</comments>
</file>

<file path=xl/sharedStrings.xml><?xml version="1.0" encoding="utf-8"?>
<sst xmlns="http://schemas.openxmlformats.org/spreadsheetml/2006/main" count="1673" uniqueCount="517">
  <si>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</si>
  <si>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</si>
  <si>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</si>
  <si>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</si>
  <si>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</si>
  <si>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</si>
  <si>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</si>
  <si>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</si>
  <si>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</si>
  <si>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</si>
  <si>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</si>
  <si>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</si>
  <si>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</si>
  <si>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</si>
  <si>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</si>
  <si>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</si>
  <si>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</si>
  <si>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</si>
  <si>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</si>
  <si>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</si>
  <si>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</si>
  <si>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</si>
  <si>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</si>
  <si>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</si>
  <si>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</si>
  <si>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</si>
  <si>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</si>
  <si>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</si>
  <si>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</si>
  <si>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</si>
  <si>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</si>
  <si>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</si>
  <si>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</si>
  <si>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</si>
  <si>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</si>
  <si>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</si>
  <si>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</si>
  <si>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</si>
  <si>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</si>
  <si>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</si>
  <si>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</si>
  <si>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</si>
  <si>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</si>
  <si>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</si>
  <si>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</si>
  <si>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</si>
  <si>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</si>
  <si>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</si>
  <si>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</si>
  <si>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</si>
  <si>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</si>
  <si>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</si>
  <si>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</si>
  <si>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</si>
  <si>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</si>
  <si>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</si>
  <si>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</si>
  <si>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</si>
  <si>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</si>
  <si>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</si>
  <si>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</si>
  <si>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</si>
  <si>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</si>
  <si>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</si>
  <si>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</si>
  <si>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</si>
  <si>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</si>
  <si>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</si>
  <si>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Sleight of Hand</t>
  </si>
  <si>
    <t>Survival</t>
  </si>
  <si>
    <t>Weapon Proficiencies</t>
  </si>
  <si>
    <t>Atk</t>
  </si>
  <si>
    <t>Feats</t>
  </si>
  <si>
    <t>Roll</t>
  </si>
  <si>
    <t>Skill/Save</t>
  </si>
  <si>
    <t>Human</t>
  </si>
  <si>
    <t>Knowledge:  Religion</t>
  </si>
  <si>
    <t>Perform:  [type]</t>
  </si>
  <si>
    <t>human</t>
  </si>
  <si>
    <t>+0</t>
  </si>
  <si>
    <t>Value</t>
  </si>
  <si>
    <t>Total Equity:</t>
  </si>
  <si>
    <t>19-20/x2</t>
  </si>
  <si>
    <t>-</t>
  </si>
  <si>
    <t>x2</t>
  </si>
  <si>
    <t>Grapple, Unarmed Strike</t>
  </si>
  <si>
    <t>1d3</t>
  </si>
  <si>
    <t>Bludgeon</t>
  </si>
  <si>
    <t>Race</t>
  </si>
  <si>
    <t>Class</t>
  </si>
  <si>
    <t>Sex</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</si>
  <si>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</si>
  <si>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</si>
  <si>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</si>
  <si>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</si>
  <si>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</si>
  <si>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</si>
  <si>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</si>
  <si>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</si>
  <si>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</si>
  <si>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</si>
  <si>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</si>
  <si>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</si>
  <si>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</si>
  <si>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</si>
  <si>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</si>
  <si>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</si>
  <si>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</si>
  <si>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</si>
  <si>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</si>
  <si>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</si>
  <si>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</si>
  <si>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</si>
  <si>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Mayaheine</t>
  </si>
  <si>
    <t>Female</t>
  </si>
  <si>
    <t>5’ 11”</t>
  </si>
  <si>
    <t>Profession:  [type]</t>
  </si>
  <si>
    <t>Slashing</t>
  </si>
  <si>
    <t>AC</t>
  </si>
  <si>
    <t xml:space="preserve">Silver Holy Symbol of Mayaheine </t>
  </si>
  <si>
    <t>Backpack</t>
  </si>
  <si>
    <t>Gold Coins</t>
  </si>
  <si>
    <t>Bedroll</t>
  </si>
  <si>
    <t>Waterskin</t>
  </si>
  <si>
    <t>Flint &amp; Steel</t>
  </si>
  <si>
    <t>Played by Larry Creager</t>
  </si>
  <si>
    <t>Firehair</t>
  </si>
  <si>
    <t>160 lbs.</t>
  </si>
  <si>
    <t>Lawful Good</t>
  </si>
  <si>
    <t>Baldur’s Gate</t>
  </si>
  <si>
    <t>Human:  Dodge</t>
  </si>
  <si>
    <t>Common, Celestial</t>
  </si>
  <si>
    <t>Paladin</t>
  </si>
  <si>
    <t>Simple and Martial Weapons</t>
  </si>
  <si>
    <t>All Armor &amp; Shields (not tower)</t>
  </si>
  <si>
    <t>x3</t>
  </si>
  <si>
    <t>60’</t>
  </si>
  <si>
    <t>Arrows</t>
  </si>
  <si>
    <t>Embossed with holy symbol</t>
  </si>
  <si>
    <t>Whetstone</t>
  </si>
  <si>
    <t>Rations</t>
  </si>
  <si>
    <t>Cleric’s Vestments</t>
  </si>
  <si>
    <t>20’</t>
  </si>
  <si>
    <t>paladin 1</t>
  </si>
  <si>
    <t>Regional:  Snake Blood</t>
  </si>
  <si>
    <t>XP</t>
  </si>
  <si>
    <t>Character:</t>
  </si>
  <si>
    <t>%</t>
  </si>
  <si>
    <t>Excellent</t>
  </si>
  <si>
    <t>Missed Posts</t>
  </si>
  <si>
    <t>Maximum award for this segment</t>
  </si>
  <si>
    <t xml:space="preserve"> Character award for this segment</t>
  </si>
  <si>
    <t>Extra XPs</t>
  </si>
  <si>
    <t>Previous XP Balance</t>
  </si>
  <si>
    <t>Current XP Balance</t>
  </si>
  <si>
    <t>Attention to spelling &amp; punctuation; Consistent use of past tense, third person</t>
  </si>
  <si>
    <t>Thoroughness and clarity</t>
  </si>
  <si>
    <t>Level-appropriate use of skills, feats, limitations, and other features</t>
  </si>
  <si>
    <t>Convincing role-playing and character development</t>
  </si>
  <si>
    <t>Consistency with other characters’ actions and setting description</t>
  </si>
  <si>
    <t>Good</t>
  </si>
  <si>
    <t>Cleric of Mayaheine</t>
  </si>
  <si>
    <t>Paladin Features</t>
  </si>
  <si>
    <t>Detect Evil</t>
  </si>
  <si>
    <t>Turn Undead</t>
  </si>
  <si>
    <t>Code of Conduct</t>
  </si>
  <si>
    <t>Domain Powers</t>
  </si>
  <si>
    <t>War</t>
  </si>
  <si>
    <t>Daily Spells</t>
  </si>
  <si>
    <t>Spells per Day</t>
  </si>
  <si>
    <t>Spell</t>
  </si>
  <si>
    <t>DC</t>
  </si>
  <si>
    <t>Cast?</t>
  </si>
  <si>
    <t>Spell Level</t>
  </si>
  <si>
    <t>Detect Magic</t>
  </si>
  <si>
    <t>q</t>
  </si>
  <si>
    <t>0th</t>
  </si>
  <si>
    <t>1st</t>
  </si>
  <si>
    <t>2nd</t>
  </si>
  <si>
    <t>3rd</t>
  </si>
  <si>
    <t>4th</t>
  </si>
  <si>
    <t>5th</t>
  </si>
  <si>
    <t>6th</t>
  </si>
  <si>
    <t>7th</t>
  </si>
  <si>
    <t>Detect Poison</t>
  </si>
  <si>
    <t>Cleric Spells</t>
  </si>
  <si>
    <t>Mending</t>
  </si>
  <si>
    <t>Wisdom Bonus</t>
  </si>
  <si>
    <t>Message</t>
  </si>
  <si>
    <t>Domain Spell</t>
  </si>
  <si>
    <t>Total Divine</t>
  </si>
  <si>
    <t>Read Magic</t>
  </si>
  <si>
    <t>Divine Favor</t>
  </si>
  <si>
    <t>Turning Undead</t>
  </si>
  <si>
    <t>Magic Weapon</t>
  </si>
  <si>
    <t>Max HD Turned</t>
  </si>
  <si>
    <t>1d20 Roll</t>
  </si>
  <si>
    <t>Sanctuary</t>
  </si>
  <si>
    <t>Turn Check</t>
  </si>
  <si>
    <t>Shield of Faith</t>
  </si>
  <si>
    <t>2d6 Roll</t>
  </si>
  <si>
    <t>Summon Monster I</t>
  </si>
  <si>
    <t>Turn Dmg.</t>
  </si>
  <si>
    <t>Remove Fear</t>
  </si>
  <si>
    <t>Turns/Day</t>
  </si>
  <si>
    <t>Turns Used</t>
  </si>
  <si>
    <t>Effective Turning Level:</t>
  </si>
  <si>
    <t>Cleric Features</t>
  </si>
  <si>
    <t>cleric 1</t>
  </si>
  <si>
    <t>Craft:  [type]</t>
  </si>
  <si>
    <t>Domain</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</si>
  <si>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</si>
  <si>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</si>
  <si>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</si>
  <si>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</si>
  <si>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</si>
  <si>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</si>
  <si>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</si>
  <si>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</si>
  <si>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</si>
  <si>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</si>
  <si>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</si>
  <si>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</si>
  <si>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</si>
  <si>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</si>
  <si>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</si>
  <si>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</si>
  <si>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</si>
  <si>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</si>
  <si>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</si>
  <si>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Touch</t>
  </si>
  <si>
    <t>Universal</t>
  </si>
  <si>
    <t>1 min/lvl</t>
  </si>
  <si>
    <t>Divination</t>
  </si>
  <si>
    <t>Guidance</t>
  </si>
  <si>
    <t>1 minute</t>
  </si>
  <si>
    <t>Inflict Minor Wounds</t>
  </si>
  <si>
    <t>Necromancy</t>
  </si>
  <si>
    <t>instant</t>
  </si>
  <si>
    <t>Light</t>
  </si>
  <si>
    <t>Evocation</t>
  </si>
  <si>
    <t>V M/DF</t>
  </si>
  <si>
    <t>10’</t>
  </si>
  <si>
    <t>V S F</t>
  </si>
  <si>
    <t>100’ + 10’/lvl</t>
  </si>
  <si>
    <t>Preserve Organ</t>
  </si>
  <si>
    <t>V S DF</t>
  </si>
  <si>
    <t>10 minutes</t>
  </si>
  <si>
    <t>24 hours</t>
  </si>
  <si>
    <t>Book of Vile Darkness</t>
  </si>
  <si>
    <t>Purify Food &amp; Drink</t>
  </si>
  <si>
    <t>Personal</t>
  </si>
  <si>
    <t>Resistance</t>
  </si>
  <si>
    <t>Abjuration</t>
  </si>
  <si>
    <t>V S M/DF</t>
  </si>
  <si>
    <t>Slash Tongue</t>
  </si>
  <si>
    <t>1 round</t>
  </si>
  <si>
    <t>Summon Holy Symbol</t>
  </si>
  <si>
    <t>0’</t>
  </si>
  <si>
    <t>1 rnd/lvl</t>
  </si>
  <si>
    <t>Complete Champion</t>
  </si>
  <si>
    <t>Virtue</t>
  </si>
  <si>
    <t>Angry Ache</t>
  </si>
  <si>
    <t>Bane</t>
  </si>
  <si>
    <t>Enchantment</t>
  </si>
  <si>
    <t>50’</t>
  </si>
  <si>
    <t>Blade of Blood</t>
  </si>
  <si>
    <t>Swift</t>
  </si>
  <si>
    <t>PHB II</t>
  </si>
  <si>
    <t>Bless</t>
  </si>
  <si>
    <t>Bless Water</t>
  </si>
  <si>
    <t>V S M</t>
  </si>
  <si>
    <t>Blood Wind</t>
  </si>
  <si>
    <t>Savage Species</t>
  </si>
  <si>
    <t>Burial Blessing</t>
  </si>
  <si>
    <t>V S M XP</t>
  </si>
  <si>
    <t>Permanent</t>
  </si>
  <si>
    <t>Defenders of the Faith</t>
  </si>
  <si>
    <t>Cause Fear</t>
  </si>
  <si>
    <t>1d4 rnds</t>
  </si>
  <si>
    <t>Command</t>
  </si>
  <si>
    <t>V</t>
  </si>
  <si>
    <t>Comprehend Languages</t>
  </si>
  <si>
    <t>Conjure Ice Beast I</t>
  </si>
  <si>
    <t>1 FR</t>
  </si>
  <si>
    <t>Frostburn</t>
  </si>
  <si>
    <t>Cure Light Wounds</t>
  </si>
  <si>
    <t>Curse Water</t>
  </si>
  <si>
    <t>Deathwatch</t>
  </si>
  <si>
    <t>Detect Animals/Plants</t>
  </si>
  <si>
    <t>400’ + 40’/lvl</t>
  </si>
  <si>
    <t>Detect C/E/G/L</t>
  </si>
  <si>
    <t>Detect Undead</t>
  </si>
  <si>
    <t>40’</t>
  </si>
  <si>
    <t>Divine Inspiration</t>
  </si>
  <si>
    <t>Sacrifice</t>
  </si>
  <si>
    <t>Book of Exalted Deeds</t>
  </si>
  <si>
    <t>Doom</t>
  </si>
  <si>
    <t>Ebon Eyes</t>
  </si>
  <si>
    <t>Endure Elements</t>
  </si>
  <si>
    <t>Entropic Shield</t>
  </si>
  <si>
    <t>Extract Drug</t>
  </si>
  <si>
    <t>Eyes of the Avoral</t>
  </si>
  <si>
    <t>V S F DF</t>
  </si>
  <si>
    <t>1 hr/lvl</t>
  </si>
  <si>
    <t>Grave Strike</t>
  </si>
  <si>
    <t>V DF</t>
  </si>
  <si>
    <t>Complete Adventurer</t>
  </si>
  <si>
    <t>Guiding Light</t>
  </si>
  <si>
    <t>Healthful Rest</t>
  </si>
  <si>
    <t>Heartache</t>
  </si>
  <si>
    <t>Hide from Undead</t>
  </si>
  <si>
    <t>Impede</t>
  </si>
  <si>
    <t>Inflict Light Wounds</t>
  </si>
  <si>
    <t>Ironguts</t>
  </si>
  <si>
    <t>Light of Lunia</t>
  </si>
  <si>
    <t>Planar Handbook</t>
  </si>
  <si>
    <t>Longstrider</t>
  </si>
  <si>
    <t>Magic Stone</t>
  </si>
  <si>
    <t>30 minutes</t>
  </si>
  <si>
    <t>V S F/DF</t>
  </si>
  <si>
    <t>Nightshield</t>
  </si>
  <si>
    <t>Nimbus of Light</t>
  </si>
  <si>
    <t>Complete Divine</t>
  </si>
  <si>
    <t>Obscuring Mist</t>
  </si>
  <si>
    <t>30’ radius</t>
  </si>
  <si>
    <t>Omen of Peril</t>
  </si>
  <si>
    <t>V F</t>
  </si>
  <si>
    <t>Protection from C/E/G</t>
  </si>
  <si>
    <t>Resist Planar Alignment</t>
  </si>
  <si>
    <t>Sacrificial Skill</t>
  </si>
  <si>
    <t>Slow Consumption</t>
  </si>
  <si>
    <t>V S Location</t>
  </si>
  <si>
    <t>Sorrow</t>
  </si>
  <si>
    <t>Spell Flower</t>
  </si>
  <si>
    <t>Spider Hand</t>
  </si>
  <si>
    <t>Stupor</t>
  </si>
  <si>
    <t>S M</t>
  </si>
  <si>
    <t>Summon Undead I</t>
  </si>
  <si>
    <t>Libris Mortis</t>
  </si>
  <si>
    <t>Suspend Disease</t>
  </si>
  <si>
    <t>Twilight Luck</t>
  </si>
  <si>
    <t>V Abstinence</t>
  </si>
  <si>
    <t>Vigor, Lesser</t>
  </si>
  <si>
    <t>special</t>
  </si>
  <si>
    <t>Vision of Heaven</t>
  </si>
  <si>
    <t>Spells Granted by Mayaheine</t>
  </si>
  <si>
    <t>Protection</t>
  </si>
  <si>
    <t>Protective Ward</t>
  </si>
  <si>
    <t>Weapon Focus:  Bastard Sword</t>
  </si>
  <si>
    <t>Tomorrow’s Spells</t>
  </si>
  <si>
    <t>Effective Paladin Caster Level:</t>
  </si>
  <si>
    <t>Effective Cleric Caster Level:</t>
  </si>
  <si>
    <t>SF</t>
  </si>
  <si>
    <t>MW Composite Longbow +2 Str</t>
  </si>
  <si>
    <t>110’</t>
  </si>
  <si>
    <t>Belt Pouch</t>
  </si>
  <si>
    <t>six</t>
  </si>
  <si>
    <t>five</t>
  </si>
  <si>
    <t>3rd:  Combat Casting</t>
  </si>
  <si>
    <t>Combat Casting +4</t>
  </si>
  <si>
    <t>paladin 2</t>
  </si>
  <si>
    <t>Flint and Steel</t>
  </si>
  <si>
    <t>Everburning Torch</t>
  </si>
  <si>
    <t>Clerical Vestments</t>
  </si>
  <si>
    <t>Trail Rations</t>
  </si>
  <si>
    <t>+2 vs. Poison</t>
  </si>
  <si>
    <t>Divine Grace</t>
  </si>
  <si>
    <t>1d10</t>
  </si>
  <si>
    <t>cleric 2</t>
  </si>
  <si>
    <t>1d6</t>
  </si>
  <si>
    <t>vs.</t>
  </si>
  <si>
    <t>undead</t>
  </si>
  <si>
    <t>Lesser Truedeath Crystal</t>
  </si>
  <si>
    <t>Aid</t>
  </si>
  <si>
    <t>Align Weapon</t>
  </si>
  <si>
    <t>Animalistic Power</t>
  </si>
  <si>
    <t>Augury</t>
  </si>
  <si>
    <t>Avoid Planar Effects</t>
  </si>
  <si>
    <t>Ayailla’s Radiant Burst</t>
  </si>
  <si>
    <t>Bear’s Endurance</t>
  </si>
  <si>
    <t>Benediction</t>
  </si>
  <si>
    <t>Bewildering Substitution</t>
  </si>
  <si>
    <t>Bewildering Visions</t>
  </si>
  <si>
    <t>Black Karma Curse</t>
  </si>
  <si>
    <t>Blade Brothers</t>
  </si>
  <si>
    <t>Body Blades</t>
  </si>
  <si>
    <t>Body Ward</t>
  </si>
  <si>
    <t>Brambles</t>
  </si>
  <si>
    <t>Brumal Stiffening</t>
  </si>
  <si>
    <t>Bull’s Strength</t>
  </si>
  <si>
    <t>Calm Emotions</t>
  </si>
  <si>
    <t>Cat’s Grace</t>
  </si>
  <si>
    <t>Close Wounds</t>
  </si>
  <si>
    <t>Cloud of Knives</t>
  </si>
  <si>
    <t>Conduit of Life</t>
  </si>
  <si>
    <t>Conjure Ice Beast II</t>
  </si>
  <si>
    <t>Conjure Ice Object</t>
  </si>
  <si>
    <t>Consecrate</t>
  </si>
  <si>
    <t>Cure Moderate Wounds</t>
  </si>
  <si>
    <t>Curse of Ill Fortune</t>
  </si>
  <si>
    <t>Darkness</t>
  </si>
  <si>
    <t>Death Knell</t>
  </si>
  <si>
    <t>Deific Vengeance</t>
  </si>
  <si>
    <t>Delay Poison</t>
  </si>
  <si>
    <t>Desecrate</t>
  </si>
  <si>
    <t>Detect Aberration</t>
  </si>
  <si>
    <t>Divine Flame</t>
  </si>
  <si>
    <t>Divine Insight</t>
  </si>
  <si>
    <t>Divine Presence</t>
  </si>
  <si>
    <t>Divine Zephyr</t>
  </si>
  <si>
    <t>Eagle’s Splendor</t>
  </si>
  <si>
    <t>Ease Pain</t>
  </si>
  <si>
    <t>Elation</t>
  </si>
  <si>
    <t>Enthrall</t>
  </si>
  <si>
    <t>Estanna’s Stew</t>
  </si>
  <si>
    <t>Execration</t>
  </si>
  <si>
    <t>Filter</t>
  </si>
  <si>
    <t>Find Traps</t>
  </si>
  <si>
    <t>Frost Weapon</t>
  </si>
  <si>
    <t>Frostburn, Lesser</t>
  </si>
  <si>
    <t>Gaze Screen</t>
  </si>
  <si>
    <t>Gentle Repose</t>
  </si>
  <si>
    <t>Ghost Touch Armor</t>
  </si>
  <si>
    <t>Healing Lorecall</t>
  </si>
  <si>
    <t>Hold Person</t>
  </si>
  <si>
    <t>Inflict Moderate Wounds</t>
  </si>
  <si>
    <t>Insight of Good Fortune</t>
  </si>
  <si>
    <t>Interfaith Blessing</t>
  </si>
  <si>
    <t>Iron Silence</t>
  </si>
  <si>
    <t>Knife Spray</t>
  </si>
  <si>
    <t>Lastai’s Caress</t>
  </si>
  <si>
    <t>Lesser Telepathic Bond</t>
  </si>
  <si>
    <t>Light of Faith</t>
  </si>
  <si>
    <t>Light of Mercuria</t>
  </si>
  <si>
    <t>Locate Touchstone</t>
  </si>
  <si>
    <t>Lore of the Gods</t>
  </si>
  <si>
    <t>Make Whole</t>
  </si>
  <si>
    <t>Manifestation of the Deity</t>
  </si>
  <si>
    <t>Mark of Judgment</t>
  </si>
  <si>
    <t>Master Cavalier</t>
  </si>
  <si>
    <t>Obscuring Snow</t>
  </si>
  <si>
    <t>Owl’s Wisdom</t>
  </si>
  <si>
    <t>Portal Well</t>
  </si>
  <si>
    <t>Remove Addiction</t>
  </si>
  <si>
    <t>Remove Paralysis</t>
  </si>
  <si>
    <t>Resist Energy</t>
  </si>
  <si>
    <t>Restoration, Lesser</t>
  </si>
  <si>
    <t>Rigor Mortis</t>
  </si>
  <si>
    <t>Shadow Shroud</t>
  </si>
  <si>
    <t>Share Talents</t>
  </si>
  <si>
    <t>Shatter</t>
  </si>
  <si>
    <t>Shield Other</t>
  </si>
  <si>
    <t>Silence</t>
  </si>
  <si>
    <t>Soul Ward</t>
  </si>
  <si>
    <t>Sound Burst</t>
  </si>
  <si>
    <t>Spawn Screen</t>
  </si>
  <si>
    <t>Spiritual Weapon</t>
  </si>
  <si>
    <t>Status</t>
  </si>
  <si>
    <t>Stay the Hand</t>
  </si>
  <si>
    <t>Stretch Weapon</t>
  </si>
  <si>
    <t>Substitute Domain</t>
  </si>
  <si>
    <t>Summon Elysian Thrush</t>
  </si>
  <si>
    <t>Summon Monster II</t>
  </si>
  <si>
    <t>Summon Undead II</t>
  </si>
  <si>
    <t>Sweet Water</t>
  </si>
  <si>
    <t>Thin Air</t>
  </si>
  <si>
    <t>Turn Anathema</t>
  </si>
  <si>
    <t>Undetectable Alignment</t>
  </si>
  <si>
    <t>Wave of Grief</t>
  </si>
  <si>
    <t>Zone of Truth</t>
  </si>
  <si>
    <t>V S Sacr.</t>
  </si>
  <si>
    <t>Illusion</t>
  </si>
  <si>
    <t>Magic of Faerûn</t>
  </si>
  <si>
    <t>Immediate</t>
  </si>
  <si>
    <t>2 hrs/lvl</t>
  </si>
  <si>
    <t>Lords of Madness</t>
  </si>
  <si>
    <t>15’</t>
  </si>
  <si>
    <t>S DF</t>
  </si>
  <si>
    <t>80’</t>
  </si>
  <si>
    <t>1 hour</t>
  </si>
  <si>
    <t>Tome &amp; Blood</t>
  </si>
  <si>
    <t>1 day/lvl</t>
  </si>
  <si>
    <t>30’</t>
  </si>
  <si>
    <t>Special</t>
  </si>
  <si>
    <t>Complete Scoundrel</t>
  </si>
  <si>
    <t>Champions of Valor</t>
  </si>
  <si>
    <t>1d6+2 rounds</t>
  </si>
  <si>
    <t>Heroes of Horror</t>
  </si>
  <si>
    <t>Drow of the Underdark</t>
  </si>
  <si>
    <t>1 attack</t>
  </si>
  <si>
    <t>8 hours</t>
  </si>
  <si>
    <t>1st:  Exotic Weapon:  Bastard Sword</t>
  </si>
  <si>
    <t>Laryssa</t>
  </si>
  <si>
    <t>Soft Equity Ceiling:</t>
  </si>
  <si>
    <t>Lifekeeping Crystal, Least</t>
  </si>
  <si>
    <t>+1 vs Inflict &amp; Death effects</t>
  </si>
  <si>
    <t>cleric 3</t>
  </si>
  <si>
    <t>Aura of Good</t>
  </si>
  <si>
    <t>Bastard Sword +1, 2-handed</t>
  </si>
  <si>
    <t>Bastard Sword +1, 1-handed</t>
  </si>
  <si>
    <t>1d8</t>
  </si>
  <si>
    <t>Mithral Buckler +1</t>
  </si>
  <si>
    <r>
      <t xml:space="preserve">+ </t>
    </r>
    <r>
      <rPr>
        <i/>
        <sz val="12"/>
        <rFont val="Times New Roman"/>
        <family val="1"/>
      </rPr>
      <t>magic weapon</t>
    </r>
    <r>
      <rPr>
        <sz val="12"/>
        <rFont val="Times New Roman"/>
        <family val="1"/>
      </rPr>
      <t xml:space="preserve"> bonus?</t>
    </r>
  </si>
  <si>
    <t>Spiritual Longsword</t>
  </si>
  <si>
    <t>cleric 4</t>
  </si>
  <si>
    <t>Shield</t>
  </si>
  <si>
    <t>6th:  Power Attack</t>
  </si>
  <si>
    <t>Full Plate +1</t>
  </si>
  <si>
    <t>Ring of Arming</t>
  </si>
  <si>
    <t>Acrobat Boots</t>
  </si>
  <si>
    <t>-8 moving slowly</t>
  </si>
  <si>
    <t>-12 if armored</t>
  </si>
  <si>
    <t>CAN’T USE YET</t>
  </si>
  <si>
    <t>30’/20’</t>
  </si>
  <si>
    <t>þ</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</si>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</sst>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3">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0000FF"/>
      <name val="Times New Roman"/>
      <family val="1"/>
    </font>
    <font>
      <i/>
      <sz val="13"/>
      <name val="Times New Roman"/>
      <family val="1"/>
    </font>
    <font>
      <sz val="13"/>
      <color rgb="FF9999FF"/>
      <name val="Times New Roman"/>
      <family val="1"/>
    </font>
    <font>
      <b/>
      <sz val="13"/>
      <color rgb="FF9999FF"/>
      <name val="Times New Roman"/>
      <family val="1"/>
    </font>
    <font>
      <i/>
      <sz val="22"/>
      <color rgb="FFFF0000"/>
      <name val="Times New Roman"/>
      <family val="1"/>
    </font>
    <font>
      <b/>
      <sz val="12"/>
      <color indexed="81"/>
      <name val="Times New Roman"/>
      <family val="1"/>
    </font>
    <font>
      <sz val="11"/>
      <name val="Times New Roman"/>
      <family val="1"/>
    </font>
    <font>
      <sz val="13"/>
      <color rgb="FFFF0000"/>
      <name val="Times New Roman"/>
      <family val="1"/>
    </font>
    <font>
      <i/>
      <sz val="18"/>
      <color rgb="FF0000FF"/>
      <name val="Times New Roman"/>
      <family val="1"/>
    </font>
    <font>
      <i/>
      <sz val="18"/>
      <color indexed="12"/>
      <name val="Times New Roman"/>
      <family val="1"/>
    </font>
    <font>
      <sz val="13"/>
      <name val="Wingdings"/>
      <charset val="2"/>
    </font>
    <font>
      <b/>
      <sz val="12"/>
      <color theme="0"/>
      <name val="Times New Roman"/>
      <family val="1"/>
    </font>
    <font>
      <sz val="12"/>
      <color rgb="FF0000FF"/>
      <name val="Times New Roman"/>
      <family val="1"/>
    </font>
    <font>
      <i/>
      <sz val="18"/>
      <color rgb="FF9966FF"/>
      <name val="Times New Roman"/>
      <family val="1"/>
    </font>
    <font>
      <i/>
      <sz val="18"/>
      <color theme="0"/>
      <name val="Times New Roman"/>
      <family val="1"/>
    </font>
    <font>
      <i/>
      <sz val="12"/>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00FF"/>
        <bgColor indexed="64"/>
      </patternFill>
    </fill>
    <fill>
      <patternFill patternType="solid">
        <fgColor theme="0" tint="-4.9989318521683403E-2"/>
        <bgColor indexed="64"/>
      </patternFill>
    </fill>
    <fill>
      <patternFill patternType="solid">
        <fgColor rgb="FF66FF33"/>
        <bgColor indexed="64"/>
      </patternFill>
    </fill>
  </fills>
  <borders count="14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hair">
        <color indexed="64"/>
      </left>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5" fillId="0" borderId="0"/>
    <xf numFmtId="0" fontId="2" fillId="0" borderId="0"/>
    <xf numFmtId="0" fontId="36"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5" fillId="0" borderId="0"/>
  </cellStyleXfs>
  <cellXfs count="535">
    <xf numFmtId="0" fontId="0" fillId="0" borderId="0" xfId="0"/>
    <xf numFmtId="0" fontId="12" fillId="3" borderId="37" xfId="0" applyFont="1" applyFill="1" applyBorder="1" applyAlignment="1">
      <alignment horizontal="center" vertical="center" wrapText="1"/>
    </xf>
    <xf numFmtId="0" fontId="4" fillId="0" borderId="0" xfId="0" applyFont="1" applyBorder="1" applyAlignment="1">
      <alignment vertical="center"/>
    </xf>
    <xf numFmtId="0" fontId="20" fillId="2" borderId="59" xfId="0" applyFont="1" applyFill="1" applyBorder="1" applyAlignment="1">
      <alignment horizontal="left" vertical="center"/>
    </xf>
    <xf numFmtId="0" fontId="4" fillId="2" borderId="59" xfId="0" applyFont="1" applyFill="1" applyBorder="1" applyAlignment="1">
      <alignment horizontal="centerContinuous" vertical="center"/>
    </xf>
    <xf numFmtId="0" fontId="5" fillId="2" borderId="59" xfId="0" applyFont="1" applyFill="1" applyBorder="1" applyAlignment="1">
      <alignment horizontal="centerContinuous" vertical="center"/>
    </xf>
    <xf numFmtId="0" fontId="34" fillId="2" borderId="60"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3" xfId="0" applyFont="1" applyFill="1" applyBorder="1" applyAlignment="1">
      <alignment horizontal="right" vertical="center"/>
    </xf>
    <xf numFmtId="0" fontId="6" fillId="4" borderId="80" xfId="0" applyFont="1" applyFill="1" applyBorder="1" applyAlignment="1">
      <alignment horizontal="right"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0" xfId="0" applyFont="1" applyFill="1" applyBorder="1" applyAlignment="1">
      <alignment horizontal="right" vertical="center"/>
    </xf>
    <xf numFmtId="164" fontId="6" fillId="8" borderId="28"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27" xfId="0" applyFont="1" applyBorder="1" applyAlignment="1">
      <alignment horizontal="center" vertical="center"/>
    </xf>
    <xf numFmtId="0" fontId="37" fillId="2" borderId="4" xfId="0" applyFont="1" applyFill="1" applyBorder="1" applyAlignment="1">
      <alignment horizontal="right" vertical="center"/>
    </xf>
    <xf numFmtId="0" fontId="11"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1" fillId="4" borderId="51"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3" fillId="0" borderId="0" xfId="0" applyFont="1" applyBorder="1" applyAlignment="1">
      <alignment horizontal="centerContinuous" vertical="center"/>
    </xf>
    <xf numFmtId="0" fontId="44" fillId="0" borderId="31" xfId="0" applyFont="1" applyBorder="1" applyAlignment="1">
      <alignment horizontal="centerContinuous" vertical="center"/>
    </xf>
    <xf numFmtId="0" fontId="26" fillId="0" borderId="35" xfId="0" applyFont="1" applyFill="1" applyBorder="1" applyAlignment="1">
      <alignment horizontal="centerContinuous" vertical="center"/>
    </xf>
    <xf numFmtId="0" fontId="47" fillId="0" borderId="35" xfId="0" applyFont="1" applyFill="1" applyBorder="1" applyAlignment="1">
      <alignment horizontal="center" vertical="center" shrinkToFit="1"/>
    </xf>
    <xf numFmtId="0" fontId="7" fillId="0" borderId="53" xfId="0" applyFont="1" applyFill="1" applyBorder="1" applyAlignment="1">
      <alignment horizontal="centerContinuous" vertical="center"/>
    </xf>
    <xf numFmtId="0" fontId="7" fillId="0" borderId="48" xfId="0" applyFont="1" applyFill="1" applyBorder="1" applyAlignment="1">
      <alignment horizontal="centerContinuous" vertical="center"/>
    </xf>
    <xf numFmtId="0" fontId="7" fillId="0" borderId="54"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0" fontId="2" fillId="0" borderId="71" xfId="0" applyFont="1" applyBorder="1" applyAlignment="1">
      <alignment horizontal="center" vertical="center" shrinkToFit="1"/>
    </xf>
    <xf numFmtId="0" fontId="5" fillId="0" borderId="44" xfId="0" applyFont="1" applyBorder="1" applyAlignment="1">
      <alignment horizontal="left" vertical="center"/>
    </xf>
    <xf numFmtId="0" fontId="5" fillId="0" borderId="43" xfId="0" applyFont="1" applyBorder="1" applyAlignment="1">
      <alignment horizontal="left" vertical="center" shrinkToFit="1"/>
    </xf>
    <xf numFmtId="0" fontId="2" fillId="0" borderId="0" xfId="0" applyFont="1" applyBorder="1" applyAlignment="1">
      <alignment horizontal="center" vertical="center"/>
    </xf>
    <xf numFmtId="0" fontId="2" fillId="0" borderId="72" xfId="0" applyFont="1" applyBorder="1" applyAlignment="1">
      <alignment horizontal="center" vertical="center" shrinkToFit="1"/>
    </xf>
    <xf numFmtId="164" fontId="2" fillId="0" borderId="39"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2" fillId="0" borderId="74" xfId="0" applyFont="1" applyBorder="1" applyAlignment="1">
      <alignment horizontal="center" vertical="center" shrinkToFit="1"/>
    </xf>
    <xf numFmtId="0" fontId="5" fillId="0" borderId="75" xfId="0" applyFont="1" applyBorder="1" applyAlignment="1">
      <alignment horizontal="center" vertical="center" shrinkToFit="1"/>
    </xf>
    <xf numFmtId="164" fontId="2" fillId="0" borderId="75" xfId="0" applyNumberFormat="1" applyFont="1" applyBorder="1" applyAlignment="1">
      <alignment horizontal="center" vertical="center" shrinkToFit="1"/>
    </xf>
    <xf numFmtId="0" fontId="5" fillId="0" borderId="75" xfId="0" applyFont="1" applyBorder="1" applyAlignment="1">
      <alignment horizontal="left" vertical="center"/>
    </xf>
    <xf numFmtId="0" fontId="5" fillId="0" borderId="76" xfId="0" applyFont="1" applyBorder="1" applyAlignment="1">
      <alignment horizontal="left" vertical="center" shrinkToFit="1"/>
    </xf>
    <xf numFmtId="0" fontId="2" fillId="0" borderId="73" xfId="0" applyFont="1" applyBorder="1" applyAlignment="1">
      <alignment horizontal="center" vertical="center" shrinkToFit="1"/>
    </xf>
    <xf numFmtId="0" fontId="2" fillId="0" borderId="41"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4" xfId="0" applyFont="1" applyBorder="1" applyAlignment="1">
      <alignment horizontal="center" vertical="center" shrinkToFit="1"/>
    </xf>
    <xf numFmtId="164" fontId="5" fillId="0" borderId="39" xfId="0" applyNumberFormat="1" applyFont="1" applyBorder="1" applyAlignment="1">
      <alignment horizontal="center" vertical="center" shrinkToFit="1"/>
    </xf>
    <xf numFmtId="164" fontId="5" fillId="0" borderId="41"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2"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65" xfId="0" applyFont="1" applyFill="1" applyBorder="1" applyAlignment="1">
      <alignment horizontal="centerContinuous" vertical="center"/>
    </xf>
    <xf numFmtId="0" fontId="21" fillId="11" borderId="49" xfId="0" applyFont="1" applyFill="1" applyBorder="1" applyAlignment="1">
      <alignment horizontal="centerContinuous" vertical="center"/>
    </xf>
    <xf numFmtId="164" fontId="2" fillId="0" borderId="66" xfId="0" applyNumberFormat="1" applyFont="1" applyFill="1" applyBorder="1" applyAlignment="1">
      <alignment horizontal="centerContinuous" vertical="center"/>
    </xf>
    <xf numFmtId="0" fontId="5" fillId="0" borderId="67" xfId="0" quotePrefix="1"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29"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0" xfId="0" applyFont="1" applyFill="1" applyBorder="1" applyAlignment="1">
      <alignment horizontal="centerContinuous" vertical="center"/>
    </xf>
    <xf numFmtId="49" fontId="17" fillId="0" borderId="33" xfId="0" applyNumberFormat="1" applyFont="1" applyBorder="1" applyAlignment="1">
      <alignment horizontal="center" shrinkToFit="1"/>
    </xf>
    <xf numFmtId="1" fontId="43" fillId="12" borderId="41" xfId="0" applyNumberFormat="1" applyFont="1" applyFill="1" applyBorder="1" applyAlignment="1">
      <alignment horizontal="center" vertical="center"/>
    </xf>
    <xf numFmtId="0" fontId="2" fillId="0" borderId="44" xfId="0" quotePrefix="1" applyFont="1" applyBorder="1" applyAlignment="1">
      <alignment horizontal="center" vertical="center"/>
    </xf>
    <xf numFmtId="0" fontId="2" fillId="0" borderId="44" xfId="0" applyFont="1" applyBorder="1" applyAlignment="1">
      <alignment horizontal="center" vertical="center"/>
    </xf>
    <xf numFmtId="9" fontId="2" fillId="0" borderId="44" xfId="0" applyNumberFormat="1" applyFont="1" applyBorder="1" applyAlignment="1">
      <alignment horizontal="center" vertical="center"/>
    </xf>
    <xf numFmtId="164" fontId="5" fillId="0" borderId="44" xfId="0" applyNumberFormat="1" applyFont="1" applyFill="1" applyBorder="1" applyAlignment="1">
      <alignment horizontal="center" vertical="center"/>
    </xf>
    <xf numFmtId="164" fontId="2" fillId="0" borderId="85" xfId="0" applyNumberFormat="1" applyFont="1" applyFill="1" applyBorder="1" applyAlignment="1">
      <alignment horizontal="centerContinuous" vertical="center"/>
    </xf>
    <xf numFmtId="0" fontId="5" fillId="0" borderId="87" xfId="0" applyFont="1" applyFill="1" applyBorder="1" applyAlignment="1">
      <alignment horizontal="centerContinuous" vertical="center"/>
    </xf>
    <xf numFmtId="0" fontId="5" fillId="0" borderId="84" xfId="0" applyFont="1" applyFill="1" applyBorder="1" applyAlignment="1">
      <alignment horizontal="centerContinuous" vertical="center"/>
    </xf>
    <xf numFmtId="164" fontId="5" fillId="0" borderId="84"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8" xfId="0" applyNumberFormat="1" applyFont="1" applyFill="1" applyBorder="1" applyAlignment="1">
      <alignment horizontal="centerContinuous" vertical="center"/>
    </xf>
    <xf numFmtId="0" fontId="21" fillId="11" borderId="31" xfId="0" applyFont="1" applyFill="1" applyBorder="1" applyAlignment="1">
      <alignment horizontal="center" vertical="center"/>
    </xf>
    <xf numFmtId="164" fontId="21" fillId="3" borderId="31" xfId="0" applyNumberFormat="1" applyFont="1" applyFill="1" applyBorder="1" applyAlignment="1">
      <alignment horizontal="center" vertical="center"/>
    </xf>
    <xf numFmtId="164" fontId="2" fillId="0" borderId="39"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39" xfId="0" applyFont="1" applyFill="1" applyBorder="1" applyAlignment="1">
      <alignment horizontal="center" vertical="center"/>
    </xf>
    <xf numFmtId="1" fontId="2" fillId="0" borderId="39" xfId="0" applyNumberFormat="1" applyFont="1" applyFill="1" applyBorder="1" applyAlignment="1">
      <alignment horizontal="center" vertical="center"/>
    </xf>
    <xf numFmtId="1" fontId="2" fillId="0" borderId="55" xfId="0" applyNumberFormat="1" applyFont="1" applyBorder="1" applyAlignment="1">
      <alignment horizontal="center" vertical="center" shrinkToFit="1"/>
    </xf>
    <xf numFmtId="1" fontId="2" fillId="0" borderId="48"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1"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64" fontId="2" fillId="0" borderId="44" xfId="0" applyNumberFormat="1" applyFont="1" applyBorder="1" applyAlignment="1">
      <alignment horizontal="center" vertical="center" shrinkToFit="1"/>
    </xf>
    <xf numFmtId="0" fontId="2" fillId="0" borderId="40" xfId="0" applyFont="1" applyBorder="1" applyAlignment="1">
      <alignment horizontal="left" vertical="center" shrinkToFit="1"/>
    </xf>
    <xf numFmtId="1" fontId="43" fillId="12" borderId="39" xfId="0" applyNumberFormat="1" applyFont="1" applyFill="1" applyBorder="1" applyAlignment="1">
      <alignment horizontal="center" vertical="center"/>
    </xf>
    <xf numFmtId="0" fontId="2" fillId="0" borderId="0" xfId="0" applyFont="1" applyBorder="1" applyAlignment="1">
      <alignment vertical="center"/>
    </xf>
    <xf numFmtId="1" fontId="7" fillId="0" borderId="27" xfId="0" applyNumberFormat="1" applyFont="1" applyBorder="1" applyAlignment="1">
      <alignment horizontal="center" vertical="center"/>
    </xf>
    <xf numFmtId="1" fontId="2" fillId="0" borderId="35" xfId="0" applyNumberFormat="1" applyFont="1" applyFill="1" applyBorder="1" applyAlignment="1">
      <alignment horizontal="center" vertical="center"/>
    </xf>
    <xf numFmtId="1" fontId="2" fillId="0" borderId="77"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2" xfId="0" applyNumberFormat="1" applyFont="1" applyBorder="1" applyAlignment="1">
      <alignment horizontal="centerContinuous" vertical="center"/>
    </xf>
    <xf numFmtId="0" fontId="2" fillId="0" borderId="93" xfId="0" applyFont="1" applyBorder="1" applyAlignment="1">
      <alignment horizontal="centerContinuous" vertical="center"/>
    </xf>
    <xf numFmtId="0" fontId="5" fillId="0" borderId="41" xfId="0" applyFont="1" applyBorder="1" applyAlignment="1">
      <alignment horizontal="center" vertical="center" shrinkToFit="1"/>
    </xf>
    <xf numFmtId="0" fontId="2" fillId="13" borderId="73" xfId="0" applyFont="1" applyFill="1" applyBorder="1" applyAlignment="1">
      <alignment horizontal="center" vertical="center" shrinkToFit="1"/>
    </xf>
    <xf numFmtId="0" fontId="2" fillId="13" borderId="41" xfId="0" applyFont="1" applyFill="1" applyBorder="1" applyAlignment="1">
      <alignment horizontal="center" vertical="center"/>
    </xf>
    <xf numFmtId="49" fontId="2" fillId="13" borderId="41" xfId="0" applyNumberFormat="1" applyFont="1" applyFill="1" applyBorder="1" applyAlignment="1">
      <alignment horizontal="center" vertical="center"/>
    </xf>
    <xf numFmtId="164" fontId="2" fillId="13" borderId="41" xfId="0" applyNumberFormat="1" applyFont="1" applyFill="1" applyBorder="1" applyAlignment="1">
      <alignment horizontal="center" vertical="center"/>
    </xf>
    <xf numFmtId="1" fontId="2" fillId="13" borderId="41" xfId="0" applyNumberFormat="1" applyFont="1" applyFill="1" applyBorder="1" applyAlignment="1">
      <alignment horizontal="center" vertical="center"/>
    </xf>
    <xf numFmtId="0" fontId="2" fillId="13" borderId="42" xfId="0" quotePrefix="1" applyFont="1" applyFill="1" applyBorder="1" applyAlignment="1">
      <alignment horizontal="center" vertical="center"/>
    </xf>
    <xf numFmtId="0" fontId="45" fillId="0" borderId="31" xfId="0" applyFont="1" applyBorder="1" applyAlignment="1">
      <alignment horizontal="centerContinuous" vertical="center"/>
    </xf>
    <xf numFmtId="0" fontId="46" fillId="0" borderId="31" xfId="0" applyFont="1" applyBorder="1" applyAlignment="1">
      <alignment horizontal="centerContinuous" vertical="center"/>
    </xf>
    <xf numFmtId="0" fontId="21" fillId="11" borderId="94" xfId="0" applyFont="1" applyFill="1" applyBorder="1" applyAlignment="1">
      <alignment horizontal="center" vertical="center"/>
    </xf>
    <xf numFmtId="1" fontId="21" fillId="11" borderId="31" xfId="0" applyNumberFormat="1" applyFont="1" applyFill="1" applyBorder="1" applyAlignment="1">
      <alignment horizontal="center" vertical="center"/>
    </xf>
    <xf numFmtId="1" fontId="2" fillId="0" borderId="77" xfId="0" applyNumberFormat="1" applyFont="1" applyBorder="1" applyAlignment="1">
      <alignment horizontal="center" vertical="center"/>
    </xf>
    <xf numFmtId="0" fontId="2" fillId="0" borderId="78" xfId="0" applyFont="1" applyFill="1" applyBorder="1" applyAlignment="1">
      <alignment horizontal="centerContinuous" vertical="center" shrinkToFit="1"/>
    </xf>
    <xf numFmtId="0" fontId="21" fillId="0" borderId="66" xfId="0" applyFont="1" applyFill="1" applyBorder="1" applyAlignment="1">
      <alignment horizontal="centerContinuous" vertical="center"/>
    </xf>
    <xf numFmtId="0" fontId="21" fillId="0" borderId="56" xfId="0" applyFont="1" applyFill="1" applyBorder="1" applyAlignment="1">
      <alignment horizontal="centerContinuous" vertical="center"/>
    </xf>
    <xf numFmtId="0" fontId="2" fillId="0" borderId="89" xfId="0" applyFont="1" applyFill="1" applyBorder="1" applyAlignment="1">
      <alignment horizontal="center" vertical="center"/>
    </xf>
    <xf numFmtId="0" fontId="2" fillId="0" borderId="67" xfId="0" applyFont="1" applyFill="1" applyBorder="1" applyAlignment="1">
      <alignment horizontal="centerContinuous" vertical="center"/>
    </xf>
    <xf numFmtId="0" fontId="2" fillId="0" borderId="79" xfId="0" applyFont="1" applyFill="1" applyBorder="1" applyAlignment="1">
      <alignment horizontal="centerContinuous" vertical="center" shrinkToFit="1"/>
    </xf>
    <xf numFmtId="0" fontId="2" fillId="0" borderId="68" xfId="0" applyFont="1" applyFill="1" applyBorder="1" applyAlignment="1">
      <alignment horizontal="centerContinuous" vertical="center"/>
    </xf>
    <xf numFmtId="0" fontId="2" fillId="0" borderId="57"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41" xfId="0" applyNumberFormat="1" applyFont="1" applyFill="1" applyBorder="1" applyAlignment="1">
      <alignment horizontal="center" vertical="center"/>
    </xf>
    <xf numFmtId="0" fontId="2" fillId="0" borderId="69" xfId="0" applyFont="1" applyFill="1" applyBorder="1" applyAlignment="1">
      <alignment horizontal="centerContinuous" vertical="center"/>
    </xf>
    <xf numFmtId="1" fontId="2" fillId="0" borderId="48" xfId="0" applyNumberFormat="1" applyFont="1" applyBorder="1" applyAlignment="1">
      <alignment horizontal="center" vertical="center"/>
    </xf>
    <xf numFmtId="1" fontId="7" fillId="0" borderId="27" xfId="0" applyNumberFormat="1" applyFont="1" applyFill="1" applyBorder="1" applyAlignment="1">
      <alignment horizontal="center" vertical="center"/>
    </xf>
    <xf numFmtId="0" fontId="26" fillId="0" borderId="48" xfId="0" applyFont="1" applyFill="1" applyBorder="1" applyAlignment="1">
      <alignment horizontal="centerContinuous" vertical="center"/>
    </xf>
    <xf numFmtId="0" fontId="47" fillId="0" borderId="35" xfId="0" applyFont="1" applyFill="1" applyBorder="1" applyAlignment="1">
      <alignment horizontal="centerContinuous" vertical="center"/>
    </xf>
    <xf numFmtId="1" fontId="7" fillId="0" borderId="82" xfId="0" applyNumberFormat="1" applyFont="1" applyFill="1" applyBorder="1" applyAlignment="1">
      <alignment horizontal="centerContinuous" vertical="center"/>
    </xf>
    <xf numFmtId="0" fontId="2" fillId="0" borderId="83" xfId="0" applyFont="1" applyFill="1" applyBorder="1" applyAlignment="1">
      <alignment horizontal="centerContinuous" vertical="center"/>
    </xf>
    <xf numFmtId="0" fontId="7" fillId="0" borderId="14" xfId="0" applyFont="1" applyFill="1" applyBorder="1" applyAlignment="1">
      <alignment horizontal="center"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1" xfId="0" applyFont="1" applyBorder="1" applyAlignment="1">
      <alignment horizontal="center" vertical="center" shrinkToFit="1"/>
    </xf>
    <xf numFmtId="1" fontId="2" fillId="0" borderId="90" xfId="0" applyNumberFormat="1" applyFont="1" applyBorder="1" applyAlignment="1">
      <alignment horizontal="center" vertical="center" shrinkToFit="1"/>
    </xf>
    <xf numFmtId="164" fontId="2" fillId="0" borderId="90" xfId="0" applyNumberFormat="1" applyFont="1" applyBorder="1" applyAlignment="1">
      <alignment horizontal="center" vertical="center" shrinkToFit="1"/>
    </xf>
    <xf numFmtId="0" fontId="2" fillId="0" borderId="95" xfId="0" applyFont="1" applyBorder="1" applyAlignment="1">
      <alignment horizontal="left" vertical="center"/>
    </xf>
    <xf numFmtId="0" fontId="2" fillId="0" borderId="91" xfId="0" applyFont="1" applyBorder="1" applyAlignment="1">
      <alignment horizontal="left" vertical="center" shrinkToFit="1"/>
    </xf>
    <xf numFmtId="0" fontId="2" fillId="0" borderId="78" xfId="0" applyFont="1" applyBorder="1" applyAlignment="1">
      <alignment horizontal="center" vertical="center" shrinkToFit="1"/>
    </xf>
    <xf numFmtId="1" fontId="2" fillId="0" borderId="39" xfId="0" applyNumberFormat="1" applyFont="1" applyBorder="1" applyAlignment="1">
      <alignment horizontal="center" vertical="center" shrinkToFit="1"/>
    </xf>
    <xf numFmtId="0" fontId="2" fillId="0" borderId="89" xfId="0" applyFont="1" applyBorder="1" applyAlignment="1">
      <alignment horizontal="left" vertical="center"/>
    </xf>
    <xf numFmtId="1" fontId="2" fillId="0" borderId="35" xfId="0" applyNumberFormat="1" applyFont="1" applyBorder="1" applyAlignment="1">
      <alignment horizontal="center" vertical="center" shrinkToFit="1"/>
    </xf>
    <xf numFmtId="0" fontId="24" fillId="0" borderId="22" xfId="0" applyFont="1" applyBorder="1" applyAlignment="1">
      <alignment horizontal="centerContinuous" vertical="center"/>
    </xf>
    <xf numFmtId="0" fontId="12" fillId="3" borderId="61" xfId="0" applyFont="1" applyFill="1" applyBorder="1" applyAlignment="1">
      <alignment horizontal="centerContinuous" vertical="center"/>
    </xf>
    <xf numFmtId="0" fontId="12" fillId="3" borderId="37" xfId="0" applyFont="1" applyFill="1" applyBorder="1" applyAlignment="1">
      <alignment horizontal="center" vertical="center"/>
    </xf>
    <xf numFmtId="0" fontId="12" fillId="3" borderId="37" xfId="0" applyNumberFormat="1" applyFont="1" applyFill="1" applyBorder="1" applyAlignment="1">
      <alignment horizontal="center" vertical="center"/>
    </xf>
    <xf numFmtId="0" fontId="41" fillId="12" borderId="36" xfId="0" applyNumberFormat="1" applyFont="1" applyFill="1" applyBorder="1" applyAlignment="1">
      <alignment horizontal="center" vertical="center"/>
    </xf>
    <xf numFmtId="0" fontId="12" fillId="3" borderId="62" xfId="0" applyFont="1" applyFill="1" applyBorder="1" applyAlignment="1">
      <alignment horizontal="center" vertical="center"/>
    </xf>
    <xf numFmtId="0" fontId="39" fillId="0" borderId="1" xfId="0" applyFont="1" applyFill="1" applyBorder="1" applyAlignment="1">
      <alignment vertical="center"/>
    </xf>
    <xf numFmtId="0" fontId="6" fillId="0" borderId="24" xfId="0" applyFont="1" applyFill="1" applyBorder="1" applyAlignment="1">
      <alignment horizontal="center" vertical="center"/>
    </xf>
    <xf numFmtId="0" fontId="47" fillId="0" borderId="24" xfId="0" applyFont="1" applyFill="1" applyBorder="1" applyAlignment="1">
      <alignment horizontal="center" vertical="center"/>
    </xf>
    <xf numFmtId="0" fontId="7" fillId="0" borderId="24" xfId="0" applyFont="1" applyFill="1" applyBorder="1" applyAlignment="1">
      <alignment horizontal="center" vertical="center"/>
    </xf>
    <xf numFmtId="0" fontId="40" fillId="0" borderId="24" xfId="0" applyFont="1" applyFill="1" applyBorder="1" applyAlignment="1">
      <alignment horizontal="center" vertical="center"/>
    </xf>
    <xf numFmtId="1" fontId="7" fillId="0" borderId="24" xfId="0" applyNumberFormat="1" applyFont="1" applyFill="1" applyBorder="1" applyAlignment="1">
      <alignment horizontal="center" vertical="center"/>
    </xf>
    <xf numFmtId="0" fontId="38" fillId="12" borderId="25" xfId="0" applyNumberFormat="1" applyFont="1" applyFill="1" applyBorder="1" applyAlignment="1">
      <alignment horizontal="center" vertical="center"/>
    </xf>
    <xf numFmtId="0" fontId="7" fillId="0" borderId="26" xfId="0" quotePrefix="1" applyNumberFormat="1" applyFont="1" applyFill="1" applyBorder="1" applyAlignment="1">
      <alignment horizontal="center" vertical="center"/>
    </xf>
    <xf numFmtId="0" fontId="50" fillId="0" borderId="1" xfId="0" applyFont="1" applyFill="1" applyBorder="1" applyAlignment="1">
      <alignment vertical="center"/>
    </xf>
    <xf numFmtId="0" fontId="49" fillId="0" borderId="24" xfId="0" applyFont="1" applyFill="1" applyBorder="1" applyAlignment="1">
      <alignment horizontal="center" vertical="center"/>
    </xf>
    <xf numFmtId="0" fontId="13" fillId="0" borderId="25" xfId="0" applyNumberFormat="1" applyFont="1" applyFill="1" applyBorder="1" applyAlignment="1">
      <alignment horizontal="center" vertical="center"/>
    </xf>
    <xf numFmtId="0" fontId="40" fillId="0" borderId="32" xfId="0" applyFont="1" applyFill="1" applyBorder="1" applyAlignment="1">
      <alignment vertical="center"/>
    </xf>
    <xf numFmtId="0" fontId="6"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41" fillId="0" borderId="46" xfId="0" applyFont="1" applyFill="1" applyBorder="1" applyAlignment="1">
      <alignment horizontal="center" vertical="center"/>
    </xf>
    <xf numFmtId="1" fontId="7" fillId="0" borderId="46" xfId="0" applyNumberFormat="1" applyFont="1" applyFill="1" applyBorder="1" applyAlignment="1">
      <alignment horizontal="center" vertical="center"/>
    </xf>
    <xf numFmtId="0" fontId="38" fillId="12" borderId="46" xfId="0" applyNumberFormat="1" applyFont="1" applyFill="1" applyBorder="1" applyAlignment="1">
      <alignment horizontal="center" vertical="center"/>
    </xf>
    <xf numFmtId="0" fontId="7" fillId="0" borderId="33"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4" xfId="0" applyNumberFormat="1" applyFont="1" applyFill="1" applyBorder="1" applyAlignment="1">
      <alignment horizontal="center"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11"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xf>
    <xf numFmtId="49" fontId="49" fillId="0" borderId="24" xfId="0" applyNumberFormat="1" applyFont="1" applyFill="1" applyBorder="1" applyAlignment="1">
      <alignment horizontal="center" vertical="center"/>
    </xf>
    <xf numFmtId="0" fontId="49" fillId="0" borderId="25" xfId="0" applyNumberFormat="1" applyFont="1" applyFill="1" applyBorder="1" applyAlignment="1">
      <alignment horizontal="center" vertical="center"/>
    </xf>
    <xf numFmtId="0" fontId="50" fillId="0" borderId="25"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4" xfId="0" applyNumberFormat="1" applyFont="1" applyFill="1" applyBorder="1" applyAlignment="1">
      <alignment horizontal="center" vertical="center"/>
    </xf>
    <xf numFmtId="49" fontId="23" fillId="9" borderId="24" xfId="0" applyNumberFormat="1" applyFont="1" applyFill="1" applyBorder="1" applyAlignment="1">
      <alignment horizontal="center" vertical="center"/>
    </xf>
    <xf numFmtId="0" fontId="23" fillId="9" borderId="25" xfId="0" applyNumberFormat="1" applyFont="1" applyFill="1" applyBorder="1" applyAlignment="1">
      <alignment horizontal="center" vertical="center"/>
    </xf>
    <xf numFmtId="0" fontId="14" fillId="9" borderId="25" xfId="0" applyNumberFormat="1" applyFont="1" applyFill="1" applyBorder="1" applyAlignment="1">
      <alignment horizontal="center" vertical="center"/>
    </xf>
    <xf numFmtId="49" fontId="7" fillId="9" borderId="25" xfId="0" applyNumberFormat="1" applyFont="1" applyFill="1" applyBorder="1" applyAlignment="1">
      <alignment horizontal="center" vertical="center"/>
    </xf>
    <xf numFmtId="0" fontId="7" fillId="9" borderId="26"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4" xfId="0" applyNumberFormat="1" applyFont="1" applyFill="1" applyBorder="1" applyAlignment="1">
      <alignment horizontal="center" vertical="center"/>
    </xf>
    <xf numFmtId="0" fontId="18"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4" xfId="0" applyNumberFormat="1" applyFont="1" applyFill="1" applyBorder="1" applyAlignment="1">
      <alignment horizontal="center" vertical="center"/>
    </xf>
    <xf numFmtId="49" fontId="26" fillId="7" borderId="24" xfId="0" applyNumberFormat="1" applyFont="1" applyFill="1" applyBorder="1" applyAlignment="1">
      <alignment horizontal="center" vertical="center"/>
    </xf>
    <xf numFmtId="0" fontId="26" fillId="7" borderId="25" xfId="0" applyNumberFormat="1" applyFont="1" applyFill="1" applyBorder="1" applyAlignment="1">
      <alignment horizontal="center" vertical="center"/>
    </xf>
    <xf numFmtId="0" fontId="10" fillId="7" borderId="25" xfId="0" applyNumberFormat="1" applyFont="1" applyFill="1" applyBorder="1" applyAlignment="1">
      <alignment horizontal="center" vertical="center"/>
    </xf>
    <xf numFmtId="49" fontId="7" fillId="7" borderId="25" xfId="0" applyNumberFormat="1" applyFont="1" applyFill="1" applyBorder="1" applyAlignment="1">
      <alignment horizontal="center" vertical="center"/>
    </xf>
    <xf numFmtId="0" fontId="7" fillId="7" borderId="26"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4" xfId="0" applyNumberFormat="1" applyFont="1" applyFill="1" applyBorder="1" applyAlignment="1">
      <alignment horizontal="center" vertical="center"/>
    </xf>
    <xf numFmtId="49" fontId="17" fillId="5" borderId="24" xfId="0" applyNumberFormat="1" applyFont="1" applyFill="1" applyBorder="1" applyAlignment="1">
      <alignment horizontal="center" vertical="center"/>
    </xf>
    <xf numFmtId="0" fontId="17" fillId="5" borderId="25" xfId="0" applyNumberFormat="1" applyFont="1" applyFill="1" applyBorder="1" applyAlignment="1">
      <alignment horizontal="center" vertical="center"/>
    </xf>
    <xf numFmtId="0" fontId="11" fillId="5" borderId="25" xfId="0" applyNumberFormat="1" applyFont="1" applyFill="1" applyBorder="1" applyAlignment="1">
      <alignment horizontal="center" vertical="center"/>
    </xf>
    <xf numFmtId="49" fontId="7" fillId="5" borderId="25" xfId="0" applyNumberFormat="1" applyFont="1" applyFill="1" applyBorder="1" applyAlignment="1">
      <alignment horizontal="center" vertical="center"/>
    </xf>
    <xf numFmtId="0" fontId="7" fillId="5" borderId="26"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4" fillId="0" borderId="25"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4" xfId="0" applyNumberFormat="1" applyFont="1" applyFill="1" applyBorder="1" applyAlignment="1">
      <alignment horizontal="center" vertical="center"/>
    </xf>
    <xf numFmtId="49" fontId="17" fillId="6" borderId="24" xfId="0" applyNumberFormat="1" applyFont="1" applyFill="1" applyBorder="1" applyAlignment="1">
      <alignment horizontal="center" vertical="center"/>
    </xf>
    <xf numFmtId="0" fontId="17" fillId="6" borderId="25" xfId="0" applyNumberFormat="1" applyFont="1" applyFill="1" applyBorder="1" applyAlignment="1">
      <alignment horizontal="center" vertical="center"/>
    </xf>
    <xf numFmtId="0" fontId="11" fillId="6" borderId="25"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4" xfId="0" applyNumberFormat="1" applyFont="1" applyFill="1" applyBorder="1" applyAlignment="1">
      <alignment horizontal="center" vertical="center"/>
    </xf>
    <xf numFmtId="0" fontId="17" fillId="7" borderId="25" xfId="0" applyNumberFormat="1" applyFont="1" applyFill="1" applyBorder="1" applyAlignment="1">
      <alignment horizontal="center" vertical="center"/>
    </xf>
    <xf numFmtId="0" fontId="11" fillId="7" borderId="25"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50" fillId="5" borderId="1" xfId="0" applyFont="1" applyFill="1" applyBorder="1" applyAlignment="1">
      <alignment vertical="center"/>
    </xf>
    <xf numFmtId="49" fontId="49" fillId="5" borderId="24" xfId="0" applyNumberFormat="1" applyFont="1" applyFill="1" applyBorder="1" applyAlignment="1">
      <alignment horizontal="center" vertical="center"/>
    </xf>
    <xf numFmtId="0" fontId="49" fillId="5" borderId="25" xfId="0" applyNumberFormat="1" applyFont="1" applyFill="1" applyBorder="1" applyAlignment="1">
      <alignment horizontal="center" vertical="center"/>
    </xf>
    <xf numFmtId="0" fontId="50" fillId="5" borderId="25"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0" fontId="22" fillId="9" borderId="1" xfId="0" applyFont="1" applyFill="1" applyBorder="1" applyAlignment="1">
      <alignment vertical="center"/>
    </xf>
    <xf numFmtId="0" fontId="11" fillId="10" borderId="1" xfId="0" applyFont="1" applyFill="1" applyBorder="1" applyAlignment="1">
      <alignment vertical="center"/>
    </xf>
    <xf numFmtId="0" fontId="7" fillId="10" borderId="24" xfId="0" applyNumberFormat="1" applyFont="1" applyFill="1" applyBorder="1" applyAlignment="1">
      <alignment horizontal="center" vertical="center"/>
    </xf>
    <xf numFmtId="49" fontId="17" fillId="10" borderId="24" xfId="0" applyNumberFormat="1" applyFont="1" applyFill="1" applyBorder="1" applyAlignment="1">
      <alignment horizontal="center" vertical="center"/>
    </xf>
    <xf numFmtId="0" fontId="17" fillId="10" borderId="25" xfId="0" applyNumberFormat="1" applyFont="1" applyFill="1" applyBorder="1" applyAlignment="1">
      <alignment horizontal="center" vertical="center"/>
    </xf>
    <xf numFmtId="0" fontId="11" fillId="10" borderId="25" xfId="0" applyNumberFormat="1" applyFont="1" applyFill="1" applyBorder="1" applyAlignment="1">
      <alignment horizontal="center" vertical="center"/>
    </xf>
    <xf numFmtId="49" fontId="7" fillId="10" borderId="25" xfId="0" applyNumberFormat="1" applyFont="1" applyFill="1" applyBorder="1" applyAlignment="1">
      <alignment horizontal="center" vertical="center"/>
    </xf>
    <xf numFmtId="0" fontId="7" fillId="10" borderId="26" xfId="0" quotePrefix="1" applyNumberFormat="1" applyFont="1" applyFill="1" applyBorder="1" applyAlignment="1">
      <alignment horizontal="center" vertical="center"/>
    </xf>
    <xf numFmtId="0" fontId="50" fillId="4" borderId="1" xfId="0" applyFont="1" applyFill="1" applyBorder="1" applyAlignment="1">
      <alignment vertical="center"/>
    </xf>
    <xf numFmtId="0" fontId="7" fillId="4" borderId="24" xfId="0" applyNumberFormat="1" applyFont="1" applyFill="1" applyBorder="1" applyAlignment="1">
      <alignment horizontal="center" vertical="center"/>
    </xf>
    <xf numFmtId="49" fontId="49" fillId="4" borderId="24" xfId="0" applyNumberFormat="1" applyFont="1" applyFill="1" applyBorder="1" applyAlignment="1">
      <alignment horizontal="center" vertical="center"/>
    </xf>
    <xf numFmtId="0" fontId="49" fillId="4" borderId="25" xfId="0" applyNumberFormat="1" applyFont="1" applyFill="1" applyBorder="1" applyAlignment="1">
      <alignment horizontal="center" vertical="center"/>
    </xf>
    <xf numFmtId="0" fontId="50" fillId="4" borderId="25" xfId="0" applyNumberFormat="1" applyFont="1" applyFill="1" applyBorder="1" applyAlignment="1">
      <alignment horizontal="center" vertical="center"/>
    </xf>
    <xf numFmtId="0" fontId="7" fillId="4" borderId="26"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4" fillId="5" borderId="25" xfId="0" applyNumberFormat="1" applyFont="1" applyFill="1" applyBorder="1" applyAlignment="1">
      <alignment horizontal="center" vertical="center"/>
    </xf>
    <xf numFmtId="0" fontId="50" fillId="0" borderId="8" xfId="0" applyFont="1" applyFill="1" applyBorder="1" applyAlignment="1">
      <alignment vertical="center"/>
    </xf>
    <xf numFmtId="0" fontId="7" fillId="0" borderId="45" xfId="0" applyNumberFormat="1" applyFont="1" applyFill="1" applyBorder="1" applyAlignment="1">
      <alignment horizontal="center" vertical="center"/>
    </xf>
    <xf numFmtId="49" fontId="49" fillId="0" borderId="45" xfId="0" applyNumberFormat="1" applyFont="1" applyFill="1" applyBorder="1" applyAlignment="1">
      <alignment horizontal="center" vertical="center"/>
    </xf>
    <xf numFmtId="0" fontId="49" fillId="0" borderId="47" xfId="0" applyNumberFormat="1" applyFont="1" applyFill="1" applyBorder="1" applyAlignment="1">
      <alignment horizontal="center" vertical="center"/>
    </xf>
    <xf numFmtId="0" fontId="50" fillId="0" borderId="47"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0" fontId="38" fillId="12" borderId="45" xfId="0" applyNumberFormat="1" applyFont="1" applyFill="1" applyBorder="1" applyAlignment="1">
      <alignment horizontal="center" vertical="center"/>
    </xf>
    <xf numFmtId="0" fontId="7" fillId="0" borderId="34"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7" fillId="0" borderId="23" xfId="0" quotePrefix="1" applyFont="1" applyFill="1" applyBorder="1" applyAlignment="1">
      <alignment horizontal="center" vertical="center"/>
    </xf>
    <xf numFmtId="0" fontId="48" fillId="0" borderId="0" xfId="0" applyFont="1" applyBorder="1" applyAlignment="1">
      <alignment vertical="center"/>
    </xf>
    <xf numFmtId="0" fontId="6" fillId="4" borderId="30" xfId="0" applyFont="1" applyFill="1" applyBorder="1" applyAlignment="1">
      <alignment horizontal="right" vertical="center"/>
    </xf>
    <xf numFmtId="3" fontId="7" fillId="0" borderId="12" xfId="0" applyNumberFormat="1" applyFont="1" applyBorder="1" applyAlignment="1">
      <alignment horizontal="center" vertical="center"/>
    </xf>
    <xf numFmtId="2" fontId="2" fillId="0" borderId="48" xfId="0" applyNumberFormat="1" applyFont="1" applyFill="1" applyBorder="1" applyAlignment="1">
      <alignment horizontal="center" vertical="center"/>
    </xf>
    <xf numFmtId="2" fontId="2" fillId="0" borderId="55" xfId="0" applyNumberFormat="1" applyFont="1" applyBorder="1" applyAlignment="1">
      <alignment horizontal="center" vertical="center" shrinkToFit="1"/>
    </xf>
    <xf numFmtId="2" fontId="2" fillId="0" borderId="35" xfId="0" applyNumberFormat="1" applyFont="1" applyBorder="1" applyAlignment="1">
      <alignment horizontal="center" vertical="center" shrinkToFit="1"/>
    </xf>
    <xf numFmtId="0" fontId="51" fillId="2" borderId="58" xfId="0" applyFont="1" applyFill="1" applyBorder="1" applyAlignment="1">
      <alignment horizontal="right" vertical="center"/>
    </xf>
    <xf numFmtId="0" fontId="51" fillId="2" borderId="59"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96"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53" fillId="0" borderId="0" xfId="0" applyFont="1" applyBorder="1" applyAlignment="1">
      <alignment horizontal="centerContinuous" vertical="center"/>
    </xf>
    <xf numFmtId="0" fontId="26" fillId="0" borderId="35" xfId="0" applyFont="1" applyBorder="1" applyAlignment="1">
      <alignment horizontal="centerContinuous" vertical="center"/>
    </xf>
    <xf numFmtId="0" fontId="26" fillId="0" borderId="35" xfId="0" applyFont="1" applyBorder="1" applyAlignment="1">
      <alignment horizontal="centerContinuous"/>
    </xf>
    <xf numFmtId="0" fontId="54" fillId="0" borderId="35" xfId="0" applyFont="1" applyBorder="1" applyAlignment="1">
      <alignment horizontal="centerContinuous" vertical="center"/>
    </xf>
    <xf numFmtId="0" fontId="55" fillId="0" borderId="31" xfId="0" applyFont="1" applyBorder="1" applyAlignment="1">
      <alignment horizontal="centerContinuous" vertical="center"/>
    </xf>
    <xf numFmtId="0" fontId="26" fillId="0" borderId="77" xfId="0" applyFont="1" applyBorder="1" applyAlignment="1">
      <alignment horizontal="centerContinuous" vertical="center" shrinkToFit="1"/>
    </xf>
    <xf numFmtId="0" fontId="26" fillId="0" borderId="55" xfId="0" applyFont="1" applyBorder="1" applyAlignment="1">
      <alignment horizontal="center" vertical="center" shrinkToFit="1"/>
    </xf>
    <xf numFmtId="0" fontId="26" fillId="0" borderId="54" xfId="0" quotePrefix="1" applyFont="1" applyBorder="1" applyAlignment="1">
      <alignment horizontal="center" vertical="center" shrinkToFit="1"/>
    </xf>
    <xf numFmtId="0" fontId="55" fillId="0" borderId="97" xfId="5" applyFont="1" applyBorder="1" applyAlignment="1">
      <alignment horizontal="centerContinuous" vertical="center" wrapText="1"/>
    </xf>
    <xf numFmtId="0" fontId="6" fillId="0" borderId="98" xfId="5" applyFont="1" applyBorder="1" applyAlignment="1">
      <alignment horizontal="centerContinuous" vertical="center" wrapText="1"/>
    </xf>
    <xf numFmtId="0" fontId="6" fillId="0" borderId="99" xfId="5" applyFont="1" applyBorder="1" applyAlignment="1">
      <alignment horizontal="centerContinuous" vertical="center" wrapText="1"/>
    </xf>
    <xf numFmtId="0" fontId="7" fillId="0" borderId="0" xfId="5" applyFont="1" applyAlignment="1">
      <alignment vertical="center" wrapText="1"/>
    </xf>
    <xf numFmtId="0" fontId="2" fillId="0" borderId="0" xfId="5" applyAlignment="1">
      <alignment vertical="center" wrapText="1"/>
    </xf>
    <xf numFmtId="0" fontId="55" fillId="0" borderId="0" xfId="5" applyFont="1" applyAlignment="1">
      <alignment horizontal="centerContinuous" vertical="center" wrapText="1"/>
    </xf>
    <xf numFmtId="0" fontId="16" fillId="0" borderId="0" xfId="5" applyFont="1" applyAlignment="1">
      <alignment horizontal="centerContinuous" vertical="center" wrapText="1"/>
    </xf>
    <xf numFmtId="0" fontId="56" fillId="0" borderId="0" xfId="5" applyFont="1" applyAlignment="1">
      <alignment horizontal="centerContinuous" vertical="center" wrapText="1"/>
    </xf>
    <xf numFmtId="0" fontId="12" fillId="14" borderId="32" xfId="5" applyFont="1" applyFill="1" applyBorder="1" applyAlignment="1">
      <alignment horizontal="centerContinuous" vertical="center" wrapText="1"/>
    </xf>
    <xf numFmtId="0" fontId="12" fillId="14" borderId="100" xfId="5" applyFont="1" applyFill="1" applyBorder="1" applyAlignment="1">
      <alignment horizontal="center" vertical="center" wrapText="1"/>
    </xf>
    <xf numFmtId="0" fontId="12" fillId="14" borderId="101" xfId="5" applyFont="1" applyFill="1" applyBorder="1" applyAlignment="1">
      <alignment horizontal="center" vertical="center" wrapText="1"/>
    </xf>
    <xf numFmtId="0" fontId="7" fillId="0" borderId="0" xfId="5" applyFont="1" applyAlignment="1">
      <alignment horizontal="left" vertical="center"/>
    </xf>
    <xf numFmtId="0" fontId="4" fillId="0" borderId="5" xfId="5" applyFont="1" applyBorder="1" applyAlignment="1">
      <alignment horizontal="centerContinuous" vertical="center"/>
    </xf>
    <xf numFmtId="0" fontId="2" fillId="0" borderId="6" xfId="5" applyBorder="1" applyAlignment="1">
      <alignment horizontal="centerContinuous" vertical="center" wrapText="1"/>
    </xf>
    <xf numFmtId="0" fontId="2" fillId="0" borderId="7" xfId="5" applyBorder="1" applyAlignment="1">
      <alignment horizontal="centerContinuous" vertical="center" wrapText="1"/>
    </xf>
    <xf numFmtId="0" fontId="47" fillId="0" borderId="1" xfId="5" applyFont="1" applyBorder="1" applyAlignment="1">
      <alignment horizontal="center" vertical="center" shrinkToFit="1"/>
    </xf>
    <xf numFmtId="0" fontId="7" fillId="0" borderId="24" xfId="5" applyFont="1" applyBorder="1" applyAlignment="1">
      <alignment horizontal="center" vertical="center"/>
    </xf>
    <xf numFmtId="49" fontId="7" fillId="0" borderId="24" xfId="5" applyNumberFormat="1" applyFont="1" applyBorder="1" applyAlignment="1">
      <alignment horizontal="center" vertical="center"/>
    </xf>
    <xf numFmtId="0" fontId="57" fillId="8" borderId="26" xfId="2" applyNumberFormat="1" applyFont="1" applyFill="1" applyBorder="1" applyAlignment="1">
      <alignment horizontal="center" vertical="center" shrinkToFit="1"/>
    </xf>
    <xf numFmtId="0" fontId="4" fillId="0" borderId="8" xfId="5" applyFont="1" applyBorder="1" applyAlignment="1">
      <alignment horizontal="center" vertical="center" wrapText="1"/>
    </xf>
    <xf numFmtId="0" fontId="4" fillId="0" borderId="9"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102" xfId="5" applyFont="1" applyBorder="1" applyAlignment="1">
      <alignment horizontal="right" vertical="center" wrapText="1"/>
    </xf>
    <xf numFmtId="0" fontId="2" fillId="0" borderId="103" xfId="5" applyBorder="1" applyAlignment="1">
      <alignment horizontal="center" vertical="center" wrapText="1"/>
    </xf>
    <xf numFmtId="0" fontId="2" fillId="0" borderId="104" xfId="5" applyBorder="1" applyAlignment="1">
      <alignment horizontal="center" vertical="center" wrapText="1"/>
    </xf>
    <xf numFmtId="0" fontId="2" fillId="15" borderId="105" xfId="5" applyFill="1" applyBorder="1" applyAlignment="1">
      <alignment horizontal="center" vertical="center" wrapText="1"/>
    </xf>
    <xf numFmtId="0" fontId="4" fillId="0" borderId="35" xfId="5" applyFont="1" applyBorder="1" applyAlignment="1">
      <alignment horizontal="right" vertical="center" wrapText="1"/>
    </xf>
    <xf numFmtId="0" fontId="2" fillId="0" borderId="56" xfId="5" applyBorder="1" applyAlignment="1">
      <alignment horizontal="center" vertical="center" wrapText="1"/>
    </xf>
    <xf numFmtId="0" fontId="2" fillId="0" borderId="39" xfId="5" applyBorder="1" applyAlignment="1">
      <alignment horizontal="center" vertical="center" wrapText="1"/>
    </xf>
    <xf numFmtId="0" fontId="2" fillId="15" borderId="40" xfId="5" applyFill="1" applyBorder="1" applyAlignment="1">
      <alignment horizontal="center" vertical="center" wrapText="1"/>
    </xf>
    <xf numFmtId="0" fontId="4" fillId="0" borderId="48" xfId="5" applyFont="1" applyBorder="1" applyAlignment="1">
      <alignment horizontal="right" vertical="center" wrapText="1"/>
    </xf>
    <xf numFmtId="0" fontId="58" fillId="14" borderId="57" xfId="5" applyFont="1" applyFill="1" applyBorder="1" applyAlignment="1">
      <alignment horizontal="center" vertical="center" wrapText="1"/>
    </xf>
    <xf numFmtId="0" fontId="58" fillId="14" borderId="41" xfId="5" applyFont="1" applyFill="1" applyBorder="1" applyAlignment="1">
      <alignment horizontal="center" vertical="center" wrapText="1"/>
    </xf>
    <xf numFmtId="0" fontId="4" fillId="15" borderId="42" xfId="5" applyFont="1" applyFill="1" applyBorder="1" applyAlignment="1">
      <alignment horizontal="center" vertical="center" wrapText="1"/>
    </xf>
    <xf numFmtId="0" fontId="47" fillId="0" borderId="32" xfId="5" applyFont="1" applyBorder="1" applyAlignment="1">
      <alignment horizontal="center" vertical="center" shrinkToFit="1"/>
    </xf>
    <xf numFmtId="0" fontId="7" fillId="0" borderId="46" xfId="5" applyFont="1" applyBorder="1" applyAlignment="1">
      <alignment horizontal="center" vertical="center"/>
    </xf>
    <xf numFmtId="49" fontId="7" fillId="0" borderId="46" xfId="5" applyNumberFormat="1" applyFont="1" applyBorder="1" applyAlignment="1">
      <alignment horizontal="center" vertical="center"/>
    </xf>
    <xf numFmtId="0" fontId="57" fillId="8" borderId="33" xfId="2" applyNumberFormat="1" applyFont="1" applyFill="1" applyBorder="1" applyAlignment="1">
      <alignment horizontal="center" vertical="center" shrinkToFit="1"/>
    </xf>
    <xf numFmtId="0" fontId="55" fillId="0" borderId="106" xfId="5" applyFont="1" applyBorder="1" applyAlignment="1">
      <alignment horizontal="centerContinuous" vertical="center"/>
    </xf>
    <xf numFmtId="0" fontId="55" fillId="0" borderId="107" xfId="5" applyFont="1" applyBorder="1" applyAlignment="1">
      <alignment horizontal="centerContinuous" vertical="center"/>
    </xf>
    <xf numFmtId="0" fontId="59" fillId="0" borderId="108" xfId="5" applyFont="1" applyBorder="1" applyAlignment="1">
      <alignment horizontal="centerContinuous" vertical="center"/>
    </xf>
    <xf numFmtId="0" fontId="7" fillId="0" borderId="0" xfId="5" quotePrefix="1" applyFont="1" applyAlignment="1">
      <alignment vertical="center"/>
    </xf>
    <xf numFmtId="0" fontId="4" fillId="0" borderId="78" xfId="5" applyFont="1" applyBorder="1" applyAlignment="1">
      <alignment vertical="center"/>
    </xf>
    <xf numFmtId="0" fontId="4" fillId="0" borderId="66" xfId="5" applyFont="1" applyBorder="1" applyAlignment="1">
      <alignment horizontal="right" vertical="center"/>
    </xf>
    <xf numFmtId="0" fontId="2" fillId="0" borderId="109" xfId="5" applyBorder="1" applyAlignment="1">
      <alignment horizontal="center" vertical="center"/>
    </xf>
    <xf numFmtId="49" fontId="43" fillId="14" borderId="110" xfId="5" applyNumberFormat="1" applyFont="1" applyFill="1" applyBorder="1" applyAlignment="1">
      <alignment vertical="center"/>
    </xf>
    <xf numFmtId="0" fontId="42" fillId="14" borderId="111" xfId="5" applyFont="1" applyFill="1" applyBorder="1" applyAlignment="1">
      <alignment horizontal="right" vertical="center"/>
    </xf>
    <xf numFmtId="0" fontId="43" fillId="14" borderId="112" xfId="5" applyFont="1" applyFill="1" applyBorder="1" applyAlignment="1">
      <alignment horizontal="center" vertical="center"/>
    </xf>
    <xf numFmtId="49" fontId="2" fillId="0" borderId="78" xfId="5" applyNumberFormat="1" applyBorder="1" applyAlignment="1">
      <alignment vertical="center"/>
    </xf>
    <xf numFmtId="1" fontId="2" fillId="0" borderId="113" xfId="5" applyNumberFormat="1" applyBorder="1" applyAlignment="1">
      <alignment horizontal="center" vertical="center"/>
    </xf>
    <xf numFmtId="0" fontId="43" fillId="14" borderId="78" xfId="5" applyFont="1" applyFill="1" applyBorder="1" applyAlignment="1">
      <alignment vertical="center"/>
    </xf>
    <xf numFmtId="0" fontId="42" fillId="14" borderId="66" xfId="5" applyFont="1" applyFill="1" applyBorder="1" applyAlignment="1">
      <alignment horizontal="right" vertical="center"/>
    </xf>
    <xf numFmtId="0" fontId="43" fillId="14" borderId="113" xfId="5" applyFont="1" applyFill="1" applyBorder="1" applyAlignment="1">
      <alignment horizontal="center" vertical="center"/>
    </xf>
    <xf numFmtId="0" fontId="2" fillId="0" borderId="114" xfId="5" applyBorder="1" applyAlignment="1">
      <alignment vertical="center"/>
    </xf>
    <xf numFmtId="0" fontId="4" fillId="0" borderId="115" xfId="5" applyFont="1" applyBorder="1" applyAlignment="1">
      <alignment horizontal="right" vertical="center"/>
    </xf>
    <xf numFmtId="49" fontId="2" fillId="0" borderId="116" xfId="5" applyNumberFormat="1" applyBorder="1" applyAlignment="1">
      <alignment horizontal="center" vertical="center"/>
    </xf>
    <xf numFmtId="0" fontId="2" fillId="0" borderId="81" xfId="5" applyBorder="1" applyAlignment="1">
      <alignment vertical="center"/>
    </xf>
    <xf numFmtId="0" fontId="4" fillId="0" borderId="117" xfId="5" applyFont="1" applyBorder="1" applyAlignment="1">
      <alignment horizontal="right" vertical="center"/>
    </xf>
    <xf numFmtId="0" fontId="7" fillId="0" borderId="0" xfId="5" applyFont="1" applyAlignment="1">
      <alignment horizontal="left" vertical="center" wrapText="1"/>
    </xf>
    <xf numFmtId="49" fontId="2" fillId="0" borderId="79" xfId="5" applyNumberFormat="1" applyBorder="1" applyAlignment="1">
      <alignment vertical="center"/>
    </xf>
    <xf numFmtId="0" fontId="4" fillId="0" borderId="68" xfId="5" applyFont="1" applyBorder="1" applyAlignment="1">
      <alignment horizontal="right" vertical="center"/>
    </xf>
    <xf numFmtId="0" fontId="2" fillId="16" borderId="119" xfId="5" applyFill="1" applyBorder="1" applyAlignment="1">
      <alignment horizontal="center" vertical="center"/>
    </xf>
    <xf numFmtId="0" fontId="6" fillId="0" borderId="0" xfId="5" applyFont="1" applyAlignment="1">
      <alignment horizontal="right" vertical="center"/>
    </xf>
    <xf numFmtId="0" fontId="7" fillId="0" borderId="0" xfId="5" applyFont="1" applyAlignment="1">
      <alignment horizontal="center" vertical="center" wrapText="1"/>
    </xf>
    <xf numFmtId="0" fontId="48" fillId="0" borderId="0" xfId="5" applyFont="1" applyAlignment="1">
      <alignment horizontal="left" vertical="center" wrapText="1"/>
    </xf>
    <xf numFmtId="0" fontId="48" fillId="0" borderId="0" xfId="5" applyFont="1" applyAlignment="1">
      <alignment vertical="center" wrapText="1"/>
    </xf>
    <xf numFmtId="0" fontId="6" fillId="0" borderId="0" xfId="5" applyFont="1" applyAlignment="1">
      <alignment horizontal="right" vertical="center" wrapText="1"/>
    </xf>
    <xf numFmtId="0" fontId="2" fillId="15" borderId="104" xfId="5" applyFill="1" applyBorder="1" applyAlignment="1">
      <alignment horizontal="center" vertical="center" wrapText="1"/>
    </xf>
    <xf numFmtId="0" fontId="2" fillId="15" borderId="39" xfId="5" applyFill="1" applyBorder="1" applyAlignment="1">
      <alignment horizontal="center" vertical="center" wrapText="1"/>
    </xf>
    <xf numFmtId="0" fontId="4" fillId="15" borderId="41" xfId="5" applyFont="1" applyFill="1" applyBorder="1" applyAlignment="1">
      <alignment horizontal="center" vertical="center" wrapText="1"/>
    </xf>
    <xf numFmtId="0" fontId="7" fillId="0" borderId="45" xfId="5" applyFont="1" applyBorder="1" applyAlignment="1">
      <alignment horizontal="center" vertical="center"/>
    </xf>
    <xf numFmtId="49" fontId="7" fillId="0" borderId="45" xfId="5" applyNumberFormat="1" applyFont="1" applyBorder="1" applyAlignment="1">
      <alignment horizontal="center" vertical="center"/>
    </xf>
    <xf numFmtId="0" fontId="57" fillId="8" borderId="34" xfId="2" applyNumberFormat="1" applyFont="1" applyFill="1" applyBorder="1" applyAlignment="1">
      <alignment horizontal="center" vertical="center" shrinkToFit="1"/>
    </xf>
    <xf numFmtId="0" fontId="60" fillId="0" borderId="31" xfId="0" applyFont="1" applyBorder="1" applyAlignment="1">
      <alignment horizontal="centerContinuous" vertical="center"/>
    </xf>
    <xf numFmtId="0" fontId="61" fillId="14" borderId="31" xfId="0" applyFont="1" applyFill="1" applyBorder="1" applyAlignment="1">
      <alignment horizontal="centerContinuous" vertical="center"/>
    </xf>
    <xf numFmtId="0" fontId="16" fillId="0" borderId="0" xfId="5" applyFont="1" applyAlignment="1">
      <alignment horizontal="centerContinuous" vertical="center"/>
    </xf>
    <xf numFmtId="0" fontId="7" fillId="0" borderId="24" xfId="8" applyFont="1" applyBorder="1" applyAlignment="1">
      <alignment horizontal="center" vertical="center" wrapText="1"/>
    </xf>
    <xf numFmtId="0" fontId="7" fillId="10" borderId="24" xfId="8" applyFont="1" applyFill="1" applyBorder="1" applyAlignment="1">
      <alignment horizontal="center" vertical="center"/>
    </xf>
    <xf numFmtId="0" fontId="7" fillId="0" borderId="123" xfId="5" applyFont="1" applyBorder="1" applyAlignment="1">
      <alignment horizontal="center" vertical="center" shrinkToFit="1"/>
    </xf>
    <xf numFmtId="9" fontId="7" fillId="0" borderId="124" xfId="2" applyFont="1" applyBorder="1" applyAlignment="1">
      <alignment horizontal="center" vertical="center" shrinkToFit="1"/>
    </xf>
    <xf numFmtId="0" fontId="7" fillId="0" borderId="124" xfId="2" applyNumberFormat="1" applyFont="1" applyBorder="1" applyAlignment="1">
      <alignment horizontal="center" vertical="center" shrinkToFit="1"/>
    </xf>
    <xf numFmtId="0" fontId="7" fillId="0" borderId="25" xfId="2" applyNumberFormat="1" applyFont="1" applyBorder="1" applyAlignment="1">
      <alignment horizontal="center" vertical="center" shrinkToFit="1"/>
    </xf>
    <xf numFmtId="0" fontId="7" fillId="0" borderId="125" xfId="5" applyFont="1" applyBorder="1" applyAlignment="1">
      <alignment horizontal="center" vertical="center" wrapText="1"/>
    </xf>
    <xf numFmtId="9" fontId="7" fillId="0" borderId="24" xfId="2" applyFont="1" applyFill="1" applyBorder="1" applyAlignment="1">
      <alignment horizontal="center" vertical="center" shrinkToFit="1"/>
    </xf>
    <xf numFmtId="9" fontId="7" fillId="0" borderId="25" xfId="2" applyFont="1" applyFill="1" applyBorder="1" applyAlignment="1">
      <alignment horizontal="center" vertical="center" shrinkToFit="1"/>
    </xf>
    <xf numFmtId="0" fontId="7" fillId="0" borderId="25" xfId="5" applyFont="1" applyBorder="1" applyAlignment="1">
      <alignment horizontal="center" vertical="center" shrinkToFit="1"/>
    </xf>
    <xf numFmtId="0" fontId="7" fillId="0" borderId="25" xfId="2" applyNumberFormat="1" applyFont="1" applyFill="1" applyBorder="1" applyAlignment="1">
      <alignment horizontal="center" vertical="center" shrinkToFit="1"/>
    </xf>
    <xf numFmtId="0" fontId="7" fillId="0" borderId="26" xfId="5" applyFont="1" applyBorder="1" applyAlignment="1">
      <alignment horizontal="center" vertical="center" wrapText="1"/>
    </xf>
    <xf numFmtId="0" fontId="7" fillId="0" borderId="24" xfId="5" applyFont="1" applyBorder="1" applyAlignment="1">
      <alignment horizontal="center" vertical="center" shrinkToFit="1"/>
    </xf>
    <xf numFmtId="0" fontId="7" fillId="0" borderId="26" xfId="5" quotePrefix="1" applyFont="1" applyBorder="1" applyAlignment="1">
      <alignment horizontal="center" vertical="center" wrapText="1"/>
    </xf>
    <xf numFmtId="9" fontId="7" fillId="0" borderId="24" xfId="2" applyFont="1" applyBorder="1" applyAlignment="1">
      <alignment horizontal="center" vertical="center" shrinkToFit="1"/>
    </xf>
    <xf numFmtId="0" fontId="7" fillId="0" borderId="46" xfId="8" applyFont="1" applyBorder="1" applyAlignment="1">
      <alignment horizontal="center" vertical="center" wrapText="1"/>
    </xf>
    <xf numFmtId="0" fontId="7" fillId="10" borderId="46" xfId="8" applyFont="1" applyFill="1" applyBorder="1" applyAlignment="1">
      <alignment horizontal="center" vertical="center"/>
    </xf>
    <xf numFmtId="9" fontId="7" fillId="0" borderId="46" xfId="2" applyFont="1" applyFill="1" applyBorder="1" applyAlignment="1">
      <alignment horizontal="center" vertical="center" shrinkToFit="1"/>
    </xf>
    <xf numFmtId="9" fontId="7" fillId="0" borderId="14" xfId="2" applyFont="1" applyFill="1" applyBorder="1" applyAlignment="1">
      <alignment horizontal="center" vertical="center" shrinkToFit="1"/>
    </xf>
    <xf numFmtId="0" fontId="7" fillId="0" borderId="14" xfId="5"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3" xfId="5" applyFont="1" applyBorder="1" applyAlignment="1">
      <alignment horizontal="center" vertical="center" wrapText="1"/>
    </xf>
    <xf numFmtId="9" fontId="7" fillId="0" borderId="25" xfId="2" applyFont="1" applyBorder="1" applyAlignment="1">
      <alignment horizontal="center" vertical="center" shrinkToFit="1"/>
    </xf>
    <xf numFmtId="9" fontId="7" fillId="0" borderId="25" xfId="10" applyFont="1" applyFill="1" applyBorder="1" applyAlignment="1">
      <alignment horizontal="center" vertical="center" shrinkToFit="1"/>
    </xf>
    <xf numFmtId="9" fontId="7" fillId="0" borderId="24" xfId="10" applyFont="1" applyFill="1" applyBorder="1" applyAlignment="1">
      <alignment horizontal="center" vertical="center" shrinkToFit="1"/>
    </xf>
    <xf numFmtId="0" fontId="7" fillId="0" borderId="25" xfId="10" applyNumberFormat="1" applyFont="1" applyFill="1" applyBorder="1" applyAlignment="1">
      <alignment horizontal="center" vertical="center" shrinkToFit="1"/>
    </xf>
    <xf numFmtId="0" fontId="7" fillId="0" borderId="26" xfId="5" applyFont="1" applyBorder="1" applyAlignment="1">
      <alignment horizontal="center" vertical="center"/>
    </xf>
    <xf numFmtId="0" fontId="7" fillId="0" borderId="26" xfId="5" applyFont="1" applyBorder="1" applyAlignment="1">
      <alignment horizontal="center" vertical="center" shrinkToFit="1"/>
    </xf>
    <xf numFmtId="0" fontId="7" fillId="0" borderId="26" xfId="8" applyFont="1" applyBorder="1" applyAlignment="1">
      <alignment horizontal="center" vertical="center" wrapText="1"/>
    </xf>
    <xf numFmtId="0" fontId="7" fillId="0" borderId="45" xfId="8" applyFont="1" applyBorder="1" applyAlignment="1">
      <alignment horizontal="center" vertical="center" wrapText="1"/>
    </xf>
    <xf numFmtId="0" fontId="7" fillId="10" borderId="45" xfId="8" applyFont="1" applyFill="1" applyBorder="1" applyAlignment="1">
      <alignment horizontal="center" vertical="center"/>
    </xf>
    <xf numFmtId="9" fontId="7" fillId="0" borderId="45" xfId="2" applyFont="1" applyFill="1" applyBorder="1" applyAlignment="1">
      <alignment horizontal="center" vertical="center" shrinkToFit="1"/>
    </xf>
    <xf numFmtId="9" fontId="7" fillId="0" borderId="47" xfId="2" applyFont="1" applyFill="1" applyBorder="1" applyAlignment="1">
      <alignment horizontal="center" vertical="center" shrinkToFit="1"/>
    </xf>
    <xf numFmtId="0" fontId="7" fillId="0" borderId="47" xfId="5" applyFont="1" applyBorder="1" applyAlignment="1">
      <alignment horizontal="center" vertical="center" shrinkToFit="1"/>
    </xf>
    <xf numFmtId="0" fontId="7" fillId="0" borderId="47" xfId="2" applyNumberFormat="1" applyFont="1" applyFill="1" applyBorder="1" applyAlignment="1">
      <alignment horizontal="center" vertical="center" shrinkToFit="1"/>
    </xf>
    <xf numFmtId="0" fontId="7" fillId="0" borderId="47" xfId="2" applyNumberFormat="1" applyFont="1" applyBorder="1" applyAlignment="1">
      <alignment horizontal="center" vertical="center" shrinkToFit="1"/>
    </xf>
    <xf numFmtId="0" fontId="7" fillId="0" borderId="34" xfId="5" applyFont="1" applyBorder="1" applyAlignment="1">
      <alignment horizontal="center" vertical="center" wrapText="1"/>
    </xf>
    <xf numFmtId="0" fontId="4" fillId="0" borderId="0" xfId="5" applyFont="1" applyAlignment="1">
      <alignment horizontal="right" vertical="center"/>
    </xf>
    <xf numFmtId="0" fontId="2" fillId="0" borderId="0" xfId="5" applyAlignment="1">
      <alignment horizontal="left" vertical="center"/>
    </xf>
    <xf numFmtId="0" fontId="55" fillId="0" borderId="22" xfId="5" applyFont="1" applyBorder="1" applyAlignment="1">
      <alignment horizontal="centerContinuous" vertical="center"/>
    </xf>
    <xf numFmtId="0" fontId="47" fillId="0" borderId="1" xfId="8" applyFont="1" applyBorder="1" applyAlignment="1">
      <alignment horizontal="center" vertical="center" shrinkToFit="1"/>
    </xf>
    <xf numFmtId="0" fontId="47" fillId="0" borderId="32" xfId="8" applyFont="1" applyBorder="1" applyAlignment="1">
      <alignment horizontal="center" vertical="center" shrinkToFit="1"/>
    </xf>
    <xf numFmtId="0" fontId="47" fillId="0" borderId="8" xfId="8" applyFont="1" applyBorder="1" applyAlignment="1">
      <alignment horizontal="center" vertical="center" shrinkToFit="1"/>
    </xf>
    <xf numFmtId="0" fontId="12" fillId="14" borderId="121" xfId="5" applyFont="1" applyFill="1" applyBorder="1" applyAlignment="1">
      <alignment horizontal="center" vertical="center"/>
    </xf>
    <xf numFmtId="0" fontId="7" fillId="10" borderId="0" xfId="5" applyFont="1" applyFill="1" applyAlignment="1">
      <alignment horizontal="center" vertical="center" wrapText="1"/>
    </xf>
    <xf numFmtId="0" fontId="26" fillId="0" borderId="35" xfId="0" quotePrefix="1" applyFont="1" applyFill="1" applyBorder="1" applyAlignment="1">
      <alignment horizontal="centerContinuous" vertical="center"/>
    </xf>
    <xf numFmtId="1" fontId="43" fillId="12" borderId="90" xfId="0" applyNumberFormat="1" applyFont="1" applyFill="1" applyBorder="1" applyAlignment="1">
      <alignment horizontal="center" vertical="center"/>
    </xf>
    <xf numFmtId="0" fontId="2" fillId="0" borderId="126" xfId="0" applyFont="1" applyBorder="1" applyAlignment="1">
      <alignment horizontal="center" vertical="center"/>
    </xf>
    <xf numFmtId="0" fontId="2" fillId="0" borderId="90" xfId="0" applyFont="1" applyBorder="1" applyAlignment="1">
      <alignment horizontal="center" vertical="center"/>
    </xf>
    <xf numFmtId="0" fontId="2" fillId="0" borderId="90" xfId="0" quotePrefix="1" applyFont="1" applyFill="1" applyBorder="1" applyAlignment="1">
      <alignment horizontal="center" vertical="center" wrapText="1"/>
    </xf>
    <xf numFmtId="49" fontId="2" fillId="0" borderId="90" xfId="2" applyNumberFormat="1" applyFont="1" applyBorder="1" applyAlignment="1">
      <alignment horizontal="center" vertical="center"/>
    </xf>
    <xf numFmtId="0" fontId="2" fillId="0" borderId="90" xfId="0" applyFont="1" applyBorder="1" applyAlignment="1">
      <alignment horizontal="center" vertical="center" shrinkToFit="1"/>
    </xf>
    <xf numFmtId="164" fontId="5" fillId="0" borderId="90" xfId="0" applyNumberFormat="1" applyFont="1" applyBorder="1" applyAlignment="1">
      <alignment horizontal="center" vertical="center"/>
    </xf>
    <xf numFmtId="164" fontId="5" fillId="0" borderId="90" xfId="0" applyNumberFormat="1" applyFont="1" applyFill="1" applyBorder="1" applyAlignment="1">
      <alignment horizontal="center" vertical="center"/>
    </xf>
    <xf numFmtId="1" fontId="5" fillId="0" borderId="90" xfId="0" applyNumberFormat="1" applyFont="1" applyBorder="1" applyAlignment="1">
      <alignment horizontal="center" vertical="center"/>
    </xf>
    <xf numFmtId="0" fontId="2" fillId="0" borderId="91" xfId="0" quotePrefix="1" applyFont="1" applyBorder="1" applyAlignment="1">
      <alignment horizontal="center" vertical="center"/>
    </xf>
    <xf numFmtId="0" fontId="2" fillId="0" borderId="129" xfId="0" applyFont="1" applyFill="1" applyBorder="1" applyAlignment="1">
      <alignment horizontal="center" vertical="center"/>
    </xf>
    <xf numFmtId="164" fontId="2" fillId="0" borderId="129" xfId="0" applyNumberFormat="1" applyFont="1" applyFill="1" applyBorder="1" applyAlignment="1">
      <alignment horizontal="center" vertical="center"/>
    </xf>
    <xf numFmtId="1" fontId="43" fillId="12" borderId="129" xfId="0" applyNumberFormat="1" applyFont="1" applyFill="1" applyBorder="1" applyAlignment="1">
      <alignment horizontal="center" vertical="center"/>
    </xf>
    <xf numFmtId="1" fontId="2" fillId="0" borderId="129" xfId="0" applyNumberFormat="1" applyFont="1" applyFill="1" applyBorder="1" applyAlignment="1">
      <alignment horizontal="center" vertical="center"/>
    </xf>
    <xf numFmtId="1" fontId="2" fillId="13" borderId="54" xfId="0" applyNumberFormat="1" applyFont="1" applyFill="1" applyBorder="1" applyAlignment="1">
      <alignment horizontal="center" vertical="center"/>
    </xf>
    <xf numFmtId="0" fontId="2" fillId="13" borderId="132" xfId="0" applyFont="1" applyFill="1" applyBorder="1" applyAlignment="1">
      <alignment horizontal="center" vertical="center"/>
    </xf>
    <xf numFmtId="0" fontId="2" fillId="13" borderId="133" xfId="0" applyFont="1" applyFill="1" applyBorder="1" applyAlignment="1">
      <alignment horizontal="center" vertical="center"/>
    </xf>
    <xf numFmtId="49" fontId="2" fillId="13" borderId="133" xfId="0" applyNumberFormat="1" applyFont="1" applyFill="1" applyBorder="1" applyAlignment="1">
      <alignment horizontal="center" vertical="center"/>
    </xf>
    <xf numFmtId="1" fontId="43" fillId="12" borderId="133" xfId="0" applyNumberFormat="1" applyFont="1" applyFill="1" applyBorder="1" applyAlignment="1">
      <alignment horizontal="center" vertical="center"/>
    </xf>
    <xf numFmtId="1" fontId="2" fillId="13" borderId="133" xfId="0" applyNumberFormat="1" applyFont="1" applyFill="1" applyBorder="1" applyAlignment="1">
      <alignment horizontal="center" vertical="center"/>
    </xf>
    <xf numFmtId="0" fontId="2" fillId="13" borderId="134" xfId="0" applyFont="1" applyFill="1" applyBorder="1" applyAlignment="1">
      <alignment horizontal="center" vertical="center"/>
    </xf>
    <xf numFmtId="0" fontId="2" fillId="13" borderId="54" xfId="0" applyFont="1" applyFill="1" applyBorder="1" applyAlignment="1">
      <alignment horizontal="center" vertical="center"/>
    </xf>
    <xf numFmtId="0" fontId="2" fillId="0" borderId="128" xfId="0" applyFont="1" applyBorder="1" applyAlignment="1">
      <alignment horizontal="center" vertical="center"/>
    </xf>
    <xf numFmtId="0" fontId="2" fillId="0" borderId="129" xfId="0" applyFont="1" applyBorder="1" applyAlignment="1">
      <alignment horizontal="center" vertical="center"/>
    </xf>
    <xf numFmtId="0" fontId="2" fillId="0" borderId="129" xfId="0" applyNumberFormat="1" applyFont="1" applyBorder="1" applyAlignment="1">
      <alignment horizontal="center" vertical="center"/>
    </xf>
    <xf numFmtId="49" fontId="2" fillId="0" borderId="129" xfId="0" applyNumberFormat="1" applyFont="1" applyBorder="1" applyAlignment="1">
      <alignment horizontal="center" vertical="center"/>
    </xf>
    <xf numFmtId="164" fontId="2" fillId="0" borderId="129" xfId="0" applyNumberFormat="1" applyFont="1" applyBorder="1" applyAlignment="1">
      <alignment horizontal="center" vertical="center"/>
    </xf>
    <xf numFmtId="1" fontId="2" fillId="0" borderId="127" xfId="0" applyNumberFormat="1" applyFont="1" applyFill="1" applyBorder="1" applyAlignment="1">
      <alignment horizontal="center" vertical="center"/>
    </xf>
    <xf numFmtId="1" fontId="2" fillId="10" borderId="131" xfId="0" applyNumberFormat="1" applyFont="1" applyFill="1" applyBorder="1" applyAlignment="1">
      <alignment horizontal="center" vertical="center"/>
    </xf>
    <xf numFmtId="0" fontId="2" fillId="0" borderId="135" xfId="0" applyFont="1" applyBorder="1" applyAlignment="1">
      <alignment horizontal="center" vertical="center" shrinkToFit="1"/>
    </xf>
    <xf numFmtId="0" fontId="2" fillId="0" borderId="136" xfId="0" applyFont="1" applyFill="1" applyBorder="1" applyAlignment="1">
      <alignment horizontal="center" vertical="center"/>
    </xf>
    <xf numFmtId="49" fontId="2" fillId="0" borderId="136" xfId="0" applyNumberFormat="1" applyFont="1" applyFill="1" applyBorder="1" applyAlignment="1">
      <alignment horizontal="center" vertical="center"/>
    </xf>
    <xf numFmtId="164" fontId="2" fillId="0" borderId="136" xfId="0" applyNumberFormat="1" applyFont="1" applyFill="1" applyBorder="1" applyAlignment="1">
      <alignment horizontal="center" vertical="center"/>
    </xf>
    <xf numFmtId="1" fontId="43" fillId="12" borderId="136" xfId="0" applyNumberFormat="1" applyFont="1" applyFill="1" applyBorder="1" applyAlignment="1">
      <alignment horizontal="center" vertical="center"/>
    </xf>
    <xf numFmtId="1" fontId="2" fillId="0" borderId="136" xfId="0" applyNumberFormat="1" applyFont="1" applyFill="1" applyBorder="1" applyAlignment="1">
      <alignment horizontal="center" vertical="center"/>
    </xf>
    <xf numFmtId="0" fontId="2" fillId="0" borderId="137" xfId="0" quotePrefix="1" applyFont="1" applyFill="1" applyBorder="1" applyAlignment="1">
      <alignment horizontal="center" vertical="center"/>
    </xf>
    <xf numFmtId="49" fontId="2" fillId="0" borderId="39" xfId="0" applyNumberFormat="1" applyFont="1" applyFill="1" applyBorder="1" applyAlignment="1">
      <alignment horizontal="center" vertical="center"/>
    </xf>
    <xf numFmtId="0" fontId="2" fillId="0" borderId="40" xfId="0" quotePrefix="1" applyFont="1" applyFill="1" applyBorder="1" applyAlignment="1">
      <alignment horizontal="center" vertical="center"/>
    </xf>
    <xf numFmtId="1" fontId="2" fillId="10" borderId="35" xfId="0" applyNumberFormat="1" applyFont="1" applyFill="1" applyBorder="1" applyAlignment="1">
      <alignment horizontal="center" vertical="center"/>
    </xf>
    <xf numFmtId="1" fontId="2" fillId="0" borderId="127" xfId="0" applyNumberFormat="1" applyFont="1" applyBorder="1" applyAlignment="1">
      <alignment horizontal="center" vertical="center"/>
    </xf>
    <xf numFmtId="0" fontId="2" fillId="0" borderId="132" xfId="0" applyFont="1" applyBorder="1" applyAlignment="1">
      <alignment horizontal="center" vertical="center" shrinkToFit="1"/>
    </xf>
    <xf numFmtId="0" fontId="2" fillId="0" borderId="133" xfId="0" applyFont="1" applyBorder="1" applyAlignment="1">
      <alignment horizontal="center" vertical="center"/>
    </xf>
    <xf numFmtId="0" fontId="2" fillId="0" borderId="133" xfId="0" quotePrefix="1" applyFont="1" applyBorder="1" applyAlignment="1">
      <alignment horizontal="center" vertical="center"/>
    </xf>
    <xf numFmtId="9" fontId="2" fillId="0" borderId="133" xfId="0" applyNumberFormat="1" applyFont="1" applyBorder="1" applyAlignment="1">
      <alignment horizontal="center" vertical="center"/>
    </xf>
    <xf numFmtId="164" fontId="2" fillId="0" borderId="133" xfId="0" applyNumberFormat="1" applyFont="1" applyFill="1" applyBorder="1" applyAlignment="1">
      <alignment horizontal="center" vertical="center"/>
    </xf>
    <xf numFmtId="164" fontId="2" fillId="0" borderId="138" xfId="0" applyNumberFormat="1" applyFont="1" applyFill="1" applyBorder="1" applyAlignment="1">
      <alignment horizontal="centerContinuous" vertical="center"/>
    </xf>
    <xf numFmtId="164" fontId="2" fillId="0" borderId="9" xfId="0" applyNumberFormat="1" applyFont="1" applyFill="1" applyBorder="1" applyAlignment="1">
      <alignment horizontal="centerContinuous" vertical="center"/>
    </xf>
    <xf numFmtId="0" fontId="5" fillId="0" borderId="10" xfId="0" quotePrefix="1" applyFont="1" applyBorder="1" applyAlignment="1">
      <alignment horizontal="centerContinuous" vertical="center"/>
    </xf>
    <xf numFmtId="1" fontId="2" fillId="0" borderId="54" xfId="0" applyNumberFormat="1" applyFont="1" applyFill="1" applyBorder="1" applyAlignment="1">
      <alignment horizontal="center" vertical="center"/>
    </xf>
    <xf numFmtId="0" fontId="2" fillId="0" borderId="128" xfId="0" applyFont="1" applyFill="1" applyBorder="1" applyAlignment="1">
      <alignment horizontal="center" vertical="center" shrinkToFit="1"/>
    </xf>
    <xf numFmtId="0" fontId="2" fillId="0" borderId="129" xfId="0" quotePrefix="1" applyFont="1" applyFill="1" applyBorder="1" applyAlignment="1">
      <alignment horizontal="center" vertical="center"/>
    </xf>
    <xf numFmtId="9" fontId="2" fillId="0" borderId="129" xfId="0" applyNumberFormat="1" applyFont="1" applyFill="1" applyBorder="1" applyAlignment="1">
      <alignment horizontal="center" vertical="center"/>
    </xf>
    <xf numFmtId="164" fontId="2" fillId="0" borderId="139" xfId="0" applyNumberFormat="1" applyFont="1" applyFill="1" applyBorder="1" applyAlignment="1">
      <alignment horizontal="centerContinuous" vertical="center"/>
    </xf>
    <xf numFmtId="164" fontId="2" fillId="0" borderId="140" xfId="0" applyNumberFormat="1" applyFont="1" applyFill="1" applyBorder="1" applyAlignment="1">
      <alignment horizontal="centerContinuous" vertical="center"/>
    </xf>
    <xf numFmtId="0" fontId="2" fillId="0" borderId="141" xfId="0" applyFont="1" applyFill="1" applyBorder="1" applyAlignment="1">
      <alignment horizontal="centerContinuous" vertical="center"/>
    </xf>
    <xf numFmtId="0" fontId="7" fillId="0" borderId="14" xfId="2" applyNumberFormat="1" applyFont="1" applyBorder="1" applyAlignment="1">
      <alignment horizontal="center" vertical="center" shrinkToFit="1"/>
    </xf>
    <xf numFmtId="0" fontId="2" fillId="0" borderId="129" xfId="0" quotePrefix="1" applyFont="1" applyBorder="1" applyAlignment="1">
      <alignment horizontal="center" vertical="center" wrapText="1"/>
    </xf>
    <xf numFmtId="49" fontId="2" fillId="0" borderId="129" xfId="2" applyNumberFormat="1" applyFont="1" applyFill="1" applyBorder="1" applyAlignment="1">
      <alignment horizontal="center" vertical="center"/>
    </xf>
    <xf numFmtId="0" fontId="2" fillId="10" borderId="129" xfId="0" applyFont="1" applyFill="1" applyBorder="1" applyAlignment="1">
      <alignment horizontal="center" vertical="center" shrinkToFit="1"/>
    </xf>
    <xf numFmtId="164" fontId="2" fillId="10" borderId="129" xfId="0" applyNumberFormat="1" applyFont="1" applyFill="1" applyBorder="1" applyAlignment="1">
      <alignment horizontal="center" vertical="center"/>
    </xf>
    <xf numFmtId="0" fontId="2" fillId="10" borderId="130" xfId="0" quotePrefix="1" applyFont="1" applyFill="1" applyBorder="1" applyAlignment="1">
      <alignment horizontal="center" vertical="center"/>
    </xf>
    <xf numFmtId="165" fontId="2" fillId="0" borderId="0" xfId="0" applyNumberFormat="1" applyFont="1" applyAlignment="1">
      <alignment horizontal="center" vertical="center"/>
    </xf>
    <xf numFmtId="49" fontId="2" fillId="0" borderId="118" xfId="5" applyNumberFormat="1" applyBorder="1" applyAlignment="1">
      <alignment horizontal="center" vertical="center"/>
    </xf>
    <xf numFmtId="0" fontId="40" fillId="0" borderId="1" xfId="5" applyFont="1" applyBorder="1" applyAlignment="1">
      <alignment horizontal="center" vertical="center" shrinkToFit="1"/>
    </xf>
    <xf numFmtId="0" fontId="2" fillId="0" borderId="130" xfId="0" quotePrefix="1" applyFont="1" applyFill="1" applyBorder="1" applyAlignment="1">
      <alignment horizontal="center" vertical="center"/>
    </xf>
    <xf numFmtId="0" fontId="12" fillId="14" borderId="120" xfId="5" applyFont="1" applyFill="1" applyBorder="1" applyAlignment="1">
      <alignment horizontal="centerContinuous" vertical="center"/>
    </xf>
    <xf numFmtId="0" fontId="12" fillId="14" borderId="122" xfId="5" applyFont="1" applyFill="1" applyBorder="1" applyAlignment="1">
      <alignment horizontal="centerContinuous" vertical="center"/>
    </xf>
    <xf numFmtId="0" fontId="40" fillId="0" borderId="8" xfId="5" applyFont="1" applyBorder="1" applyAlignment="1">
      <alignment horizontal="center" vertical="center" shrinkToFit="1"/>
    </xf>
    <xf numFmtId="0" fontId="47" fillId="0" borderId="77" xfId="0" applyFont="1" applyFill="1" applyBorder="1" applyAlignment="1">
      <alignment horizontal="center" vertical="center" shrinkToFit="1"/>
    </xf>
    <xf numFmtId="0" fontId="54" fillId="0" borderId="48" xfId="0" applyFont="1" applyFill="1" applyBorder="1" applyAlignment="1">
      <alignment horizontal="centerContinuous" vertical="center"/>
    </xf>
    <xf numFmtId="0" fontId="2" fillId="0" borderId="143" xfId="0" applyFont="1" applyFill="1" applyBorder="1" applyAlignment="1">
      <alignment horizontal="center" vertical="center" shrinkToFit="1"/>
    </xf>
    <xf numFmtId="0" fontId="2" fillId="0" borderId="144" xfId="0" quotePrefix="1" applyFont="1" applyFill="1" applyBorder="1" applyAlignment="1">
      <alignment horizontal="center" vertical="center"/>
    </xf>
    <xf numFmtId="0" fontId="2" fillId="0" borderId="144" xfId="0" applyFont="1" applyFill="1" applyBorder="1" applyAlignment="1">
      <alignment horizontal="center" vertical="center"/>
    </xf>
    <xf numFmtId="9" fontId="2" fillId="0" borderId="144" xfId="0" applyNumberFormat="1" applyFont="1" applyFill="1" applyBorder="1" applyAlignment="1">
      <alignment horizontal="center" vertical="center"/>
    </xf>
    <xf numFmtId="164" fontId="2" fillId="0" borderId="144" xfId="0" applyNumberFormat="1" applyFont="1" applyFill="1" applyBorder="1" applyAlignment="1">
      <alignment horizontal="center" vertical="center"/>
    </xf>
    <xf numFmtId="164" fontId="2" fillId="0" borderId="145" xfId="0" applyNumberFormat="1" applyFont="1" applyFill="1" applyBorder="1" applyAlignment="1">
      <alignment horizontal="centerContinuous" vertical="center"/>
    </xf>
    <xf numFmtId="164" fontId="2" fillId="0" borderId="96" xfId="0" applyNumberFormat="1" applyFont="1" applyFill="1" applyBorder="1" applyAlignment="1">
      <alignment horizontal="centerContinuous" vertical="center"/>
    </xf>
    <xf numFmtId="0" fontId="2" fillId="0" borderId="101" xfId="0" applyFont="1" applyFill="1" applyBorder="1" applyAlignment="1">
      <alignment horizontal="centerContinuous" vertical="center"/>
    </xf>
    <xf numFmtId="1" fontId="2" fillId="0" borderId="131" xfId="0" applyNumberFormat="1" applyFont="1" applyFill="1" applyBorder="1" applyAlignment="1">
      <alignment horizontal="center" vertical="center"/>
    </xf>
    <xf numFmtId="1" fontId="2" fillId="0" borderId="142" xfId="0" applyNumberFormat="1" applyFont="1" applyBorder="1" applyAlignment="1">
      <alignment horizontal="center" vertical="center" shrinkToFit="1"/>
    </xf>
    <xf numFmtId="0" fontId="2" fillId="0" borderId="75" xfId="0" quotePrefix="1" applyFont="1" applyBorder="1" applyAlignment="1">
      <alignment horizontal="left" vertical="center"/>
    </xf>
    <xf numFmtId="0" fontId="7" fillId="5" borderId="25" xfId="0" applyNumberFormat="1" applyFont="1" applyFill="1" applyBorder="1" applyAlignment="1">
      <alignment horizontal="center" vertical="center"/>
    </xf>
    <xf numFmtId="0" fontId="7" fillId="0" borderId="64" xfId="0" applyNumberFormat="1" applyFont="1" applyFill="1" applyBorder="1" applyAlignment="1">
      <alignment horizontal="center" vertical="center"/>
    </xf>
    <xf numFmtId="0" fontId="47" fillId="0" borderId="8" xfId="5" applyFont="1" applyBorder="1" applyAlignment="1">
      <alignment horizontal="center" vertical="center" shrinkToFit="1"/>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8">
    <dxf>
      <font>
        <b val="0"/>
        <i/>
        <color theme="1"/>
      </font>
      <fill>
        <patternFill>
          <bgColor theme="0" tint="-0.24994659260841701"/>
        </patternFill>
      </fill>
    </dxf>
    <dxf>
      <font>
        <b/>
        <i val="0"/>
        <color theme="1"/>
      </font>
      <fill>
        <patternFill>
          <bgColor rgb="FF66FF33"/>
        </patternFill>
      </fill>
    </dxf>
    <dxf>
      <font>
        <b val="0"/>
        <i/>
        <color auto="1"/>
      </font>
      <fill>
        <patternFill>
          <bgColor theme="0" tint="-0.24994659260841701"/>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colors>
    <mruColors>
      <color rgb="FF9966FF"/>
      <color rgb="FFCCFFCC"/>
      <color rgb="FF0000FF"/>
      <color rgb="FF00CC66"/>
      <color rgb="FF00FFFF"/>
      <color rgb="FF009900"/>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41910</xdr:colOff>
      <xdr:row>16</xdr:row>
      <xdr:rowOff>51434</xdr:rowOff>
    </xdr:from>
    <xdr:to>
      <xdr:col>6</xdr:col>
      <xdr:colOff>1261110</xdr:colOff>
      <xdr:row>28</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b="0">
              <a:effectLst/>
              <a:latin typeface="Times New Roman" panose="02020603050405020304" pitchFamily="18" charset="0"/>
              <a:ea typeface="+mn-ea"/>
              <a:cs typeface="Times New Roman" panose="02020603050405020304" pitchFamily="18" charset="0"/>
            </a:rPr>
            <a:t>Of notable height and sturdy frame, Laryssa makes quite an impression with her bright red hair, flashing green eyes and prominent scar on the right side of her face.</a:t>
          </a:r>
        </a:p>
        <a:p>
          <a:pPr algn="just"/>
          <a:endParaRPr lang="en-US" sz="1200" b="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b="0">
              <a:effectLst/>
              <a:latin typeface="Times New Roman" panose="02020603050405020304" pitchFamily="18" charset="0"/>
              <a:ea typeface="+mn-ea"/>
              <a:cs typeface="Times New Roman" panose="02020603050405020304" pitchFamily="18" charset="0"/>
            </a:rPr>
            <a:t> Formerly a farmer, her parents were both deceased but she was making a go of running the farm by herself until the day it was attacked by a raiding party of goblins. While she put up a fierce defense, she was on the verge of being overwhelmed by the vermin when succor arrived in the shape of a wandering cleric of Mayaheine, altho not before her sustaining a deep facial wound whose scar remains to this day. With her farm ruined, there was nothing to hold her to the land and in gratitude she dedicated her life to the service of the Shield Maiden.</a:t>
          </a:r>
        </a:p>
        <a:p>
          <a:pPr algn="just"/>
          <a:endParaRPr lang="en-US" sz="1200" b="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b="0">
              <a:effectLst/>
              <a:latin typeface="Times New Roman" panose="02020603050405020304" pitchFamily="18" charset="0"/>
              <a:ea typeface="+mn-ea"/>
              <a:cs typeface="Times New Roman" panose="02020603050405020304" pitchFamily="18" charset="0"/>
            </a:rPr>
            <a:t>Determined to grow the worship of the Bright Lady throughout the lands, Laryssa is relentless in her dedication to the ideals of Mayaheine, protecting the weak whenever she encounters them. Somewhat singled-minded in her goals, she has little patience with those not of a similar martial bent.</a:t>
          </a:r>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60960</xdr:colOff>
      <xdr:row>13</xdr:row>
      <xdr:rowOff>121920</xdr:rowOff>
    </xdr:from>
    <xdr:to>
      <xdr:col>6</xdr:col>
      <xdr:colOff>1232535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21480" y="309372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200" b="0" i="1" u="none" strike="noStrike" baseline="0">
              <a:solidFill>
                <a:srgbClr val="FF0000"/>
              </a:solidFill>
              <a:latin typeface="Times New Roman"/>
              <a:cs typeface="Times New Roman"/>
            </a:rPr>
            <a:t>Light load</a:t>
          </a:r>
        </a:p>
      </xdr:txBody>
    </xdr:sp>
    <xdr:clientData/>
  </xdr:twoCellAnchor>
  <xdr:twoCellAnchor editAs="oneCell">
    <xdr:from>
      <xdr:col>5</xdr:col>
      <xdr:colOff>137160</xdr:colOff>
      <xdr:row>1</xdr:row>
      <xdr:rowOff>211654</xdr:rowOff>
    </xdr:from>
    <xdr:to>
      <xdr:col>6</xdr:col>
      <xdr:colOff>1181099</xdr:colOff>
      <xdr:row>12</xdr:row>
      <xdr:rowOff>118799</xdr:rowOff>
    </xdr:to>
    <xdr:pic>
      <xdr:nvPicPr>
        <xdr:cNvPr id="5" name="Picture 4" descr="https://s-media-cache-ak0.pinimg.com/originals/6a/21/31/6a2131638212fce66512122be1702a65.jpg">
          <a:extLst>
            <a:ext uri="{FF2B5EF4-FFF2-40B4-BE49-F238E27FC236}">
              <a16:creationId xmlns:a16="http://schemas.microsoft.com/office/drawing/2014/main" id="{3453317C-5C46-426B-A552-B18ABB658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7680" y="585034"/>
          <a:ext cx="2164079" cy="2292205"/>
        </a:xfrm>
        <a:prstGeom prst="rect">
          <a:avLst/>
        </a:prstGeom>
        <a:noFill/>
        <a:ln w="31750" cmpd="dbl">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1955D865-AF16-49E4-80DE-11344380F5C0}"/>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14962B9B-7226-4440-8BA1-368C60193348}"/>
            </a:ext>
          </a:extLst>
        </xdr:cNvPr>
        <xdr:cNvSpPr>
          <a:spLocks noChangeArrowheads="1"/>
        </xdr:cNvSpPr>
      </xdr:nvSpPr>
      <xdr:spPr bwMode="auto">
        <a:xfrm>
          <a:off x="404622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411480</xdr:colOff>
      <xdr:row>1</xdr:row>
      <xdr:rowOff>123825</xdr:rowOff>
    </xdr:from>
    <xdr:to>
      <xdr:col>3</xdr:col>
      <xdr:colOff>9525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MadProf@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showGridLines="0" tabSelected="1" zoomScaleNormal="100" workbookViewId="0"/>
  </sheetViews>
  <sheetFormatPr defaultColWidth="13" defaultRowHeight="15.6"/>
  <cols>
    <col min="1" max="1" width="14.8984375" style="48" customWidth="1"/>
    <col min="2" max="2" width="10" style="49" customWidth="1"/>
    <col min="3" max="3" width="5.09765625" style="49" customWidth="1"/>
    <col min="4" max="4" width="13.69921875" style="48" bestFit="1" customWidth="1"/>
    <col min="5" max="5" width="10.8984375" style="49" bestFit="1" customWidth="1"/>
    <col min="6" max="6" width="14.69921875" style="48" customWidth="1"/>
    <col min="7" max="7" width="17.09765625" style="49" customWidth="1"/>
    <col min="8" max="16384" width="13" style="7"/>
  </cols>
  <sheetData>
    <row r="1" spans="1:7" ht="29.4" thickTop="1" thickBot="1">
      <c r="A1" s="306" t="s">
        <v>493</v>
      </c>
      <c r="B1" s="307" t="s">
        <v>126</v>
      </c>
      <c r="C1" s="3"/>
      <c r="D1" s="4"/>
      <c r="E1" s="5"/>
      <c r="F1" s="4"/>
      <c r="G1" s="6" t="s">
        <v>125</v>
      </c>
    </row>
    <row r="2" spans="1:7" ht="17.399999999999999" thickTop="1">
      <c r="A2" s="8" t="s">
        <v>88</v>
      </c>
      <c r="B2" s="9" t="s">
        <v>75</v>
      </c>
      <c r="C2" s="9"/>
      <c r="D2" s="10" t="s">
        <v>92</v>
      </c>
      <c r="E2" s="11">
        <v>21</v>
      </c>
      <c r="F2" s="12"/>
      <c r="G2" s="13"/>
    </row>
    <row r="3" spans="1:7" ht="16.8">
      <c r="A3" s="8" t="s">
        <v>89</v>
      </c>
      <c r="B3" s="9" t="s">
        <v>132</v>
      </c>
      <c r="C3" s="9"/>
      <c r="D3" s="10" t="s">
        <v>0</v>
      </c>
      <c r="E3" s="11">
        <v>2</v>
      </c>
      <c r="F3" s="10"/>
      <c r="G3" s="13"/>
    </row>
    <row r="4" spans="1:7" ht="16.8">
      <c r="A4" s="8" t="s">
        <v>89</v>
      </c>
      <c r="B4" s="321" t="s">
        <v>161</v>
      </c>
      <c r="C4" s="9"/>
      <c r="D4" s="10" t="s">
        <v>0</v>
      </c>
      <c r="E4" s="11">
        <v>4</v>
      </c>
      <c r="F4" s="10"/>
      <c r="G4" s="13"/>
    </row>
    <row r="5" spans="1:7" ht="16.8">
      <c r="A5" s="8" t="s">
        <v>101</v>
      </c>
      <c r="B5" s="9" t="s">
        <v>129</v>
      </c>
      <c r="C5" s="9"/>
      <c r="D5" s="10" t="s">
        <v>90</v>
      </c>
      <c r="E5" s="11" t="s">
        <v>114</v>
      </c>
      <c r="F5" s="10"/>
      <c r="G5" s="13"/>
    </row>
    <row r="6" spans="1:7" ht="16.8">
      <c r="A6" s="8" t="s">
        <v>102</v>
      </c>
      <c r="B6" s="9" t="s">
        <v>113</v>
      </c>
      <c r="C6" s="9"/>
      <c r="D6" s="10" t="s">
        <v>106</v>
      </c>
      <c r="E6" s="11" t="s">
        <v>115</v>
      </c>
      <c r="F6" s="10"/>
      <c r="G6" s="13"/>
    </row>
    <row r="7" spans="1:7" ht="17.399999999999999" thickBot="1">
      <c r="A7" s="8" t="s">
        <v>103</v>
      </c>
      <c r="B7" s="9" t="s">
        <v>128</v>
      </c>
      <c r="C7" s="9"/>
      <c r="D7" s="10" t="s">
        <v>107</v>
      </c>
      <c r="E7" s="11" t="s">
        <v>127</v>
      </c>
      <c r="F7" s="10"/>
      <c r="G7" s="13"/>
    </row>
    <row r="8" spans="1:7" ht="17.399999999999999" thickTop="1">
      <c r="A8" s="14" t="s">
        <v>104</v>
      </c>
      <c r="B8" s="172">
        <f>E3+3</f>
        <v>5</v>
      </c>
      <c r="C8" s="173"/>
      <c r="D8" s="15" t="s">
        <v>66</v>
      </c>
      <c r="E8" s="533" t="s">
        <v>514</v>
      </c>
      <c r="F8" s="16"/>
      <c r="G8" s="13"/>
    </row>
    <row r="9" spans="1:7" ht="17.399999999999999" thickBot="1">
      <c r="A9" s="142" t="s">
        <v>105</v>
      </c>
      <c r="B9" s="143" t="str">
        <f>C11</f>
        <v>+1</v>
      </c>
      <c r="C9" s="144"/>
      <c r="D9" s="301" t="s">
        <v>145</v>
      </c>
      <c r="E9" s="302">
        <v>16760</v>
      </c>
      <c r="F9" s="16"/>
      <c r="G9" s="13"/>
    </row>
    <row r="10" spans="1:7" ht="17.399999999999999" thickTop="1">
      <c r="A10" s="17" t="s">
        <v>100</v>
      </c>
      <c r="B10" s="174">
        <v>14</v>
      </c>
      <c r="C10" s="18" t="str">
        <f t="shared" ref="C10:C15" si="0">IF(B10&gt;9.9,CONCATENATE("+",ROUNDDOWN((B10-10)/2,0)),ROUNDUP((B10-10)/2,0))</f>
        <v>+2</v>
      </c>
      <c r="D10" s="19" t="s">
        <v>108</v>
      </c>
      <c r="E10" s="112" t="s">
        <v>516</v>
      </c>
      <c r="F10" s="16"/>
      <c r="G10" s="13"/>
    </row>
    <row r="11" spans="1:7" ht="16.8">
      <c r="A11" s="20" t="s">
        <v>99</v>
      </c>
      <c r="B11" s="21">
        <v>13</v>
      </c>
      <c r="C11" s="22" t="str">
        <f t="shared" si="0"/>
        <v>+1</v>
      </c>
      <c r="D11" s="23" t="s">
        <v>109</v>
      </c>
      <c r="E11" s="24">
        <f>SUM(Martial!G7:G20)+SUM(Equipment!C3:C21)</f>
        <v>112</v>
      </c>
      <c r="F11" s="16"/>
      <c r="G11" s="13"/>
    </row>
    <row r="12" spans="1:7" ht="16.8">
      <c r="A12" s="25" t="s">
        <v>95</v>
      </c>
      <c r="B12" s="26">
        <v>12</v>
      </c>
      <c r="C12" s="27" t="str">
        <f t="shared" si="0"/>
        <v>+1</v>
      </c>
      <c r="D12" s="23" t="s">
        <v>110</v>
      </c>
      <c r="E12" s="28">
        <f>ROUNDUP(((E3*10)*0.75)+((E4*8)*0.75)+(SUM(E3:E4)*C12),0)</f>
        <v>45</v>
      </c>
      <c r="F12" s="16"/>
      <c r="G12" s="13"/>
    </row>
    <row r="13" spans="1:7" ht="16.8">
      <c r="A13" s="29" t="s">
        <v>97</v>
      </c>
      <c r="B13" s="26">
        <v>10</v>
      </c>
      <c r="C13" s="22" t="str">
        <f t="shared" si="0"/>
        <v>+0</v>
      </c>
      <c r="D13" s="30" t="s">
        <v>111</v>
      </c>
      <c r="E13" s="169">
        <f>10+C11</f>
        <v>11</v>
      </c>
      <c r="F13" s="8"/>
      <c r="G13" s="13"/>
    </row>
    <row r="14" spans="1:7" ht="16.8">
      <c r="A14" s="31" t="s">
        <v>98</v>
      </c>
      <c r="B14" s="26">
        <v>15</v>
      </c>
      <c r="C14" s="22" t="str">
        <f t="shared" si="0"/>
        <v>+2</v>
      </c>
      <c r="D14" s="30" t="s">
        <v>112</v>
      </c>
      <c r="E14" s="139">
        <f>E15-C11</f>
        <v>21</v>
      </c>
      <c r="F14" s="16"/>
      <c r="G14" s="13"/>
    </row>
    <row r="15" spans="1:7" ht="17.399999999999999" thickBot="1">
      <c r="A15" s="32" t="s">
        <v>96</v>
      </c>
      <c r="B15" s="299">
        <v>12</v>
      </c>
      <c r="C15" s="33" t="str">
        <f t="shared" si="0"/>
        <v>+1</v>
      </c>
      <c r="D15" s="34" t="s">
        <v>118</v>
      </c>
      <c r="E15" s="127">
        <f>E13+SUM(Martial!B14:B17)</f>
        <v>22</v>
      </c>
      <c r="F15" s="16"/>
      <c r="G15" s="13"/>
    </row>
    <row r="16" spans="1:7" ht="24" thickTop="1" thickBot="1">
      <c r="A16" s="35" t="s">
        <v>17</v>
      </c>
      <c r="B16" s="36"/>
      <c r="C16" s="36"/>
      <c r="D16" s="37"/>
      <c r="E16" s="37"/>
      <c r="F16" s="37"/>
      <c r="G16" s="38"/>
    </row>
    <row r="17" spans="1:7" s="2" customFormat="1" ht="17.399999999999999" thickTop="1">
      <c r="A17" s="39"/>
      <c r="B17" s="40"/>
      <c r="C17" s="40"/>
      <c r="D17" s="40"/>
      <c r="E17" s="40"/>
      <c r="F17" s="40"/>
      <c r="G17" s="41"/>
    </row>
    <row r="18" spans="1:7" s="2" customFormat="1" ht="16.8">
      <c r="A18" s="42"/>
      <c r="B18" s="43"/>
      <c r="C18" s="43"/>
      <c r="D18" s="43"/>
      <c r="E18" s="43"/>
      <c r="F18" s="43"/>
      <c r="G18" s="44"/>
    </row>
    <row r="19" spans="1:7" s="2" customFormat="1" ht="16.8">
      <c r="A19" s="42"/>
      <c r="B19" s="43"/>
      <c r="C19" s="43"/>
      <c r="D19" s="43"/>
      <c r="E19" s="43"/>
      <c r="F19" s="43"/>
      <c r="G19" s="44"/>
    </row>
    <row r="20" spans="1:7" s="2" customFormat="1" ht="16.8">
      <c r="A20" s="42"/>
      <c r="B20" s="43"/>
      <c r="C20" s="43"/>
      <c r="D20" s="43"/>
      <c r="E20" s="43"/>
      <c r="F20" s="43"/>
      <c r="G20" s="44"/>
    </row>
    <row r="21" spans="1:7" s="2" customFormat="1" ht="16.8">
      <c r="A21" s="42"/>
      <c r="B21" s="43"/>
      <c r="C21" s="43"/>
      <c r="D21" s="43"/>
      <c r="E21" s="43"/>
      <c r="F21" s="43"/>
      <c r="G21" s="44"/>
    </row>
    <row r="22" spans="1:7" s="2" customFormat="1" ht="16.8">
      <c r="A22" s="42"/>
      <c r="B22" s="43"/>
      <c r="C22" s="43"/>
      <c r="D22" s="43"/>
      <c r="E22" s="43"/>
      <c r="F22" s="43"/>
      <c r="G22" s="44"/>
    </row>
    <row r="23" spans="1:7" s="2" customFormat="1" ht="16.8">
      <c r="A23" s="42"/>
      <c r="B23" s="43"/>
      <c r="C23" s="43"/>
      <c r="D23" s="43"/>
      <c r="E23" s="43"/>
      <c r="F23" s="43"/>
      <c r="G23" s="44"/>
    </row>
    <row r="24" spans="1:7" s="2" customFormat="1" ht="16.8">
      <c r="A24" s="42"/>
      <c r="B24" s="43"/>
      <c r="C24" s="43"/>
      <c r="D24" s="43"/>
      <c r="E24" s="43"/>
      <c r="F24" s="43"/>
      <c r="G24" s="44"/>
    </row>
    <row r="25" spans="1:7" s="2" customFormat="1" ht="16.8">
      <c r="A25" s="42"/>
      <c r="B25" s="43"/>
      <c r="C25" s="43"/>
      <c r="D25" s="43"/>
      <c r="E25" s="43"/>
      <c r="F25" s="43"/>
      <c r="G25" s="44"/>
    </row>
    <row r="26" spans="1:7" s="2" customFormat="1" ht="16.8">
      <c r="A26" s="42"/>
      <c r="B26" s="43"/>
      <c r="C26" s="43"/>
      <c r="D26" s="43"/>
      <c r="E26" s="43"/>
      <c r="F26" s="43"/>
      <c r="G26" s="44"/>
    </row>
    <row r="27" spans="1:7" s="2" customFormat="1" ht="16.8">
      <c r="A27" s="42"/>
      <c r="B27" s="43"/>
      <c r="C27" s="43"/>
      <c r="D27" s="43"/>
      <c r="E27" s="43"/>
      <c r="F27" s="43"/>
      <c r="G27" s="44"/>
    </row>
    <row r="28" spans="1:7" s="2" customFormat="1" ht="16.8">
      <c r="A28" s="42"/>
      <c r="B28" s="43"/>
      <c r="C28" s="43"/>
      <c r="D28" s="43"/>
      <c r="E28" s="43"/>
      <c r="F28" s="43"/>
      <c r="G28" s="44"/>
    </row>
    <row r="29" spans="1:7" ht="17.399999999999999" thickBot="1">
      <c r="A29" s="45"/>
      <c r="B29" s="46"/>
      <c r="C29" s="46"/>
      <c r="D29" s="46"/>
      <c r="E29" s="46"/>
      <c r="F29" s="46"/>
      <c r="G29" s="47"/>
    </row>
    <row r="30" spans="1:7" ht="16.2" thickTop="1"/>
  </sheetData>
  <phoneticPr fontId="0" type="noConversion"/>
  <conditionalFormatting sqref="E11">
    <cfRule type="cellIs" dxfId="17" priority="1" operator="between">
      <formula>58</formula>
      <formula>116</formula>
    </cfRule>
    <cfRule type="cellIs" dxfId="16" priority="2" operator="greaterThan">
      <formula>116</formula>
    </cfRule>
  </conditionalFormatting>
  <hyperlinks>
    <hyperlink ref="G1" r:id="rId1" xr:uid="{BA06D204-89DD-4C7E-ACAF-8367D7A1F8B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workbookViewId="0">
      <pane ySplit="2" topLeftCell="A3" activePane="bottomLeft" state="frozen"/>
      <selection pane="bottomLeft" activeCell="A3" sqref="A3"/>
    </sheetView>
  </sheetViews>
  <sheetFormatPr defaultColWidth="13" defaultRowHeight="15.6"/>
  <cols>
    <col min="1" max="1" width="21.3984375" style="48" bestFit="1" customWidth="1"/>
    <col min="2" max="2" width="5.8984375" style="48" bestFit="1" customWidth="1"/>
    <col min="3" max="3" width="11.59765625" style="49" hidden="1" customWidth="1"/>
    <col min="4" max="4" width="5.796875" style="49" hidden="1" customWidth="1"/>
    <col min="5" max="5" width="9.19921875" style="49" bestFit="1" customWidth="1"/>
    <col min="6" max="6" width="8.3984375" style="49" customWidth="1"/>
    <col min="7" max="7" width="5.8984375" style="57" bestFit="1" customWidth="1"/>
    <col min="8" max="8" width="4.69921875" style="57" bestFit="1" customWidth="1"/>
    <col min="9" max="9" width="6.8984375" style="57" bestFit="1" customWidth="1"/>
    <col min="10" max="10" width="26.5" style="48" bestFit="1" customWidth="1"/>
    <col min="11" max="16384" width="13" style="7"/>
  </cols>
  <sheetData>
    <row r="1" spans="1:10" ht="23.4" thickBot="1">
      <c r="A1" s="187" t="s">
        <v>7</v>
      </c>
      <c r="B1" s="50"/>
      <c r="C1" s="50"/>
      <c r="D1" s="50"/>
      <c r="E1" s="50"/>
      <c r="F1" s="50"/>
      <c r="G1" s="51"/>
      <c r="H1" s="51"/>
      <c r="I1" s="51"/>
      <c r="J1" s="50"/>
    </row>
    <row r="2" spans="1:10" s="2" customFormat="1" ht="34.200000000000003" thickBot="1">
      <c r="A2" s="188" t="s">
        <v>74</v>
      </c>
      <c r="B2" s="189" t="s">
        <v>22</v>
      </c>
      <c r="C2" s="189" t="s">
        <v>24</v>
      </c>
      <c r="D2" s="189" t="s">
        <v>21</v>
      </c>
      <c r="E2" s="1" t="s">
        <v>49</v>
      </c>
      <c r="F2" s="1" t="s">
        <v>25</v>
      </c>
      <c r="G2" s="190" t="s">
        <v>51</v>
      </c>
      <c r="H2" s="191" t="s">
        <v>73</v>
      </c>
      <c r="I2" s="190" t="s">
        <v>64</v>
      </c>
      <c r="J2" s="192" t="s">
        <v>62</v>
      </c>
    </row>
    <row r="3" spans="1:10" s="2" customFormat="1" ht="16.8">
      <c r="A3" s="193" t="s">
        <v>53</v>
      </c>
      <c r="B3" s="194">
        <f>3+4</f>
        <v>7</v>
      </c>
      <c r="C3" s="195" t="s">
        <v>95</v>
      </c>
      <c r="D3" s="196" t="str">
        <f>VLOOKUP(C3,'Personal File'!$A$10:$C$15,3,FALSE)</f>
        <v>+1</v>
      </c>
      <c r="E3" s="197" t="str">
        <f t="shared" ref="E3:E41" si="0">CONCATENATE(LEFT(C3,3)," (",D3,")")</f>
        <v>Con (+1)</v>
      </c>
      <c r="F3" s="198">
        <f>'Personal File'!$C$15+2</f>
        <v>3</v>
      </c>
      <c r="G3" s="198">
        <f t="shared" ref="G3:G41" si="1">B3+D3+F3</f>
        <v>11</v>
      </c>
      <c r="H3" s="199">
        <f t="shared" ref="H3:H5" ca="1" si="2">RANDBETWEEN(1,20)</f>
        <v>8</v>
      </c>
      <c r="I3" s="198">
        <f ca="1">SUM(G3:H3)</f>
        <v>19</v>
      </c>
      <c r="J3" s="200" t="s">
        <v>366</v>
      </c>
    </row>
    <row r="4" spans="1:10" s="2" customFormat="1" ht="16.8">
      <c r="A4" s="201" t="s">
        <v>54</v>
      </c>
      <c r="B4" s="194">
        <f>0+1</f>
        <v>1</v>
      </c>
      <c r="C4" s="202" t="s">
        <v>99</v>
      </c>
      <c r="D4" s="196" t="str">
        <f>VLOOKUP(C4,'Personal File'!$A$10:$C$15,3,FALSE)</f>
        <v>+1</v>
      </c>
      <c r="E4" s="203" t="str">
        <f t="shared" si="0"/>
        <v>Dex (+1)</v>
      </c>
      <c r="F4" s="198">
        <f>'Personal File'!$C$15+1</f>
        <v>2</v>
      </c>
      <c r="G4" s="198">
        <f t="shared" si="1"/>
        <v>4</v>
      </c>
      <c r="H4" s="199">
        <f t="shared" ca="1" si="2"/>
        <v>17</v>
      </c>
      <c r="I4" s="198">
        <f ca="1">SUM(G4:H4)</f>
        <v>21</v>
      </c>
      <c r="J4" s="200" t="s">
        <v>496</v>
      </c>
    </row>
    <row r="5" spans="1:10" s="2" customFormat="1" ht="16.8">
      <c r="A5" s="204" t="s">
        <v>55</v>
      </c>
      <c r="B5" s="205">
        <f>0+4</f>
        <v>4</v>
      </c>
      <c r="C5" s="206" t="s">
        <v>98</v>
      </c>
      <c r="D5" s="206" t="str">
        <f>VLOOKUP(C5,'Personal File'!$A$10:$C$15,3,FALSE)</f>
        <v>+2</v>
      </c>
      <c r="E5" s="207" t="str">
        <f t="shared" si="0"/>
        <v>Wis (+2)</v>
      </c>
      <c r="F5" s="208" t="str">
        <f>'Personal File'!$C$15</f>
        <v>+1</v>
      </c>
      <c r="G5" s="208">
        <f t="shared" si="1"/>
        <v>7</v>
      </c>
      <c r="H5" s="209">
        <f t="shared" ca="1" si="2"/>
        <v>9</v>
      </c>
      <c r="I5" s="208">
        <f ca="1">SUM(G5:H5)</f>
        <v>16</v>
      </c>
      <c r="J5" s="210" t="s">
        <v>496</v>
      </c>
    </row>
    <row r="6" spans="1:10" s="52" customFormat="1" ht="16.8">
      <c r="A6" s="211" t="s">
        <v>26</v>
      </c>
      <c r="B6" s="212">
        <v>0</v>
      </c>
      <c r="C6" s="213" t="s">
        <v>97</v>
      </c>
      <c r="D6" s="214" t="str">
        <f>VLOOKUP(C6,'Personal File'!$A$10:$C$15,3,FALSE)</f>
        <v>+0</v>
      </c>
      <c r="E6" s="215" t="str">
        <f t="shared" si="0"/>
        <v>Int (+0)</v>
      </c>
      <c r="F6" s="216" t="s">
        <v>50</v>
      </c>
      <c r="G6" s="217">
        <f t="shared" si="1"/>
        <v>0</v>
      </c>
      <c r="H6" s="199">
        <f ca="1">RANDBETWEEN(1,20)</f>
        <v>20</v>
      </c>
      <c r="I6" s="217">
        <f t="shared" ref="I6:I41" ca="1" si="3">SUM(G6:H6)</f>
        <v>20</v>
      </c>
      <c r="J6" s="200"/>
    </row>
    <row r="7" spans="1:10" s="53" customFormat="1" ht="16.8">
      <c r="A7" s="201" t="s">
        <v>27</v>
      </c>
      <c r="B7" s="212">
        <v>0</v>
      </c>
      <c r="C7" s="218" t="s">
        <v>99</v>
      </c>
      <c r="D7" s="219" t="str">
        <f>VLOOKUP(C7,'Personal File'!$A$10:$C$15,3,FALSE)</f>
        <v>+1</v>
      </c>
      <c r="E7" s="220" t="str">
        <f t="shared" si="0"/>
        <v>Dex (+1)</v>
      </c>
      <c r="F7" s="216">
        <f>Martial!$D$14</f>
        <v>-5</v>
      </c>
      <c r="G7" s="217">
        <f t="shared" si="1"/>
        <v>-4</v>
      </c>
      <c r="H7" s="199">
        <f t="shared" ref="H7:H41" ca="1" si="4">RANDBETWEEN(1,20)</f>
        <v>7</v>
      </c>
      <c r="I7" s="217">
        <f t="shared" ca="1" si="3"/>
        <v>3</v>
      </c>
      <c r="J7" s="200"/>
    </row>
    <row r="8" spans="1:10" s="54" customFormat="1" ht="16.8">
      <c r="A8" s="246" t="s">
        <v>28</v>
      </c>
      <c r="B8" s="212">
        <v>0</v>
      </c>
      <c r="C8" s="247" t="s">
        <v>96</v>
      </c>
      <c r="D8" s="248" t="str">
        <f>VLOOKUP(C8,'Personal File'!$A$10:$C$15,3,FALSE)</f>
        <v>+1</v>
      </c>
      <c r="E8" s="249" t="str">
        <f t="shared" si="0"/>
        <v>Cha (+1)</v>
      </c>
      <c r="F8" s="217" t="s">
        <v>50</v>
      </c>
      <c r="G8" s="217">
        <f t="shared" si="1"/>
        <v>1</v>
      </c>
      <c r="H8" s="199">
        <f t="shared" ca="1" si="4"/>
        <v>4</v>
      </c>
      <c r="I8" s="217">
        <f t="shared" ca="1" si="3"/>
        <v>5</v>
      </c>
      <c r="J8" s="200"/>
    </row>
    <row r="9" spans="1:10" s="55" customFormat="1" ht="16.8">
      <c r="A9" s="228" t="s">
        <v>29</v>
      </c>
      <c r="B9" s="212">
        <v>0</v>
      </c>
      <c r="C9" s="229" t="s">
        <v>100</v>
      </c>
      <c r="D9" s="230" t="str">
        <f>VLOOKUP(C9,'Personal File'!$A$10:$C$15,3,FALSE)</f>
        <v>+2</v>
      </c>
      <c r="E9" s="231" t="str">
        <f t="shared" si="0"/>
        <v>Str (+2)</v>
      </c>
      <c r="F9" s="217">
        <f>Martial!$D$14</f>
        <v>-5</v>
      </c>
      <c r="G9" s="217">
        <f t="shared" si="1"/>
        <v>-3</v>
      </c>
      <c r="H9" s="199">
        <f t="shared" ca="1" si="4"/>
        <v>8</v>
      </c>
      <c r="I9" s="217">
        <f t="shared" ca="1" si="3"/>
        <v>5</v>
      </c>
      <c r="J9" s="200"/>
    </row>
    <row r="10" spans="1:10" s="55" customFormat="1" ht="16.8">
      <c r="A10" s="232" t="s">
        <v>8</v>
      </c>
      <c r="B10" s="233">
        <v>8</v>
      </c>
      <c r="C10" s="234" t="s">
        <v>95</v>
      </c>
      <c r="D10" s="235" t="str">
        <f>VLOOKUP(C10,'Personal File'!$A$10:$C$15,3,FALSE)</f>
        <v>+1</v>
      </c>
      <c r="E10" s="236" t="str">
        <f t="shared" si="0"/>
        <v>Con (+1)</v>
      </c>
      <c r="F10" s="237" t="s">
        <v>50</v>
      </c>
      <c r="G10" s="237">
        <f t="shared" si="1"/>
        <v>9</v>
      </c>
      <c r="H10" s="199">
        <f t="shared" ca="1" si="4"/>
        <v>20</v>
      </c>
      <c r="I10" s="237">
        <f t="shared" ca="1" si="3"/>
        <v>29</v>
      </c>
      <c r="J10" s="238" t="s">
        <v>360</v>
      </c>
    </row>
    <row r="11" spans="1:10" s="52" customFormat="1" ht="16.8">
      <c r="A11" s="273" t="s">
        <v>209</v>
      </c>
      <c r="B11" s="274">
        <v>0</v>
      </c>
      <c r="C11" s="275" t="s">
        <v>97</v>
      </c>
      <c r="D11" s="276" t="str">
        <f>VLOOKUP(C11,'Personal File'!$A$10:$C$15,3,FALSE)</f>
        <v>+0</v>
      </c>
      <c r="E11" s="277" t="str">
        <f t="shared" si="0"/>
        <v>Int (+0)</v>
      </c>
      <c r="F11" s="278" t="s">
        <v>50</v>
      </c>
      <c r="G11" s="278">
        <f t="shared" si="1"/>
        <v>0</v>
      </c>
      <c r="H11" s="199">
        <f t="shared" ca="1" si="4"/>
        <v>3</v>
      </c>
      <c r="I11" s="278">
        <f t="shared" ca="1" si="3"/>
        <v>3</v>
      </c>
      <c r="J11" s="279"/>
    </row>
    <row r="12" spans="1:10" s="56" customFormat="1" ht="16.8">
      <c r="A12" s="239" t="s">
        <v>30</v>
      </c>
      <c r="B12" s="240">
        <v>0</v>
      </c>
      <c r="C12" s="241" t="s">
        <v>97</v>
      </c>
      <c r="D12" s="242" t="str">
        <f>VLOOKUP(C12,'Personal File'!$A$10:$C$15,3,FALSE)</f>
        <v>+0</v>
      </c>
      <c r="E12" s="243" t="str">
        <f t="shared" si="0"/>
        <v>Int (+0)</v>
      </c>
      <c r="F12" s="244" t="s">
        <v>50</v>
      </c>
      <c r="G12" s="244">
        <f t="shared" si="1"/>
        <v>0</v>
      </c>
      <c r="H12" s="199">
        <f t="shared" ca="1" si="4"/>
        <v>12</v>
      </c>
      <c r="I12" s="244">
        <f t="shared" ref="I12" ca="1" si="5">SUM(G12:H12)</f>
        <v>12</v>
      </c>
      <c r="J12" s="245"/>
    </row>
    <row r="13" spans="1:10" s="53" customFormat="1" ht="16.8">
      <c r="A13" s="221" t="s">
        <v>31</v>
      </c>
      <c r="B13" s="222">
        <v>9</v>
      </c>
      <c r="C13" s="223" t="s">
        <v>96</v>
      </c>
      <c r="D13" s="224" t="str">
        <f>VLOOKUP(C13,'Personal File'!$A$10:$C$15,3,FALSE)</f>
        <v>+1</v>
      </c>
      <c r="E13" s="225" t="str">
        <f t="shared" si="0"/>
        <v>Cha (+1)</v>
      </c>
      <c r="F13" s="226" t="s">
        <v>50</v>
      </c>
      <c r="G13" s="226">
        <f t="shared" si="1"/>
        <v>10</v>
      </c>
      <c r="H13" s="199">
        <f t="shared" ca="1" si="4"/>
        <v>20</v>
      </c>
      <c r="I13" s="226">
        <f t="shared" ca="1" si="3"/>
        <v>30</v>
      </c>
      <c r="J13" s="227"/>
    </row>
    <row r="14" spans="1:10" s="53" customFormat="1" ht="16.8">
      <c r="A14" s="239" t="s">
        <v>32</v>
      </c>
      <c r="B14" s="240">
        <v>0</v>
      </c>
      <c r="C14" s="241" t="s">
        <v>97</v>
      </c>
      <c r="D14" s="242" t="str">
        <f>VLOOKUP(C14,'Personal File'!$A$10:$C$15,3,FALSE)</f>
        <v>+0</v>
      </c>
      <c r="E14" s="243" t="str">
        <f t="shared" si="0"/>
        <v>Int (+0)</v>
      </c>
      <c r="F14" s="244" t="s">
        <v>50</v>
      </c>
      <c r="G14" s="244">
        <f t="shared" si="1"/>
        <v>0</v>
      </c>
      <c r="H14" s="199">
        <f t="shared" ca="1" si="4"/>
        <v>10</v>
      </c>
      <c r="I14" s="244">
        <f t="shared" ref="I14" ca="1" si="6">SUM(G14:H14)</f>
        <v>10</v>
      </c>
      <c r="J14" s="245"/>
    </row>
    <row r="15" spans="1:10" s="53" customFormat="1" ht="16.8">
      <c r="A15" s="246" t="s">
        <v>33</v>
      </c>
      <c r="B15" s="212">
        <v>0</v>
      </c>
      <c r="C15" s="247" t="s">
        <v>96</v>
      </c>
      <c r="D15" s="248" t="str">
        <f>VLOOKUP(C15,'Personal File'!$A$10:$C$15,3,FALSE)</f>
        <v>+1</v>
      </c>
      <c r="E15" s="249" t="str">
        <f t="shared" si="0"/>
        <v>Cha (+1)</v>
      </c>
      <c r="F15" s="217" t="s">
        <v>50</v>
      </c>
      <c r="G15" s="217">
        <f t="shared" si="1"/>
        <v>1</v>
      </c>
      <c r="H15" s="199">
        <f t="shared" ca="1" si="4"/>
        <v>19</v>
      </c>
      <c r="I15" s="217">
        <f t="shared" ca="1" si="3"/>
        <v>20</v>
      </c>
      <c r="J15" s="200"/>
    </row>
    <row r="16" spans="1:10" s="53" customFormat="1" ht="16.8">
      <c r="A16" s="201" t="s">
        <v>34</v>
      </c>
      <c r="B16" s="212">
        <v>0</v>
      </c>
      <c r="C16" s="218" t="s">
        <v>99</v>
      </c>
      <c r="D16" s="219" t="str">
        <f>VLOOKUP(C16,'Personal File'!$A$10:$C$15,3,FALSE)</f>
        <v>+1</v>
      </c>
      <c r="E16" s="220" t="str">
        <f t="shared" si="0"/>
        <v>Dex (+1)</v>
      </c>
      <c r="F16" s="217">
        <f>Martial!$D$14</f>
        <v>-5</v>
      </c>
      <c r="G16" s="217">
        <f t="shared" si="1"/>
        <v>-4</v>
      </c>
      <c r="H16" s="199">
        <f t="shared" ca="1" si="4"/>
        <v>5</v>
      </c>
      <c r="I16" s="217">
        <f t="shared" ca="1" si="3"/>
        <v>1</v>
      </c>
      <c r="J16" s="200"/>
    </row>
    <row r="17" spans="1:10" s="53" customFormat="1" ht="16.8">
      <c r="A17" s="250" t="s">
        <v>35</v>
      </c>
      <c r="B17" s="251">
        <v>0</v>
      </c>
      <c r="C17" s="252" t="s">
        <v>97</v>
      </c>
      <c r="D17" s="253" t="str">
        <f>VLOOKUP(C17,'Personal File'!$A$10:$C$15,3,FALSE)</f>
        <v>+0</v>
      </c>
      <c r="E17" s="254" t="str">
        <f t="shared" si="0"/>
        <v>Int (+0)</v>
      </c>
      <c r="F17" s="255" t="s">
        <v>50</v>
      </c>
      <c r="G17" s="255">
        <f t="shared" si="1"/>
        <v>0</v>
      </c>
      <c r="H17" s="199">
        <f t="shared" ca="1" si="4"/>
        <v>7</v>
      </c>
      <c r="I17" s="255">
        <f t="shared" ca="1" si="3"/>
        <v>7</v>
      </c>
      <c r="J17" s="256"/>
    </row>
    <row r="18" spans="1:10" s="53" customFormat="1" ht="16.8">
      <c r="A18" s="246" t="s">
        <v>36</v>
      </c>
      <c r="B18" s="212">
        <v>0</v>
      </c>
      <c r="C18" s="247" t="s">
        <v>96</v>
      </c>
      <c r="D18" s="248" t="str">
        <f>VLOOKUP(C18,'Personal File'!$A$10:$C$15,3,FALSE)</f>
        <v>+1</v>
      </c>
      <c r="E18" s="249" t="str">
        <f t="shared" si="0"/>
        <v>Cha (+1)</v>
      </c>
      <c r="F18" s="217" t="s">
        <v>50</v>
      </c>
      <c r="G18" s="217">
        <f t="shared" si="1"/>
        <v>1</v>
      </c>
      <c r="H18" s="199">
        <f t="shared" ca="1" si="4"/>
        <v>20</v>
      </c>
      <c r="I18" s="217">
        <f t="shared" ca="1" si="3"/>
        <v>21</v>
      </c>
      <c r="J18" s="200"/>
    </row>
    <row r="19" spans="1:10" s="53" customFormat="1" ht="16.8">
      <c r="A19" s="246" t="s">
        <v>10</v>
      </c>
      <c r="B19" s="212">
        <v>0</v>
      </c>
      <c r="C19" s="247" t="s">
        <v>96</v>
      </c>
      <c r="D19" s="248" t="str">
        <f>VLOOKUP(C19,'Personal File'!$A$10:$C$15,3,FALSE)</f>
        <v>+1</v>
      </c>
      <c r="E19" s="249" t="str">
        <f t="shared" si="0"/>
        <v>Cha (+1)</v>
      </c>
      <c r="F19" s="217" t="s">
        <v>50</v>
      </c>
      <c r="G19" s="217">
        <f t="shared" si="1"/>
        <v>1</v>
      </c>
      <c r="H19" s="199">
        <f t="shared" ca="1" si="4"/>
        <v>12</v>
      </c>
      <c r="I19" s="217">
        <f t="shared" ca="1" si="3"/>
        <v>13</v>
      </c>
      <c r="J19" s="200"/>
    </row>
    <row r="20" spans="1:10" s="53" customFormat="1" ht="16.8">
      <c r="A20" s="261" t="s">
        <v>37</v>
      </c>
      <c r="B20" s="212">
        <v>0</v>
      </c>
      <c r="C20" s="262" t="s">
        <v>98</v>
      </c>
      <c r="D20" s="263" t="str">
        <f>VLOOKUP(C20,'Personal File'!$A$10:$C$15,3,FALSE)</f>
        <v>+2</v>
      </c>
      <c r="E20" s="264" t="str">
        <f t="shared" si="0"/>
        <v>Wis (+2)</v>
      </c>
      <c r="F20" s="217" t="s">
        <v>50</v>
      </c>
      <c r="G20" s="217">
        <f t="shared" si="1"/>
        <v>2</v>
      </c>
      <c r="H20" s="199">
        <f t="shared" ca="1" si="4"/>
        <v>2</v>
      </c>
      <c r="I20" s="217">
        <f t="shared" ca="1" si="3"/>
        <v>4</v>
      </c>
      <c r="J20" s="200"/>
    </row>
    <row r="21" spans="1:10" s="53" customFormat="1" ht="16.8">
      <c r="A21" s="201" t="s">
        <v>38</v>
      </c>
      <c r="B21" s="212">
        <v>0</v>
      </c>
      <c r="C21" s="218" t="s">
        <v>99</v>
      </c>
      <c r="D21" s="219" t="str">
        <f>VLOOKUP(C21,'Personal File'!$A$10:$C$15,3,FALSE)</f>
        <v>+1</v>
      </c>
      <c r="E21" s="220" t="str">
        <f t="shared" si="0"/>
        <v>Dex (+1)</v>
      </c>
      <c r="F21" s="217">
        <f>Martial!$D$14</f>
        <v>-5</v>
      </c>
      <c r="G21" s="217">
        <f t="shared" si="1"/>
        <v>-4</v>
      </c>
      <c r="H21" s="199">
        <f t="shared" ca="1" si="4"/>
        <v>2</v>
      </c>
      <c r="I21" s="217">
        <f t="shared" ca="1" si="3"/>
        <v>-2</v>
      </c>
      <c r="J21" s="200"/>
    </row>
    <row r="22" spans="1:10" s="53" customFormat="1" ht="16.8">
      <c r="A22" s="246" t="s">
        <v>39</v>
      </c>
      <c r="B22" s="212">
        <v>0</v>
      </c>
      <c r="C22" s="247" t="s">
        <v>96</v>
      </c>
      <c r="D22" s="248" t="str">
        <f>VLOOKUP(C22,'Personal File'!$A$10:$C$15,3,FALSE)</f>
        <v>+1</v>
      </c>
      <c r="E22" s="249" t="str">
        <f t="shared" si="0"/>
        <v>Cha (+1)</v>
      </c>
      <c r="F22" s="217" t="s">
        <v>50</v>
      </c>
      <c r="G22" s="217">
        <f t="shared" si="1"/>
        <v>1</v>
      </c>
      <c r="H22" s="199">
        <f t="shared" ca="1" si="4"/>
        <v>3</v>
      </c>
      <c r="I22" s="217">
        <f t="shared" ca="1" si="3"/>
        <v>4</v>
      </c>
      <c r="J22" s="200"/>
    </row>
    <row r="23" spans="1:10" s="53" customFormat="1" ht="16.8">
      <c r="A23" s="228" t="s">
        <v>40</v>
      </c>
      <c r="B23" s="212">
        <v>0</v>
      </c>
      <c r="C23" s="229" t="s">
        <v>100</v>
      </c>
      <c r="D23" s="230" t="str">
        <f>VLOOKUP(C23,'Personal File'!$A$10:$C$15,3,FALSE)</f>
        <v>+2</v>
      </c>
      <c r="E23" s="231" t="str">
        <f t="shared" si="0"/>
        <v>Str (+2)</v>
      </c>
      <c r="F23" s="217">
        <f>Martial!$D$14</f>
        <v>-5</v>
      </c>
      <c r="G23" s="217">
        <f t="shared" si="1"/>
        <v>-3</v>
      </c>
      <c r="H23" s="199">
        <f t="shared" ca="1" si="4"/>
        <v>14</v>
      </c>
      <c r="I23" s="217">
        <f t="shared" ca="1" si="3"/>
        <v>11</v>
      </c>
      <c r="J23" s="200" t="s">
        <v>511</v>
      </c>
    </row>
    <row r="24" spans="1:10" s="53" customFormat="1" ht="16.8">
      <c r="A24" s="257" t="s">
        <v>76</v>
      </c>
      <c r="B24" s="233">
        <v>5</v>
      </c>
      <c r="C24" s="258" t="s">
        <v>97</v>
      </c>
      <c r="D24" s="259" t="str">
        <f>VLOOKUP(C24,'Personal File'!$A$10:$C$15,3,FALSE)</f>
        <v>+0</v>
      </c>
      <c r="E24" s="260" t="str">
        <f t="shared" si="0"/>
        <v>Int (+0)</v>
      </c>
      <c r="F24" s="226" t="s">
        <v>50</v>
      </c>
      <c r="G24" s="237">
        <f t="shared" ref="G24" si="7">B24+D24+F24</f>
        <v>5</v>
      </c>
      <c r="H24" s="199">
        <f t="shared" ca="1" si="4"/>
        <v>17</v>
      </c>
      <c r="I24" s="237">
        <f t="shared" ref="I24" ca="1" si="8">SUM(G24:H24)</f>
        <v>22</v>
      </c>
      <c r="J24" s="238"/>
    </row>
    <row r="25" spans="1:10" s="53" customFormat="1" ht="16.8">
      <c r="A25" s="261" t="s">
        <v>41</v>
      </c>
      <c r="B25" s="212">
        <v>0</v>
      </c>
      <c r="C25" s="262" t="s">
        <v>98</v>
      </c>
      <c r="D25" s="263" t="str">
        <f>VLOOKUP(C25,'Personal File'!$A$10:$C$15,3,FALSE)</f>
        <v>+2</v>
      </c>
      <c r="E25" s="264" t="str">
        <f t="shared" si="0"/>
        <v>Wis (+2)</v>
      </c>
      <c r="F25" s="217" t="s">
        <v>50</v>
      </c>
      <c r="G25" s="217">
        <f t="shared" si="1"/>
        <v>2</v>
      </c>
      <c r="H25" s="199">
        <f t="shared" ca="1" si="4"/>
        <v>5</v>
      </c>
      <c r="I25" s="217">
        <f t="shared" ca="1" si="3"/>
        <v>7</v>
      </c>
      <c r="J25" s="200"/>
    </row>
    <row r="26" spans="1:10" s="53" customFormat="1" ht="16.8">
      <c r="A26" s="201" t="s">
        <v>11</v>
      </c>
      <c r="B26" s="212">
        <v>0</v>
      </c>
      <c r="C26" s="218" t="s">
        <v>99</v>
      </c>
      <c r="D26" s="219" t="str">
        <f>VLOOKUP(C26,'Personal File'!$A$10:$C$15,3,FALSE)</f>
        <v>+1</v>
      </c>
      <c r="E26" s="220" t="str">
        <f t="shared" si="0"/>
        <v>Dex (+1)</v>
      </c>
      <c r="F26" s="217">
        <f>Martial!$D$14</f>
        <v>-5</v>
      </c>
      <c r="G26" s="217">
        <f t="shared" si="1"/>
        <v>-4</v>
      </c>
      <c r="H26" s="199">
        <f t="shared" ca="1" si="4"/>
        <v>1</v>
      </c>
      <c r="I26" s="217">
        <f t="shared" ca="1" si="3"/>
        <v>-3</v>
      </c>
      <c r="J26" s="200"/>
    </row>
    <row r="27" spans="1:10" s="53" customFormat="1" ht="16.8">
      <c r="A27" s="265" t="s">
        <v>42</v>
      </c>
      <c r="B27" s="240">
        <v>0</v>
      </c>
      <c r="C27" s="266" t="s">
        <v>99</v>
      </c>
      <c r="D27" s="267" t="str">
        <f>VLOOKUP(C27,'Personal File'!$A$10:$C$15,3,FALSE)</f>
        <v>+1</v>
      </c>
      <c r="E27" s="268" t="str">
        <f t="shared" si="0"/>
        <v>Dex (+1)</v>
      </c>
      <c r="F27" s="244" t="s">
        <v>50</v>
      </c>
      <c r="G27" s="244">
        <f t="shared" si="1"/>
        <v>1</v>
      </c>
      <c r="H27" s="199">
        <f t="shared" ca="1" si="4"/>
        <v>16</v>
      </c>
      <c r="I27" s="244">
        <f t="shared" ca="1" si="3"/>
        <v>17</v>
      </c>
      <c r="J27" s="245"/>
    </row>
    <row r="28" spans="1:10" ht="16.8">
      <c r="A28" s="246" t="s">
        <v>77</v>
      </c>
      <c r="B28" s="212">
        <v>0</v>
      </c>
      <c r="C28" s="247" t="s">
        <v>96</v>
      </c>
      <c r="D28" s="248" t="str">
        <f>VLOOKUP(C28,'Personal File'!$A$10:$C$15,3,FALSE)</f>
        <v>+1</v>
      </c>
      <c r="E28" s="249" t="str">
        <f t="shared" si="0"/>
        <v>Cha (+1)</v>
      </c>
      <c r="F28" s="217" t="s">
        <v>50</v>
      </c>
      <c r="G28" s="217">
        <f t="shared" si="1"/>
        <v>1</v>
      </c>
      <c r="H28" s="199">
        <f t="shared" ca="1" si="4"/>
        <v>10</v>
      </c>
      <c r="I28" s="217">
        <f t="shared" ca="1" si="3"/>
        <v>11</v>
      </c>
      <c r="J28" s="200"/>
    </row>
    <row r="29" spans="1:10" ht="16.8">
      <c r="A29" s="246" t="s">
        <v>116</v>
      </c>
      <c r="B29" s="212">
        <v>0</v>
      </c>
      <c r="C29" s="262" t="s">
        <v>98</v>
      </c>
      <c r="D29" s="263" t="str">
        <f>VLOOKUP(C29,'Personal File'!$A$10:$C$15,3,FALSE)</f>
        <v>+2</v>
      </c>
      <c r="E29" s="264" t="str">
        <f t="shared" si="0"/>
        <v>Wis (+2)</v>
      </c>
      <c r="F29" s="217" t="s">
        <v>50</v>
      </c>
      <c r="G29" s="217">
        <f t="shared" si="1"/>
        <v>2</v>
      </c>
      <c r="H29" s="199">
        <f t="shared" ca="1" si="4"/>
        <v>4</v>
      </c>
      <c r="I29" s="217">
        <f t="shared" ref="I29" ca="1" si="9">SUM(G29:H29)</f>
        <v>6</v>
      </c>
      <c r="J29" s="200"/>
    </row>
    <row r="30" spans="1:10" ht="16.8">
      <c r="A30" s="201" t="s">
        <v>12</v>
      </c>
      <c r="B30" s="212">
        <v>0</v>
      </c>
      <c r="C30" s="218" t="s">
        <v>99</v>
      </c>
      <c r="D30" s="219" t="str">
        <f>VLOOKUP(C30,'Personal File'!$A$10:$C$15,3,FALSE)</f>
        <v>+1</v>
      </c>
      <c r="E30" s="220" t="str">
        <f t="shared" si="0"/>
        <v>Dex (+1)</v>
      </c>
      <c r="F30" s="217" t="s">
        <v>50</v>
      </c>
      <c r="G30" s="217">
        <f t="shared" si="1"/>
        <v>1</v>
      </c>
      <c r="H30" s="199">
        <f t="shared" ca="1" si="4"/>
        <v>10</v>
      </c>
      <c r="I30" s="217">
        <f t="shared" ca="1" si="3"/>
        <v>11</v>
      </c>
      <c r="J30" s="200"/>
    </row>
    <row r="31" spans="1:10" ht="16.8">
      <c r="A31" s="211" t="s">
        <v>13</v>
      </c>
      <c r="B31" s="212">
        <v>0</v>
      </c>
      <c r="C31" s="213" t="s">
        <v>97</v>
      </c>
      <c r="D31" s="214" t="str">
        <f>VLOOKUP(C31,'Personal File'!$A$10:$C$15,3,FALSE)</f>
        <v>+0</v>
      </c>
      <c r="E31" s="215" t="str">
        <f t="shared" si="0"/>
        <v>Int (+0)</v>
      </c>
      <c r="F31" s="217" t="s">
        <v>50</v>
      </c>
      <c r="G31" s="217">
        <f t="shared" si="1"/>
        <v>0</v>
      </c>
      <c r="H31" s="199">
        <f t="shared" ca="1" si="4"/>
        <v>17</v>
      </c>
      <c r="I31" s="217">
        <f t="shared" ca="1" si="3"/>
        <v>17</v>
      </c>
      <c r="J31" s="200"/>
    </row>
    <row r="32" spans="1:10" ht="16.8">
      <c r="A32" s="272" t="s">
        <v>43</v>
      </c>
      <c r="B32" s="222">
        <v>5</v>
      </c>
      <c r="C32" s="269" t="s">
        <v>98</v>
      </c>
      <c r="D32" s="270" t="str">
        <f>VLOOKUP(C32,'Personal File'!$A$10:$C$15,3,FALSE)</f>
        <v>+2</v>
      </c>
      <c r="E32" s="271" t="str">
        <f t="shared" si="0"/>
        <v>Wis (+2)</v>
      </c>
      <c r="F32" s="226" t="s">
        <v>50</v>
      </c>
      <c r="G32" s="226">
        <f t="shared" si="1"/>
        <v>7</v>
      </c>
      <c r="H32" s="199">
        <f t="shared" ca="1" si="4"/>
        <v>8</v>
      </c>
      <c r="I32" s="226">
        <f t="shared" ca="1" si="3"/>
        <v>15</v>
      </c>
      <c r="J32" s="227"/>
    </row>
    <row r="33" spans="1:10" ht="16.8">
      <c r="A33" s="265" t="s">
        <v>68</v>
      </c>
      <c r="B33" s="240">
        <v>0</v>
      </c>
      <c r="C33" s="266" t="s">
        <v>99</v>
      </c>
      <c r="D33" s="267" t="str">
        <f>VLOOKUP(C33,'Personal File'!$A$10:$C$15,3,FALSE)</f>
        <v>+1</v>
      </c>
      <c r="E33" s="268" t="str">
        <f t="shared" si="0"/>
        <v>Dex (+1)</v>
      </c>
      <c r="F33" s="244">
        <f>Martial!$D$14</f>
        <v>-5</v>
      </c>
      <c r="G33" s="244">
        <f t="shared" si="1"/>
        <v>-4</v>
      </c>
      <c r="H33" s="199">
        <f t="shared" ca="1" si="4"/>
        <v>14</v>
      </c>
      <c r="I33" s="244">
        <f t="shared" ref="I33:I34" ca="1" si="10">SUM(G33:H33)</f>
        <v>10</v>
      </c>
      <c r="J33" s="245"/>
    </row>
    <row r="34" spans="1:10" ht="16.8">
      <c r="A34" s="273" t="s">
        <v>67</v>
      </c>
      <c r="B34" s="274">
        <v>0</v>
      </c>
      <c r="C34" s="275" t="s">
        <v>97</v>
      </c>
      <c r="D34" s="276" t="str">
        <f>VLOOKUP(C34,'Personal File'!$A$10:$C$15,3,FALSE)</f>
        <v>+0</v>
      </c>
      <c r="E34" s="277" t="str">
        <f t="shared" si="0"/>
        <v>Int (+0)</v>
      </c>
      <c r="F34" s="278" t="s">
        <v>50</v>
      </c>
      <c r="G34" s="244">
        <f t="shared" si="1"/>
        <v>0</v>
      </c>
      <c r="H34" s="199">
        <f t="shared" ca="1" si="4"/>
        <v>14</v>
      </c>
      <c r="I34" s="244">
        <f t="shared" ca="1" si="10"/>
        <v>14</v>
      </c>
      <c r="J34" s="279"/>
    </row>
    <row r="35" spans="1:10" ht="16.8">
      <c r="A35" s="211" t="s">
        <v>44</v>
      </c>
      <c r="B35" s="212">
        <v>0</v>
      </c>
      <c r="C35" s="213" t="s">
        <v>97</v>
      </c>
      <c r="D35" s="214" t="str">
        <f>VLOOKUP(C35,'Personal File'!$A$10:$C$15,3,FALSE)</f>
        <v>+0</v>
      </c>
      <c r="E35" s="215" t="str">
        <f t="shared" si="0"/>
        <v>Int (+0)</v>
      </c>
      <c r="F35" s="217" t="s">
        <v>50</v>
      </c>
      <c r="G35" s="217">
        <f t="shared" si="1"/>
        <v>0</v>
      </c>
      <c r="H35" s="199">
        <f t="shared" ca="1" si="4"/>
        <v>9</v>
      </c>
      <c r="I35" s="217">
        <f t="shared" ca="1" si="3"/>
        <v>9</v>
      </c>
      <c r="J35" s="200"/>
    </row>
    <row r="36" spans="1:10" ht="16.8">
      <c r="A36" s="261" t="s">
        <v>45</v>
      </c>
      <c r="B36" s="212">
        <v>0</v>
      </c>
      <c r="C36" s="262" t="s">
        <v>98</v>
      </c>
      <c r="D36" s="263" t="str">
        <f>VLOOKUP(C36,'Personal File'!$A$10:$C$15,3,FALSE)</f>
        <v>+2</v>
      </c>
      <c r="E36" s="264" t="str">
        <f t="shared" si="0"/>
        <v>Wis (+2)</v>
      </c>
      <c r="F36" s="217" t="s">
        <v>50</v>
      </c>
      <c r="G36" s="217">
        <f t="shared" si="1"/>
        <v>2</v>
      </c>
      <c r="H36" s="199">
        <f t="shared" ca="1" si="4"/>
        <v>14</v>
      </c>
      <c r="I36" s="217">
        <f t="shared" ca="1" si="3"/>
        <v>16</v>
      </c>
      <c r="J36" s="200"/>
    </row>
    <row r="37" spans="1:10" ht="16.8">
      <c r="A37" s="261" t="s">
        <v>69</v>
      </c>
      <c r="B37" s="212">
        <v>0</v>
      </c>
      <c r="C37" s="262" t="s">
        <v>98</v>
      </c>
      <c r="D37" s="263" t="str">
        <f>VLOOKUP(C37,'Personal File'!$A$10:$C$15,3,FALSE)</f>
        <v>+2</v>
      </c>
      <c r="E37" s="264" t="str">
        <f t="shared" si="0"/>
        <v>Wis (+2)</v>
      </c>
      <c r="F37" s="217" t="s">
        <v>50</v>
      </c>
      <c r="G37" s="217">
        <f t="shared" si="1"/>
        <v>2</v>
      </c>
      <c r="H37" s="199">
        <f t="shared" ca="1" si="4"/>
        <v>15</v>
      </c>
      <c r="I37" s="217">
        <f t="shared" ca="1" si="3"/>
        <v>17</v>
      </c>
      <c r="J37" s="200"/>
    </row>
    <row r="38" spans="1:10" ht="16.8">
      <c r="A38" s="228" t="s">
        <v>14</v>
      </c>
      <c r="B38" s="212">
        <v>0</v>
      </c>
      <c r="C38" s="229" t="s">
        <v>100</v>
      </c>
      <c r="D38" s="230" t="str">
        <f>VLOOKUP(C38,'Personal File'!$A$10:$C$15,3,FALSE)</f>
        <v>+2</v>
      </c>
      <c r="E38" s="231" t="str">
        <f t="shared" si="0"/>
        <v>Str (+2)</v>
      </c>
      <c r="F38" s="217" t="s">
        <v>50</v>
      </c>
      <c r="G38" s="217">
        <f t="shared" si="1"/>
        <v>2</v>
      </c>
      <c r="H38" s="199">
        <f t="shared" ca="1" si="4"/>
        <v>6</v>
      </c>
      <c r="I38" s="217">
        <f t="shared" ca="1" si="3"/>
        <v>8</v>
      </c>
      <c r="J38" s="200" t="s">
        <v>512</v>
      </c>
    </row>
    <row r="39" spans="1:10" ht="16.8">
      <c r="A39" s="280" t="s">
        <v>46</v>
      </c>
      <c r="B39" s="281">
        <v>0</v>
      </c>
      <c r="C39" s="282" t="s">
        <v>99</v>
      </c>
      <c r="D39" s="283" t="str">
        <f>VLOOKUP(C39,'Personal File'!$A$10:$C$15,3,FALSE)</f>
        <v>+1</v>
      </c>
      <c r="E39" s="284" t="str">
        <f t="shared" si="0"/>
        <v>Dex (+1)</v>
      </c>
      <c r="F39" s="532">
        <f>Martial!$D$14+2</f>
        <v>-3</v>
      </c>
      <c r="G39" s="244">
        <f t="shared" si="1"/>
        <v>-2</v>
      </c>
      <c r="H39" s="199">
        <f t="shared" ca="1" si="4"/>
        <v>2</v>
      </c>
      <c r="I39" s="244">
        <f t="shared" ref="I39:I40" ca="1" si="11">SUM(G39:H39)</f>
        <v>0</v>
      </c>
      <c r="J39" s="285" t="s">
        <v>513</v>
      </c>
    </row>
    <row r="40" spans="1:10" ht="16.8">
      <c r="A40" s="286" t="s">
        <v>47</v>
      </c>
      <c r="B40" s="240">
        <v>0</v>
      </c>
      <c r="C40" s="287" t="s">
        <v>96</v>
      </c>
      <c r="D40" s="288" t="str">
        <f>VLOOKUP(C40,'Personal File'!$A$10:$C$15,3,FALSE)</f>
        <v>+1</v>
      </c>
      <c r="E40" s="289" t="str">
        <f t="shared" si="0"/>
        <v>Cha (+1)</v>
      </c>
      <c r="F40" s="244" t="s">
        <v>50</v>
      </c>
      <c r="G40" s="244">
        <f t="shared" si="1"/>
        <v>1</v>
      </c>
      <c r="H40" s="199">
        <f t="shared" ca="1" si="4"/>
        <v>11</v>
      </c>
      <c r="I40" s="244">
        <f t="shared" ca="1" si="11"/>
        <v>12</v>
      </c>
      <c r="J40" s="245"/>
    </row>
    <row r="41" spans="1:10" ht="17.399999999999999" thickBot="1">
      <c r="A41" s="290" t="s">
        <v>48</v>
      </c>
      <c r="B41" s="291">
        <v>0</v>
      </c>
      <c r="C41" s="292" t="s">
        <v>99</v>
      </c>
      <c r="D41" s="293" t="str">
        <f>VLOOKUP(C41,'Personal File'!$A$10:$C$15,3,FALSE)</f>
        <v>+1</v>
      </c>
      <c r="E41" s="294" t="str">
        <f t="shared" si="0"/>
        <v>Dex (+1)</v>
      </c>
      <c r="F41" s="295" t="s">
        <v>50</v>
      </c>
      <c r="G41" s="295">
        <f t="shared" si="1"/>
        <v>1</v>
      </c>
      <c r="H41" s="296">
        <f t="shared" ca="1" si="4"/>
        <v>16</v>
      </c>
      <c r="I41" s="295">
        <f t="shared" ca="1" si="3"/>
        <v>17</v>
      </c>
      <c r="J41" s="297"/>
    </row>
    <row r="42" spans="1:10" ht="16.2" thickTop="1">
      <c r="B42" s="177">
        <f>SUM(B6:B41)</f>
        <v>27</v>
      </c>
      <c r="E42" s="177">
        <f>SUM(E43:E49)</f>
        <v>27</v>
      </c>
      <c r="F42" s="298" t="s">
        <v>51</v>
      </c>
    </row>
    <row r="43" spans="1:10">
      <c r="B43" s="177"/>
      <c r="E43" s="175">
        <f>4*(2+'Personal File'!$C$13)</f>
        <v>8</v>
      </c>
      <c r="F43" s="176" t="s">
        <v>143</v>
      </c>
    </row>
    <row r="44" spans="1:10">
      <c r="B44" s="177"/>
      <c r="E44" s="175">
        <f>2+'Personal File'!$C$13</f>
        <v>2</v>
      </c>
      <c r="F44" s="176" t="s">
        <v>208</v>
      </c>
    </row>
    <row r="45" spans="1:10">
      <c r="B45" s="177"/>
      <c r="E45" s="175">
        <f>2+'Personal File'!$C$13</f>
        <v>2</v>
      </c>
      <c r="F45" s="176" t="s">
        <v>361</v>
      </c>
    </row>
    <row r="46" spans="1:10">
      <c r="B46" s="177"/>
      <c r="E46" s="175">
        <f>2+'Personal File'!$C$13</f>
        <v>2</v>
      </c>
      <c r="F46" s="176" t="s">
        <v>369</v>
      </c>
    </row>
    <row r="47" spans="1:10">
      <c r="B47" s="177"/>
      <c r="E47" s="175">
        <f>2+'Personal File'!$C$13</f>
        <v>2</v>
      </c>
      <c r="F47" s="176" t="s">
        <v>497</v>
      </c>
    </row>
    <row r="48" spans="1:10">
      <c r="B48" s="177"/>
      <c r="E48" s="175">
        <f>2+'Personal File'!$C$13</f>
        <v>2</v>
      </c>
      <c r="F48" s="176" t="s">
        <v>505</v>
      </c>
    </row>
    <row r="49" spans="5:6">
      <c r="E49" s="177">
        <f>3+SUM('Personal File'!$E$3:$E$4)</f>
        <v>9</v>
      </c>
      <c r="F49" s="176" t="s">
        <v>78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D1BA-76EF-4382-90D6-F28AD9D1BE45}">
  <dimension ref="A1:J175"/>
  <sheetViews>
    <sheetView showGridLines="0" zoomScaleNormal="100" workbookViewId="0">
      <pane ySplit="2" topLeftCell="A3" activePane="bottomLeft" state="frozen"/>
      <selection pane="bottomLeft" activeCell="A3" sqref="A3"/>
    </sheetView>
  </sheetViews>
  <sheetFormatPr defaultColWidth="13" defaultRowHeight="15.6"/>
  <cols>
    <col min="1" max="1" width="28.59765625" style="442" bestFit="1" customWidth="1"/>
    <col min="2" max="2" width="6.19921875" style="442" bestFit="1" customWidth="1"/>
    <col min="3" max="3" width="11.5" style="443" bestFit="1" customWidth="1"/>
    <col min="4" max="4" width="13.3984375" style="443" bestFit="1" customWidth="1"/>
    <col min="5" max="5" width="12.796875" style="443" bestFit="1" customWidth="1"/>
    <col min="6" max="6" width="10.59765625" style="443" bestFit="1" customWidth="1"/>
    <col min="7" max="7" width="13" style="443" bestFit="1" customWidth="1"/>
    <col min="8" max="8" width="13.19921875" style="442" bestFit="1" customWidth="1"/>
    <col min="9" max="9" width="23.296875" style="315" bestFit="1" customWidth="1"/>
    <col min="10" max="10" width="5.5" style="315" bestFit="1" customWidth="1"/>
    <col min="11" max="16384" width="13" style="315"/>
  </cols>
  <sheetData>
    <row r="1" spans="1:10" ht="23.4" thickBot="1">
      <c r="A1" s="444" t="s">
        <v>346</v>
      </c>
      <c r="B1" s="404"/>
      <c r="C1" s="404"/>
      <c r="D1" s="404"/>
      <c r="E1" s="404"/>
      <c r="F1" s="404"/>
      <c r="G1" s="404"/>
      <c r="H1" s="404"/>
      <c r="I1" s="404"/>
    </row>
    <row r="2" spans="1:10" s="317" customFormat="1" ht="16.8">
      <c r="A2" s="516" t="s">
        <v>170</v>
      </c>
      <c r="B2" s="448" t="s">
        <v>0</v>
      </c>
      <c r="C2" s="448" t="s">
        <v>210</v>
      </c>
      <c r="D2" s="448" t="s">
        <v>211</v>
      </c>
      <c r="E2" s="448" t="s">
        <v>212</v>
      </c>
      <c r="F2" s="448" t="s">
        <v>213</v>
      </c>
      <c r="G2" s="448" t="s">
        <v>214</v>
      </c>
      <c r="H2" s="448" t="s">
        <v>215</v>
      </c>
      <c r="I2" s="448" t="s">
        <v>216</v>
      </c>
      <c r="J2" s="517" t="s">
        <v>217</v>
      </c>
    </row>
    <row r="3" spans="1:10" s="317" customFormat="1" ht="16.8">
      <c r="A3" s="445" t="s">
        <v>218</v>
      </c>
      <c r="B3" s="405">
        <v>0</v>
      </c>
      <c r="C3" s="406"/>
      <c r="D3" s="407" t="s">
        <v>219</v>
      </c>
      <c r="E3" s="408" t="s">
        <v>220</v>
      </c>
      <c r="F3" s="409" t="s">
        <v>221</v>
      </c>
      <c r="G3" s="409" t="s">
        <v>222</v>
      </c>
      <c r="H3" s="409" t="s">
        <v>223</v>
      </c>
      <c r="I3" s="410" t="s">
        <v>224</v>
      </c>
      <c r="J3" s="411">
        <v>9</v>
      </c>
    </row>
    <row r="4" spans="1:10" s="317" customFormat="1" ht="16.8">
      <c r="A4" s="445" t="s">
        <v>225</v>
      </c>
      <c r="B4" s="405">
        <v>0</v>
      </c>
      <c r="C4" s="406"/>
      <c r="D4" s="412" t="s">
        <v>226</v>
      </c>
      <c r="E4" s="413" t="s">
        <v>220</v>
      </c>
      <c r="F4" s="414" t="s">
        <v>221</v>
      </c>
      <c r="G4" s="415" t="s">
        <v>222</v>
      </c>
      <c r="H4" s="415" t="s">
        <v>227</v>
      </c>
      <c r="I4" s="415" t="s">
        <v>228</v>
      </c>
      <c r="J4" s="416">
        <v>215</v>
      </c>
    </row>
    <row r="5" spans="1:10" s="317" customFormat="1" ht="16.8">
      <c r="A5" s="445" t="s">
        <v>229</v>
      </c>
      <c r="B5" s="405">
        <v>0</v>
      </c>
      <c r="C5" s="406"/>
      <c r="D5" s="412" t="s">
        <v>226</v>
      </c>
      <c r="E5" s="413" t="s">
        <v>220</v>
      </c>
      <c r="F5" s="414" t="s">
        <v>221</v>
      </c>
      <c r="G5" s="415" t="s">
        <v>230</v>
      </c>
      <c r="H5" s="415" t="s">
        <v>227</v>
      </c>
      <c r="I5" s="415" t="s">
        <v>228</v>
      </c>
      <c r="J5" s="416">
        <v>216</v>
      </c>
    </row>
    <row r="6" spans="1:10" s="317" customFormat="1" ht="16.8">
      <c r="A6" s="445" t="s">
        <v>174</v>
      </c>
      <c r="B6" s="405">
        <v>0</v>
      </c>
      <c r="C6" s="406"/>
      <c r="D6" s="417" t="s">
        <v>231</v>
      </c>
      <c r="E6" s="413" t="s">
        <v>220</v>
      </c>
      <c r="F6" s="415" t="s">
        <v>221</v>
      </c>
      <c r="G6" s="415" t="s">
        <v>136</v>
      </c>
      <c r="H6" s="415" t="s">
        <v>232</v>
      </c>
      <c r="I6" s="415" t="s">
        <v>228</v>
      </c>
      <c r="J6" s="416">
        <v>219</v>
      </c>
    </row>
    <row r="7" spans="1:10" s="317" customFormat="1" ht="16.8">
      <c r="A7" s="445" t="s">
        <v>184</v>
      </c>
      <c r="B7" s="405">
        <v>0</v>
      </c>
      <c r="C7" s="406"/>
      <c r="D7" s="412" t="s">
        <v>233</v>
      </c>
      <c r="E7" s="413" t="s">
        <v>220</v>
      </c>
      <c r="F7" s="414" t="s">
        <v>221</v>
      </c>
      <c r="G7" s="415" t="s">
        <v>222</v>
      </c>
      <c r="H7" s="415" t="s">
        <v>227</v>
      </c>
      <c r="I7" s="415" t="s">
        <v>228</v>
      </c>
      <c r="J7" s="416">
        <v>219</v>
      </c>
    </row>
    <row r="8" spans="1:10" s="317" customFormat="1" ht="16.8">
      <c r="A8" s="445" t="s">
        <v>234</v>
      </c>
      <c r="B8" s="405">
        <v>0</v>
      </c>
      <c r="C8" s="406"/>
      <c r="D8" s="412" t="s">
        <v>233</v>
      </c>
      <c r="E8" s="413" t="s">
        <v>220</v>
      </c>
      <c r="F8" s="414" t="s">
        <v>221</v>
      </c>
      <c r="G8" s="415" t="s">
        <v>230</v>
      </c>
      <c r="H8" s="415" t="s">
        <v>235</v>
      </c>
      <c r="I8" s="415" t="s">
        <v>228</v>
      </c>
      <c r="J8" s="418">
        <v>238</v>
      </c>
    </row>
    <row r="9" spans="1:10" s="317" customFormat="1" ht="16.8">
      <c r="A9" s="445" t="s">
        <v>236</v>
      </c>
      <c r="B9" s="405">
        <v>0</v>
      </c>
      <c r="C9" s="406"/>
      <c r="D9" s="419" t="s">
        <v>237</v>
      </c>
      <c r="E9" s="413" t="s">
        <v>220</v>
      </c>
      <c r="F9" s="410" t="s">
        <v>221</v>
      </c>
      <c r="G9" s="415" t="s">
        <v>230</v>
      </c>
      <c r="H9" s="410" t="s">
        <v>238</v>
      </c>
      <c r="I9" s="415" t="s">
        <v>228</v>
      </c>
      <c r="J9" s="416">
        <v>244</v>
      </c>
    </row>
    <row r="10" spans="1:10" s="317" customFormat="1" ht="16.8">
      <c r="A10" s="445" t="s">
        <v>239</v>
      </c>
      <c r="B10" s="405">
        <v>0</v>
      </c>
      <c r="C10" s="406"/>
      <c r="D10" s="412" t="s">
        <v>240</v>
      </c>
      <c r="E10" s="413" t="s">
        <v>241</v>
      </c>
      <c r="F10" s="414" t="s">
        <v>221</v>
      </c>
      <c r="G10" s="415" t="s">
        <v>230</v>
      </c>
      <c r="H10" s="415" t="s">
        <v>223</v>
      </c>
      <c r="I10" s="415" t="s">
        <v>228</v>
      </c>
      <c r="J10" s="416">
        <v>248</v>
      </c>
    </row>
    <row r="11" spans="1:10" s="317" customFormat="1" ht="16.8">
      <c r="A11" s="445" t="s">
        <v>186</v>
      </c>
      <c r="B11" s="405">
        <v>0</v>
      </c>
      <c r="C11" s="406"/>
      <c r="D11" s="412" t="s">
        <v>219</v>
      </c>
      <c r="E11" s="413" t="s">
        <v>220</v>
      </c>
      <c r="F11" s="414" t="s">
        <v>221</v>
      </c>
      <c r="G11" s="415" t="s">
        <v>242</v>
      </c>
      <c r="H11" s="415" t="s">
        <v>227</v>
      </c>
      <c r="I11" s="415" t="s">
        <v>228</v>
      </c>
      <c r="J11" s="416">
        <v>253</v>
      </c>
    </row>
    <row r="12" spans="1:10" s="317" customFormat="1" ht="16.8">
      <c r="A12" s="445" t="s">
        <v>188</v>
      </c>
      <c r="B12" s="405">
        <v>0</v>
      </c>
      <c r="C12" s="406"/>
      <c r="D12" s="417" t="s">
        <v>219</v>
      </c>
      <c r="E12" s="413" t="s">
        <v>243</v>
      </c>
      <c r="F12" s="414" t="s">
        <v>221</v>
      </c>
      <c r="G12" s="415" t="s">
        <v>244</v>
      </c>
      <c r="H12" s="415" t="s">
        <v>223</v>
      </c>
      <c r="I12" s="415" t="s">
        <v>228</v>
      </c>
      <c r="J12" s="416">
        <v>253</v>
      </c>
    </row>
    <row r="13" spans="1:10" s="317" customFormat="1" ht="16.8">
      <c r="A13" s="445" t="s">
        <v>245</v>
      </c>
      <c r="B13" s="405">
        <v>0</v>
      </c>
      <c r="C13" s="406"/>
      <c r="D13" s="417" t="s">
        <v>237</v>
      </c>
      <c r="E13" s="413" t="s">
        <v>246</v>
      </c>
      <c r="F13" s="414" t="s">
        <v>247</v>
      </c>
      <c r="G13" s="415" t="s">
        <v>230</v>
      </c>
      <c r="H13" s="415" t="s">
        <v>248</v>
      </c>
      <c r="I13" s="415" t="s">
        <v>249</v>
      </c>
      <c r="J13" s="416">
        <v>101</v>
      </c>
    </row>
    <row r="14" spans="1:10" s="317" customFormat="1" ht="16.8">
      <c r="A14" s="445" t="s">
        <v>250</v>
      </c>
      <c r="B14" s="405">
        <v>0</v>
      </c>
      <c r="C14" s="406"/>
      <c r="D14" s="412" t="s">
        <v>231</v>
      </c>
      <c r="E14" s="413" t="s">
        <v>220</v>
      </c>
      <c r="F14" s="414" t="s">
        <v>221</v>
      </c>
      <c r="G14" s="415" t="s">
        <v>242</v>
      </c>
      <c r="H14" s="415" t="s">
        <v>227</v>
      </c>
      <c r="I14" s="415" t="s">
        <v>228</v>
      </c>
      <c r="J14" s="416">
        <v>267</v>
      </c>
    </row>
    <row r="15" spans="1:10" s="317" customFormat="1" ht="16.8">
      <c r="A15" s="445" t="s">
        <v>191</v>
      </c>
      <c r="B15" s="405">
        <v>0</v>
      </c>
      <c r="C15" s="406"/>
      <c r="D15" s="412" t="s">
        <v>231</v>
      </c>
      <c r="E15" s="413" t="s">
        <v>243</v>
      </c>
      <c r="F15" s="414" t="s">
        <v>221</v>
      </c>
      <c r="G15" s="415" t="s">
        <v>251</v>
      </c>
      <c r="H15" s="415" t="s">
        <v>223</v>
      </c>
      <c r="I15" s="415" t="s">
        <v>228</v>
      </c>
      <c r="J15" s="416">
        <v>269</v>
      </c>
    </row>
    <row r="16" spans="1:10" s="317" customFormat="1" ht="16.8">
      <c r="A16" s="445" t="s">
        <v>252</v>
      </c>
      <c r="B16" s="405">
        <v>0</v>
      </c>
      <c r="C16" s="406"/>
      <c r="D16" s="417" t="s">
        <v>253</v>
      </c>
      <c r="E16" s="413" t="s">
        <v>254</v>
      </c>
      <c r="F16" s="414" t="s">
        <v>221</v>
      </c>
      <c r="G16" s="415" t="s">
        <v>230</v>
      </c>
      <c r="H16" s="415" t="s">
        <v>235</v>
      </c>
      <c r="I16" s="415" t="s">
        <v>228</v>
      </c>
      <c r="J16" s="416">
        <v>272</v>
      </c>
    </row>
    <row r="17" spans="1:10" ht="16.8">
      <c r="A17" s="445" t="s">
        <v>255</v>
      </c>
      <c r="B17" s="405">
        <v>0</v>
      </c>
      <c r="C17" s="406"/>
      <c r="D17" s="419" t="s">
        <v>219</v>
      </c>
      <c r="E17" s="413" t="s">
        <v>220</v>
      </c>
      <c r="F17" s="410" t="s">
        <v>221</v>
      </c>
      <c r="G17" s="410" t="s">
        <v>222</v>
      </c>
      <c r="H17" s="410" t="s">
        <v>256</v>
      </c>
      <c r="I17" s="410" t="s">
        <v>249</v>
      </c>
      <c r="J17" s="416">
        <v>103</v>
      </c>
    </row>
    <row r="18" spans="1:10" ht="16.8">
      <c r="A18" s="445" t="s">
        <v>257</v>
      </c>
      <c r="B18" s="405">
        <v>0</v>
      </c>
      <c r="C18" s="406"/>
      <c r="D18" s="412" t="s">
        <v>226</v>
      </c>
      <c r="E18" s="413" t="s">
        <v>220</v>
      </c>
      <c r="F18" s="414" t="s">
        <v>221</v>
      </c>
      <c r="G18" s="415" t="s">
        <v>258</v>
      </c>
      <c r="H18" s="415" t="s">
        <v>259</v>
      </c>
      <c r="I18" s="415" t="s">
        <v>260</v>
      </c>
      <c r="J18" s="416">
        <v>128</v>
      </c>
    </row>
    <row r="19" spans="1:10" ht="16.8">
      <c r="A19" s="446" t="s">
        <v>261</v>
      </c>
      <c r="B19" s="420">
        <v>0</v>
      </c>
      <c r="C19" s="421"/>
      <c r="D19" s="422" t="s">
        <v>219</v>
      </c>
      <c r="E19" s="423" t="s">
        <v>246</v>
      </c>
      <c r="F19" s="424" t="s">
        <v>221</v>
      </c>
      <c r="G19" s="425" t="s">
        <v>230</v>
      </c>
      <c r="H19" s="425" t="s">
        <v>235</v>
      </c>
      <c r="I19" s="425" t="s">
        <v>228</v>
      </c>
      <c r="J19" s="426">
        <v>298</v>
      </c>
    </row>
    <row r="20" spans="1:10" ht="16.8">
      <c r="A20" s="445" t="s">
        <v>262</v>
      </c>
      <c r="B20" s="405">
        <v>1</v>
      </c>
      <c r="C20" s="406"/>
      <c r="D20" s="412" t="s">
        <v>237</v>
      </c>
      <c r="E20" s="413" t="s">
        <v>220</v>
      </c>
      <c r="F20" s="414" t="s">
        <v>221</v>
      </c>
      <c r="G20" s="415" t="s">
        <v>251</v>
      </c>
      <c r="H20" s="410" t="s">
        <v>222</v>
      </c>
      <c r="I20" s="415" t="s">
        <v>249</v>
      </c>
      <c r="J20" s="416">
        <v>85</v>
      </c>
    </row>
    <row r="21" spans="1:10" ht="16.8">
      <c r="A21" s="445" t="s">
        <v>263</v>
      </c>
      <c r="B21" s="405">
        <v>1</v>
      </c>
      <c r="C21" s="406"/>
      <c r="D21" s="412" t="s">
        <v>264</v>
      </c>
      <c r="E21" s="413" t="s">
        <v>246</v>
      </c>
      <c r="F21" s="414" t="s">
        <v>221</v>
      </c>
      <c r="G21" s="415" t="s">
        <v>265</v>
      </c>
      <c r="H21" s="415" t="s">
        <v>232</v>
      </c>
      <c r="I21" s="415" t="s">
        <v>228</v>
      </c>
      <c r="J21" s="418">
        <v>203</v>
      </c>
    </row>
    <row r="22" spans="1:10" ht="16.8">
      <c r="A22" s="445" t="s">
        <v>266</v>
      </c>
      <c r="B22" s="405">
        <v>1</v>
      </c>
      <c r="C22" s="406"/>
      <c r="D22" s="419" t="s">
        <v>237</v>
      </c>
      <c r="E22" s="427" t="s">
        <v>220</v>
      </c>
      <c r="F22" s="410" t="s">
        <v>267</v>
      </c>
      <c r="G22" s="410" t="s">
        <v>230</v>
      </c>
      <c r="H22" s="410" t="s">
        <v>259</v>
      </c>
      <c r="I22" s="415" t="s">
        <v>268</v>
      </c>
      <c r="J22" s="418">
        <v>103</v>
      </c>
    </row>
    <row r="23" spans="1:10" ht="16.8">
      <c r="A23" s="445" t="s">
        <v>269</v>
      </c>
      <c r="B23" s="405">
        <v>1</v>
      </c>
      <c r="C23" s="406"/>
      <c r="D23" s="412" t="s">
        <v>264</v>
      </c>
      <c r="E23" s="413" t="s">
        <v>246</v>
      </c>
      <c r="F23" s="414" t="s">
        <v>221</v>
      </c>
      <c r="G23" s="415" t="s">
        <v>265</v>
      </c>
      <c r="H23" s="415" t="s">
        <v>232</v>
      </c>
      <c r="I23" s="415" t="s">
        <v>228</v>
      </c>
      <c r="J23" s="418">
        <v>205</v>
      </c>
    </row>
    <row r="24" spans="1:10" ht="16.8">
      <c r="A24" s="445" t="s">
        <v>270</v>
      </c>
      <c r="B24" s="405">
        <v>1</v>
      </c>
      <c r="C24" s="406"/>
      <c r="D24" s="412" t="s">
        <v>219</v>
      </c>
      <c r="E24" s="413" t="s">
        <v>271</v>
      </c>
      <c r="F24" s="414" t="s">
        <v>221</v>
      </c>
      <c r="G24" s="415" t="s">
        <v>230</v>
      </c>
      <c r="H24" s="415" t="s">
        <v>227</v>
      </c>
      <c r="I24" s="415" t="s">
        <v>228</v>
      </c>
      <c r="J24" s="416">
        <v>205</v>
      </c>
    </row>
    <row r="25" spans="1:10" ht="16.8">
      <c r="A25" s="445" t="s">
        <v>272</v>
      </c>
      <c r="B25" s="405">
        <v>1</v>
      </c>
      <c r="C25" s="406"/>
      <c r="D25" s="412" t="s">
        <v>240</v>
      </c>
      <c r="E25" s="428" t="s">
        <v>220</v>
      </c>
      <c r="F25" s="414" t="s">
        <v>267</v>
      </c>
      <c r="G25" s="415" t="s">
        <v>222</v>
      </c>
      <c r="H25" s="410" t="s">
        <v>256</v>
      </c>
      <c r="I25" s="410" t="s">
        <v>273</v>
      </c>
      <c r="J25" s="418">
        <v>63</v>
      </c>
    </row>
    <row r="26" spans="1:10" ht="16.8">
      <c r="A26" s="445" t="s">
        <v>274</v>
      </c>
      <c r="B26" s="405">
        <v>1</v>
      </c>
      <c r="C26" s="406"/>
      <c r="D26" s="412" t="s">
        <v>253</v>
      </c>
      <c r="E26" s="413" t="s">
        <v>275</v>
      </c>
      <c r="F26" s="414" t="s">
        <v>221</v>
      </c>
      <c r="G26" s="415" t="s">
        <v>230</v>
      </c>
      <c r="H26" s="415" t="s">
        <v>276</v>
      </c>
      <c r="I26" s="415" t="s">
        <v>277</v>
      </c>
      <c r="J26" s="416">
        <v>83</v>
      </c>
    </row>
    <row r="27" spans="1:10" ht="16.8">
      <c r="A27" s="445" t="s">
        <v>278</v>
      </c>
      <c r="B27" s="405">
        <v>1</v>
      </c>
      <c r="C27" s="406"/>
      <c r="D27" s="412" t="s">
        <v>237</v>
      </c>
      <c r="E27" s="413" t="s">
        <v>220</v>
      </c>
      <c r="F27" s="414" t="s">
        <v>221</v>
      </c>
      <c r="G27" s="415" t="s">
        <v>222</v>
      </c>
      <c r="H27" s="415" t="s">
        <v>279</v>
      </c>
      <c r="I27" s="415" t="s">
        <v>228</v>
      </c>
      <c r="J27" s="416">
        <v>208</v>
      </c>
    </row>
    <row r="28" spans="1:10" ht="16.8">
      <c r="A28" s="445" t="s">
        <v>280</v>
      </c>
      <c r="B28" s="405">
        <v>1</v>
      </c>
      <c r="C28" s="406"/>
      <c r="D28" s="412" t="s">
        <v>264</v>
      </c>
      <c r="E28" s="413" t="s">
        <v>281</v>
      </c>
      <c r="F28" s="414" t="s">
        <v>221</v>
      </c>
      <c r="G28" s="415" t="s">
        <v>222</v>
      </c>
      <c r="H28" s="415" t="s">
        <v>256</v>
      </c>
      <c r="I28" s="415" t="s">
        <v>228</v>
      </c>
      <c r="J28" s="416">
        <v>211</v>
      </c>
    </row>
    <row r="29" spans="1:10" ht="16.8">
      <c r="A29" s="445" t="s">
        <v>282</v>
      </c>
      <c r="B29" s="405">
        <v>1</v>
      </c>
      <c r="C29" s="406"/>
      <c r="D29" s="412" t="s">
        <v>233</v>
      </c>
      <c r="E29" s="413" t="s">
        <v>254</v>
      </c>
      <c r="F29" s="414" t="s">
        <v>221</v>
      </c>
      <c r="G29" s="415" t="s">
        <v>251</v>
      </c>
      <c r="H29" s="415" t="s">
        <v>223</v>
      </c>
      <c r="I29" s="415" t="s">
        <v>228</v>
      </c>
      <c r="J29" s="416">
        <v>212</v>
      </c>
    </row>
    <row r="30" spans="1:10" ht="16.8">
      <c r="A30" s="445" t="s">
        <v>283</v>
      </c>
      <c r="B30" s="405">
        <v>1</v>
      </c>
      <c r="C30" s="406"/>
      <c r="D30" s="429" t="s">
        <v>226</v>
      </c>
      <c r="E30" s="428" t="s">
        <v>246</v>
      </c>
      <c r="F30" s="414" t="s">
        <v>284</v>
      </c>
      <c r="G30" s="430" t="s">
        <v>222</v>
      </c>
      <c r="H30" s="430" t="s">
        <v>259</v>
      </c>
      <c r="I30" s="415" t="s">
        <v>285</v>
      </c>
      <c r="J30" s="431">
        <v>91</v>
      </c>
    </row>
    <row r="31" spans="1:10" ht="16.8">
      <c r="A31" s="445" t="s">
        <v>286</v>
      </c>
      <c r="B31" s="405">
        <v>1</v>
      </c>
      <c r="C31" s="406"/>
      <c r="D31" s="412" t="s">
        <v>226</v>
      </c>
      <c r="E31" s="413" t="s">
        <v>220</v>
      </c>
      <c r="F31" s="414" t="s">
        <v>221</v>
      </c>
      <c r="G31" s="415" t="s">
        <v>230</v>
      </c>
      <c r="H31" s="415" t="s">
        <v>227</v>
      </c>
      <c r="I31" s="415" t="s">
        <v>228</v>
      </c>
      <c r="J31" s="416">
        <v>216</v>
      </c>
    </row>
    <row r="32" spans="1:10" ht="16.8">
      <c r="A32" s="445" t="s">
        <v>287</v>
      </c>
      <c r="B32" s="405">
        <v>1</v>
      </c>
      <c r="C32" s="406"/>
      <c r="D32" s="412" t="s">
        <v>219</v>
      </c>
      <c r="E32" s="413" t="s">
        <v>271</v>
      </c>
      <c r="F32" s="414" t="s">
        <v>235</v>
      </c>
      <c r="G32" s="415" t="s">
        <v>230</v>
      </c>
      <c r="H32" s="415" t="s">
        <v>227</v>
      </c>
      <c r="I32" s="415" t="s">
        <v>228</v>
      </c>
      <c r="J32" s="416">
        <v>216</v>
      </c>
    </row>
    <row r="33" spans="1:10" ht="16.8">
      <c r="A33" s="445" t="s">
        <v>288</v>
      </c>
      <c r="B33" s="405">
        <v>1</v>
      </c>
      <c r="C33" s="406"/>
      <c r="D33" s="412" t="s">
        <v>237</v>
      </c>
      <c r="E33" s="413" t="s">
        <v>220</v>
      </c>
      <c r="F33" s="414" t="s">
        <v>221</v>
      </c>
      <c r="G33" s="415" t="s">
        <v>222</v>
      </c>
      <c r="H33" s="415" t="s">
        <v>223</v>
      </c>
      <c r="I33" s="415" t="s">
        <v>228</v>
      </c>
      <c r="J33" s="416">
        <v>217</v>
      </c>
    </row>
    <row r="34" spans="1:10" ht="16.8">
      <c r="A34" s="445" t="s">
        <v>289</v>
      </c>
      <c r="B34" s="405">
        <v>1</v>
      </c>
      <c r="C34" s="406"/>
      <c r="D34" s="412" t="s">
        <v>233</v>
      </c>
      <c r="E34" s="413" t="s">
        <v>246</v>
      </c>
      <c r="F34" s="414" t="s">
        <v>221</v>
      </c>
      <c r="G34" s="415" t="s">
        <v>290</v>
      </c>
      <c r="H34" s="415" t="s">
        <v>223</v>
      </c>
      <c r="I34" s="415" t="s">
        <v>228</v>
      </c>
      <c r="J34" s="416">
        <v>218</v>
      </c>
    </row>
    <row r="35" spans="1:10" ht="16.8">
      <c r="A35" s="445" t="s">
        <v>291</v>
      </c>
      <c r="B35" s="405">
        <v>1</v>
      </c>
      <c r="C35" s="406"/>
      <c r="D35" s="412" t="s">
        <v>233</v>
      </c>
      <c r="E35" s="413" t="s">
        <v>246</v>
      </c>
      <c r="F35" s="414" t="s">
        <v>221</v>
      </c>
      <c r="G35" s="415" t="s">
        <v>136</v>
      </c>
      <c r="H35" s="415" t="s">
        <v>223</v>
      </c>
      <c r="I35" s="415" t="s">
        <v>228</v>
      </c>
      <c r="J35" s="416">
        <v>218</v>
      </c>
    </row>
    <row r="36" spans="1:10" ht="16.8">
      <c r="A36" s="445" t="s">
        <v>292</v>
      </c>
      <c r="B36" s="405">
        <v>1</v>
      </c>
      <c r="C36" s="406"/>
      <c r="D36" s="412" t="s">
        <v>233</v>
      </c>
      <c r="E36" s="413" t="s">
        <v>254</v>
      </c>
      <c r="F36" s="414" t="s">
        <v>221</v>
      </c>
      <c r="G36" s="415" t="s">
        <v>293</v>
      </c>
      <c r="H36" s="415" t="s">
        <v>227</v>
      </c>
      <c r="I36" s="415" t="s">
        <v>228</v>
      </c>
      <c r="J36" s="416">
        <v>220</v>
      </c>
    </row>
    <row r="37" spans="1:10" ht="16.8">
      <c r="A37" s="445" t="s">
        <v>192</v>
      </c>
      <c r="B37" s="405">
        <v>1</v>
      </c>
      <c r="C37" s="406"/>
      <c r="D37" s="412" t="s">
        <v>240</v>
      </c>
      <c r="E37" s="413" t="s">
        <v>246</v>
      </c>
      <c r="F37" s="414" t="s">
        <v>221</v>
      </c>
      <c r="G37" s="415" t="s">
        <v>251</v>
      </c>
      <c r="H37" s="415" t="s">
        <v>235</v>
      </c>
      <c r="I37" s="415" t="s">
        <v>228</v>
      </c>
      <c r="J37" s="418">
        <v>224</v>
      </c>
    </row>
    <row r="38" spans="1:10" ht="16.8">
      <c r="A38" s="445" t="s">
        <v>294</v>
      </c>
      <c r="B38" s="405">
        <v>1</v>
      </c>
      <c r="C38" s="406"/>
      <c r="D38" s="412" t="s">
        <v>233</v>
      </c>
      <c r="E38" s="413" t="s">
        <v>295</v>
      </c>
      <c r="F38" s="415" t="s">
        <v>221</v>
      </c>
      <c r="G38" s="415" t="s">
        <v>230</v>
      </c>
      <c r="H38" s="415" t="s">
        <v>279</v>
      </c>
      <c r="I38" s="415" t="s">
        <v>296</v>
      </c>
      <c r="J38" s="416">
        <v>96</v>
      </c>
    </row>
    <row r="39" spans="1:10" ht="16.8">
      <c r="A39" s="445" t="s">
        <v>297</v>
      </c>
      <c r="B39" s="405">
        <v>1</v>
      </c>
      <c r="C39" s="406"/>
      <c r="D39" s="412" t="s">
        <v>264</v>
      </c>
      <c r="E39" s="413" t="s">
        <v>246</v>
      </c>
      <c r="F39" s="414" t="s">
        <v>221</v>
      </c>
      <c r="G39" s="415" t="s">
        <v>244</v>
      </c>
      <c r="H39" s="415" t="s">
        <v>232</v>
      </c>
      <c r="I39" s="415" t="s">
        <v>228</v>
      </c>
      <c r="J39" s="416">
        <v>225</v>
      </c>
    </row>
    <row r="40" spans="1:10" ht="16.8">
      <c r="A40" s="445" t="s">
        <v>298</v>
      </c>
      <c r="B40" s="405">
        <v>1</v>
      </c>
      <c r="C40" s="406"/>
      <c r="D40" s="412" t="s">
        <v>219</v>
      </c>
      <c r="E40" s="427" t="s">
        <v>271</v>
      </c>
      <c r="F40" s="427" t="s">
        <v>221</v>
      </c>
      <c r="G40" s="415" t="s">
        <v>230</v>
      </c>
      <c r="H40" s="415" t="s">
        <v>223</v>
      </c>
      <c r="I40" s="415" t="s">
        <v>224</v>
      </c>
      <c r="J40" s="416">
        <v>77</v>
      </c>
    </row>
    <row r="41" spans="1:10" ht="16.8">
      <c r="A41" s="445" t="s">
        <v>299</v>
      </c>
      <c r="B41" s="405">
        <v>1</v>
      </c>
      <c r="C41" s="406"/>
      <c r="D41" s="412" t="s">
        <v>253</v>
      </c>
      <c r="E41" s="413" t="s">
        <v>220</v>
      </c>
      <c r="F41" s="414" t="s">
        <v>221</v>
      </c>
      <c r="G41" s="415" t="s">
        <v>230</v>
      </c>
      <c r="H41" s="415" t="s">
        <v>248</v>
      </c>
      <c r="I41" s="415" t="s">
        <v>228</v>
      </c>
      <c r="J41" s="416">
        <v>226</v>
      </c>
    </row>
    <row r="42" spans="1:10" ht="16.8">
      <c r="A42" s="445" t="s">
        <v>300</v>
      </c>
      <c r="B42" s="405">
        <v>1</v>
      </c>
      <c r="C42" s="406"/>
      <c r="D42" s="412" t="s">
        <v>253</v>
      </c>
      <c r="E42" s="413" t="s">
        <v>220</v>
      </c>
      <c r="F42" s="414" t="s">
        <v>221</v>
      </c>
      <c r="G42" s="415" t="s">
        <v>251</v>
      </c>
      <c r="H42" s="415" t="s">
        <v>232</v>
      </c>
      <c r="I42" s="415" t="s">
        <v>228</v>
      </c>
      <c r="J42" s="418">
        <v>227</v>
      </c>
    </row>
    <row r="43" spans="1:10" ht="16.8">
      <c r="A43" s="445" t="s">
        <v>301</v>
      </c>
      <c r="B43" s="405">
        <v>1</v>
      </c>
      <c r="C43" s="406"/>
      <c r="D43" s="412" t="s">
        <v>226</v>
      </c>
      <c r="E43" s="413" t="s">
        <v>243</v>
      </c>
      <c r="F43" s="414" t="s">
        <v>235</v>
      </c>
      <c r="G43" s="415" t="s">
        <v>230</v>
      </c>
      <c r="H43" s="415" t="s">
        <v>276</v>
      </c>
      <c r="I43" s="415" t="s">
        <v>249</v>
      </c>
      <c r="J43" s="416">
        <v>93</v>
      </c>
    </row>
    <row r="44" spans="1:10" ht="16.8">
      <c r="A44" s="445" t="s">
        <v>302</v>
      </c>
      <c r="B44" s="405">
        <v>1</v>
      </c>
      <c r="C44" s="406"/>
      <c r="D44" s="412" t="s">
        <v>253</v>
      </c>
      <c r="E44" s="413" t="s">
        <v>303</v>
      </c>
      <c r="F44" s="415" t="s">
        <v>221</v>
      </c>
      <c r="G44" s="415" t="s">
        <v>222</v>
      </c>
      <c r="H44" s="415" t="s">
        <v>304</v>
      </c>
      <c r="I44" s="415" t="s">
        <v>296</v>
      </c>
      <c r="J44" s="416">
        <v>99</v>
      </c>
    </row>
    <row r="45" spans="1:10" ht="16.8">
      <c r="A45" s="445" t="s">
        <v>305</v>
      </c>
      <c r="B45" s="405">
        <v>1</v>
      </c>
      <c r="C45" s="406"/>
      <c r="D45" s="412" t="s">
        <v>233</v>
      </c>
      <c r="E45" s="428" t="s">
        <v>306</v>
      </c>
      <c r="F45" s="414" t="s">
        <v>267</v>
      </c>
      <c r="G45" s="430" t="s">
        <v>251</v>
      </c>
      <c r="H45" s="415" t="s">
        <v>256</v>
      </c>
      <c r="I45" s="415" t="s">
        <v>307</v>
      </c>
      <c r="J45" s="431">
        <v>150</v>
      </c>
    </row>
    <row r="46" spans="1:10" ht="16.8">
      <c r="A46" s="445" t="s">
        <v>308</v>
      </c>
      <c r="B46" s="405">
        <v>1</v>
      </c>
      <c r="C46" s="406"/>
      <c r="D46" s="412" t="s">
        <v>240</v>
      </c>
      <c r="E46" s="413" t="s">
        <v>220</v>
      </c>
      <c r="F46" s="415" t="s">
        <v>221</v>
      </c>
      <c r="G46" s="415" t="s">
        <v>290</v>
      </c>
      <c r="H46" s="415" t="s">
        <v>232</v>
      </c>
      <c r="I46" s="415" t="s">
        <v>224</v>
      </c>
      <c r="J46" s="416">
        <v>108</v>
      </c>
    </row>
    <row r="47" spans="1:10" ht="16.8">
      <c r="A47" s="445" t="s">
        <v>309</v>
      </c>
      <c r="B47" s="405">
        <v>1</v>
      </c>
      <c r="C47" s="406"/>
      <c r="D47" s="412" t="s">
        <v>226</v>
      </c>
      <c r="E47" s="413" t="s">
        <v>220</v>
      </c>
      <c r="F47" s="414" t="s">
        <v>247</v>
      </c>
      <c r="G47" s="415" t="s">
        <v>222</v>
      </c>
      <c r="H47" s="415" t="s">
        <v>248</v>
      </c>
      <c r="I47" s="415" t="s">
        <v>307</v>
      </c>
      <c r="J47" s="416">
        <v>151</v>
      </c>
    </row>
    <row r="48" spans="1:10" ht="16.8">
      <c r="A48" s="445" t="s">
        <v>310</v>
      </c>
      <c r="B48" s="405">
        <v>1</v>
      </c>
      <c r="C48" s="406"/>
      <c r="D48" s="412" t="s">
        <v>264</v>
      </c>
      <c r="E48" s="413" t="s">
        <v>246</v>
      </c>
      <c r="F48" s="414" t="s">
        <v>221</v>
      </c>
      <c r="G48" s="415" t="s">
        <v>222</v>
      </c>
      <c r="H48" s="415" t="s">
        <v>256</v>
      </c>
      <c r="I48" s="415" t="s">
        <v>249</v>
      </c>
      <c r="J48" s="416">
        <v>97</v>
      </c>
    </row>
    <row r="49" spans="1:10" ht="16.8">
      <c r="A49" s="445" t="s">
        <v>311</v>
      </c>
      <c r="B49" s="405">
        <v>1</v>
      </c>
      <c r="C49" s="406"/>
      <c r="D49" s="419" t="s">
        <v>253</v>
      </c>
      <c r="E49" s="427" t="s">
        <v>246</v>
      </c>
      <c r="F49" s="410" t="s">
        <v>221</v>
      </c>
      <c r="G49" s="410" t="s">
        <v>230</v>
      </c>
      <c r="H49" s="410" t="s">
        <v>223</v>
      </c>
      <c r="I49" s="415" t="s">
        <v>228</v>
      </c>
      <c r="J49" s="416">
        <v>241</v>
      </c>
    </row>
    <row r="50" spans="1:10" ht="16.8">
      <c r="A50" s="445" t="s">
        <v>312</v>
      </c>
      <c r="B50" s="405">
        <v>1</v>
      </c>
      <c r="C50" s="406"/>
      <c r="D50" s="412" t="s">
        <v>264</v>
      </c>
      <c r="E50" s="413" t="s">
        <v>246</v>
      </c>
      <c r="F50" s="414" t="s">
        <v>221</v>
      </c>
      <c r="G50" s="415" t="s">
        <v>244</v>
      </c>
      <c r="H50" s="415" t="s">
        <v>259</v>
      </c>
      <c r="I50" s="415" t="s">
        <v>260</v>
      </c>
      <c r="J50" s="416">
        <v>122</v>
      </c>
    </row>
    <row r="51" spans="1:10" ht="16.8">
      <c r="A51" s="445" t="s">
        <v>313</v>
      </c>
      <c r="B51" s="405">
        <v>1</v>
      </c>
      <c r="C51" s="406"/>
      <c r="D51" s="419" t="s">
        <v>237</v>
      </c>
      <c r="E51" s="413" t="s">
        <v>220</v>
      </c>
      <c r="F51" s="410" t="s">
        <v>221</v>
      </c>
      <c r="G51" s="415" t="s">
        <v>230</v>
      </c>
      <c r="H51" s="410" t="s">
        <v>238</v>
      </c>
      <c r="I51" s="415" t="s">
        <v>228</v>
      </c>
      <c r="J51" s="416">
        <v>244</v>
      </c>
    </row>
    <row r="52" spans="1:10" ht="16.8">
      <c r="A52" s="445" t="s">
        <v>314</v>
      </c>
      <c r="B52" s="405">
        <v>1</v>
      </c>
      <c r="C52" s="406"/>
      <c r="D52" s="412" t="s">
        <v>253</v>
      </c>
      <c r="E52" s="413" t="s">
        <v>271</v>
      </c>
      <c r="F52" s="414" t="s">
        <v>221</v>
      </c>
      <c r="G52" s="415" t="s">
        <v>230</v>
      </c>
      <c r="H52" s="410" t="s">
        <v>223</v>
      </c>
      <c r="I52" s="410" t="s">
        <v>224</v>
      </c>
      <c r="J52" s="416">
        <v>126</v>
      </c>
    </row>
    <row r="53" spans="1:10" ht="16.8">
      <c r="A53" s="445" t="s">
        <v>315</v>
      </c>
      <c r="B53" s="405">
        <v>1</v>
      </c>
      <c r="C53" s="406"/>
      <c r="D53" s="412" t="s">
        <v>240</v>
      </c>
      <c r="E53" s="413" t="s">
        <v>220</v>
      </c>
      <c r="F53" s="414" t="s">
        <v>221</v>
      </c>
      <c r="G53" s="410" t="s">
        <v>244</v>
      </c>
      <c r="H53" s="415" t="s">
        <v>223</v>
      </c>
      <c r="I53" s="415" t="s">
        <v>316</v>
      </c>
      <c r="J53" s="416">
        <v>100</v>
      </c>
    </row>
    <row r="54" spans="1:10" ht="16.8">
      <c r="A54" s="445" t="s">
        <v>317</v>
      </c>
      <c r="B54" s="405">
        <v>1</v>
      </c>
      <c r="C54" s="406"/>
      <c r="D54" s="412" t="s">
        <v>219</v>
      </c>
      <c r="E54" s="413" t="s">
        <v>271</v>
      </c>
      <c r="F54" s="414" t="s">
        <v>221</v>
      </c>
      <c r="G54" s="415" t="s">
        <v>251</v>
      </c>
      <c r="H54" s="415" t="s">
        <v>304</v>
      </c>
      <c r="I54" s="415" t="s">
        <v>228</v>
      </c>
      <c r="J54" s="416">
        <v>249</v>
      </c>
    </row>
    <row r="55" spans="1:10" ht="16.8">
      <c r="A55" s="445" t="s">
        <v>318</v>
      </c>
      <c r="B55" s="405">
        <v>1</v>
      </c>
      <c r="C55" s="406"/>
      <c r="D55" s="412" t="s">
        <v>219</v>
      </c>
      <c r="E55" s="413" t="s">
        <v>246</v>
      </c>
      <c r="F55" s="414" t="s">
        <v>221</v>
      </c>
      <c r="G55" s="415" t="s">
        <v>230</v>
      </c>
      <c r="H55" s="415" t="s">
        <v>319</v>
      </c>
      <c r="I55" s="415" t="s">
        <v>228</v>
      </c>
      <c r="J55" s="416">
        <v>251</v>
      </c>
    </row>
    <row r="56" spans="1:10" ht="16.8">
      <c r="A56" s="445" t="s">
        <v>194</v>
      </c>
      <c r="B56" s="405">
        <v>1</v>
      </c>
      <c r="C56" s="412" t="s">
        <v>167</v>
      </c>
      <c r="D56" s="412" t="s">
        <v>219</v>
      </c>
      <c r="E56" s="413" t="s">
        <v>320</v>
      </c>
      <c r="F56" s="414" t="s">
        <v>221</v>
      </c>
      <c r="G56" s="415" t="s">
        <v>230</v>
      </c>
      <c r="H56" s="415" t="s">
        <v>232</v>
      </c>
      <c r="I56" s="415" t="s">
        <v>228</v>
      </c>
      <c r="J56" s="432">
        <v>251</v>
      </c>
    </row>
    <row r="57" spans="1:10" ht="16.8">
      <c r="A57" s="445" t="s">
        <v>321</v>
      </c>
      <c r="B57" s="405">
        <v>1</v>
      </c>
      <c r="C57" s="406"/>
      <c r="D57" s="412" t="s">
        <v>253</v>
      </c>
      <c r="E57" s="427" t="s">
        <v>220</v>
      </c>
      <c r="F57" s="410" t="s">
        <v>221</v>
      </c>
      <c r="G57" s="415" t="s">
        <v>251</v>
      </c>
      <c r="H57" s="415" t="s">
        <v>232</v>
      </c>
      <c r="I57" s="415" t="s">
        <v>224</v>
      </c>
      <c r="J57" s="433">
        <v>148</v>
      </c>
    </row>
    <row r="58" spans="1:10" ht="16.8">
      <c r="A58" s="445" t="s">
        <v>322</v>
      </c>
      <c r="B58" s="405">
        <v>1</v>
      </c>
      <c r="C58" s="406"/>
      <c r="D58" s="412" t="s">
        <v>240</v>
      </c>
      <c r="E58" s="413" t="s">
        <v>246</v>
      </c>
      <c r="F58" s="414" t="s">
        <v>221</v>
      </c>
      <c r="G58" s="415" t="s">
        <v>251</v>
      </c>
      <c r="H58" s="415" t="s">
        <v>232</v>
      </c>
      <c r="I58" s="415" t="s">
        <v>323</v>
      </c>
      <c r="J58" s="416">
        <v>170</v>
      </c>
    </row>
    <row r="59" spans="1:10" ht="16.8">
      <c r="A59" s="445" t="s">
        <v>324</v>
      </c>
      <c r="B59" s="405">
        <v>1</v>
      </c>
      <c r="C59" s="406"/>
      <c r="D59" s="412" t="s">
        <v>226</v>
      </c>
      <c r="E59" s="413" t="s">
        <v>220</v>
      </c>
      <c r="F59" s="414" t="s">
        <v>221</v>
      </c>
      <c r="G59" s="415" t="s">
        <v>325</v>
      </c>
      <c r="H59" s="415" t="s">
        <v>232</v>
      </c>
      <c r="I59" s="415" t="s">
        <v>228</v>
      </c>
      <c r="J59" s="416">
        <v>258</v>
      </c>
    </row>
    <row r="60" spans="1:10" ht="16.8">
      <c r="A60" s="445" t="s">
        <v>326</v>
      </c>
      <c r="B60" s="405">
        <v>1</v>
      </c>
      <c r="C60" s="406"/>
      <c r="D60" s="412" t="s">
        <v>233</v>
      </c>
      <c r="E60" s="413" t="s">
        <v>327</v>
      </c>
      <c r="F60" s="414" t="s">
        <v>284</v>
      </c>
      <c r="G60" s="415" t="s">
        <v>251</v>
      </c>
      <c r="H60" s="415" t="s">
        <v>227</v>
      </c>
      <c r="I60" s="415" t="s">
        <v>323</v>
      </c>
      <c r="J60" s="416">
        <v>171</v>
      </c>
    </row>
    <row r="61" spans="1:10" ht="16.8">
      <c r="A61" s="445" t="s">
        <v>328</v>
      </c>
      <c r="B61" s="405">
        <v>1</v>
      </c>
      <c r="C61" s="406"/>
      <c r="D61" s="412" t="s">
        <v>253</v>
      </c>
      <c r="E61" s="413" t="s">
        <v>254</v>
      </c>
      <c r="F61" s="414" t="s">
        <v>221</v>
      </c>
      <c r="G61" s="415" t="s">
        <v>230</v>
      </c>
      <c r="H61" s="415" t="s">
        <v>232</v>
      </c>
      <c r="I61" s="415" t="s">
        <v>228</v>
      </c>
      <c r="J61" s="418">
        <v>266</v>
      </c>
    </row>
    <row r="62" spans="1:10" ht="16.8">
      <c r="A62" s="445" t="s">
        <v>203</v>
      </c>
      <c r="B62" s="405">
        <v>1</v>
      </c>
      <c r="C62" s="406"/>
      <c r="D62" s="412" t="s">
        <v>253</v>
      </c>
      <c r="E62" s="413" t="s">
        <v>220</v>
      </c>
      <c r="F62" s="414" t="s">
        <v>221</v>
      </c>
      <c r="G62" s="415" t="s">
        <v>222</v>
      </c>
      <c r="H62" s="415" t="s">
        <v>223</v>
      </c>
      <c r="I62" s="415" t="s">
        <v>228</v>
      </c>
      <c r="J62" s="416">
        <v>271</v>
      </c>
    </row>
    <row r="63" spans="1:10" ht="16.8">
      <c r="A63" s="445" t="s">
        <v>329</v>
      </c>
      <c r="B63" s="405">
        <v>1</v>
      </c>
      <c r="C63" s="406"/>
      <c r="D63" s="429" t="s">
        <v>253</v>
      </c>
      <c r="E63" s="428" t="s">
        <v>246</v>
      </c>
      <c r="F63" s="414" t="s">
        <v>221</v>
      </c>
      <c r="G63" s="430" t="s">
        <v>230</v>
      </c>
      <c r="H63" s="430" t="s">
        <v>223</v>
      </c>
      <c r="I63" s="430" t="s">
        <v>316</v>
      </c>
      <c r="J63" s="416">
        <v>104</v>
      </c>
    </row>
    <row r="64" spans="1:10" ht="16.8">
      <c r="A64" s="445" t="s">
        <v>330</v>
      </c>
      <c r="B64" s="405">
        <v>1</v>
      </c>
      <c r="C64" s="406"/>
      <c r="D64" s="412" t="s">
        <v>264</v>
      </c>
      <c r="E64" s="413" t="s">
        <v>271</v>
      </c>
      <c r="F64" s="414" t="s">
        <v>221</v>
      </c>
      <c r="G64" s="415" t="s">
        <v>251</v>
      </c>
      <c r="H64" s="415" t="s">
        <v>232</v>
      </c>
      <c r="I64" s="415" t="s">
        <v>249</v>
      </c>
      <c r="J64" s="416">
        <v>103</v>
      </c>
    </row>
    <row r="65" spans="1:10" ht="16.8">
      <c r="A65" s="445" t="s">
        <v>197</v>
      </c>
      <c r="B65" s="405">
        <v>1</v>
      </c>
      <c r="C65" s="412" t="s">
        <v>347</v>
      </c>
      <c r="D65" s="412" t="s">
        <v>253</v>
      </c>
      <c r="E65" s="413" t="s">
        <v>246</v>
      </c>
      <c r="F65" s="414" t="s">
        <v>221</v>
      </c>
      <c r="G65" s="415" t="s">
        <v>230</v>
      </c>
      <c r="H65" s="415" t="s">
        <v>259</v>
      </c>
      <c r="I65" s="415" t="s">
        <v>228</v>
      </c>
      <c r="J65" s="416">
        <v>274</v>
      </c>
    </row>
    <row r="66" spans="1:10" ht="16.8">
      <c r="A66" s="445" t="s">
        <v>199</v>
      </c>
      <c r="B66" s="405">
        <v>1</v>
      </c>
      <c r="C66" s="406"/>
      <c r="D66" s="412" t="s">
        <v>253</v>
      </c>
      <c r="E66" s="413" t="s">
        <v>271</v>
      </c>
      <c r="F66" s="414" t="s">
        <v>221</v>
      </c>
      <c r="G66" s="415" t="s">
        <v>230</v>
      </c>
      <c r="H66" s="415" t="s">
        <v>232</v>
      </c>
      <c r="I66" s="415" t="s">
        <v>228</v>
      </c>
      <c r="J66" s="418">
        <v>278</v>
      </c>
    </row>
    <row r="67" spans="1:10" ht="16.8">
      <c r="A67" s="445" t="s">
        <v>331</v>
      </c>
      <c r="B67" s="405">
        <v>1</v>
      </c>
      <c r="C67" s="406"/>
      <c r="D67" s="412" t="s">
        <v>237</v>
      </c>
      <c r="E67" s="413" t="s">
        <v>332</v>
      </c>
      <c r="F67" s="414" t="s">
        <v>247</v>
      </c>
      <c r="G67" s="415" t="s">
        <v>230</v>
      </c>
      <c r="H67" s="415" t="s">
        <v>276</v>
      </c>
      <c r="I67" s="415" t="s">
        <v>249</v>
      </c>
      <c r="J67" s="416">
        <v>103</v>
      </c>
    </row>
    <row r="68" spans="1:10" ht="16.8">
      <c r="A68" s="445" t="s">
        <v>333</v>
      </c>
      <c r="B68" s="405">
        <v>1</v>
      </c>
      <c r="C68" s="406"/>
      <c r="D68" s="412" t="s">
        <v>264</v>
      </c>
      <c r="E68" s="413" t="s">
        <v>271</v>
      </c>
      <c r="F68" s="414" t="s">
        <v>221</v>
      </c>
      <c r="G68" s="415" t="s">
        <v>222</v>
      </c>
      <c r="H68" s="415" t="s">
        <v>259</v>
      </c>
      <c r="I68" s="415" t="s">
        <v>249</v>
      </c>
      <c r="J68" s="416">
        <v>104</v>
      </c>
    </row>
    <row r="69" spans="1:10" ht="16.8">
      <c r="A69" s="445" t="s">
        <v>334</v>
      </c>
      <c r="B69" s="405">
        <v>1</v>
      </c>
      <c r="C69" s="406"/>
      <c r="D69" s="412" t="s">
        <v>219</v>
      </c>
      <c r="E69" s="427" t="s">
        <v>220</v>
      </c>
      <c r="F69" s="410" t="s">
        <v>221</v>
      </c>
      <c r="G69" s="410" t="s">
        <v>251</v>
      </c>
      <c r="H69" s="410" t="s">
        <v>259</v>
      </c>
      <c r="I69" s="410" t="s">
        <v>224</v>
      </c>
      <c r="J69" s="416">
        <v>198</v>
      </c>
    </row>
    <row r="70" spans="1:10" ht="16.8">
      <c r="A70" s="445" t="s">
        <v>335</v>
      </c>
      <c r="B70" s="405">
        <v>1</v>
      </c>
      <c r="C70" s="406"/>
      <c r="D70" s="412" t="s">
        <v>219</v>
      </c>
      <c r="E70" s="413" t="s">
        <v>220</v>
      </c>
      <c r="F70" s="414" t="s">
        <v>221</v>
      </c>
      <c r="G70" s="415" t="s">
        <v>251</v>
      </c>
      <c r="H70" s="415" t="s">
        <v>232</v>
      </c>
      <c r="I70" s="415" t="s">
        <v>249</v>
      </c>
      <c r="J70" s="416">
        <v>104</v>
      </c>
    </row>
    <row r="71" spans="1:10" ht="16.8">
      <c r="A71" s="445" t="s">
        <v>336</v>
      </c>
      <c r="B71" s="405">
        <v>1</v>
      </c>
      <c r="C71" s="406"/>
      <c r="D71" s="412" t="s">
        <v>264</v>
      </c>
      <c r="E71" s="413" t="s">
        <v>337</v>
      </c>
      <c r="F71" s="414" t="s">
        <v>221</v>
      </c>
      <c r="G71" s="415" t="s">
        <v>230</v>
      </c>
      <c r="H71" s="415" t="s">
        <v>304</v>
      </c>
      <c r="I71" s="415" t="s">
        <v>249</v>
      </c>
      <c r="J71" s="416">
        <v>106</v>
      </c>
    </row>
    <row r="72" spans="1:10" ht="16.8">
      <c r="A72" s="445" t="s">
        <v>201</v>
      </c>
      <c r="B72" s="405">
        <v>1</v>
      </c>
      <c r="C72" s="406"/>
      <c r="D72" s="412" t="s">
        <v>226</v>
      </c>
      <c r="E72" s="413" t="s">
        <v>254</v>
      </c>
      <c r="F72" s="414" t="s">
        <v>284</v>
      </c>
      <c r="G72" s="415" t="s">
        <v>222</v>
      </c>
      <c r="H72" s="415" t="s">
        <v>259</v>
      </c>
      <c r="I72" s="415" t="s">
        <v>228</v>
      </c>
      <c r="J72" s="432">
        <v>285</v>
      </c>
    </row>
    <row r="73" spans="1:10" ht="16.8">
      <c r="A73" s="445" t="s">
        <v>338</v>
      </c>
      <c r="B73" s="405">
        <v>1</v>
      </c>
      <c r="C73" s="406"/>
      <c r="D73" s="412" t="s">
        <v>226</v>
      </c>
      <c r="E73" s="413" t="s">
        <v>254</v>
      </c>
      <c r="F73" s="414" t="s">
        <v>284</v>
      </c>
      <c r="G73" s="415" t="s">
        <v>222</v>
      </c>
      <c r="H73" s="415" t="s">
        <v>259</v>
      </c>
      <c r="I73" s="415" t="s">
        <v>339</v>
      </c>
      <c r="J73" s="432">
        <v>71</v>
      </c>
    </row>
    <row r="74" spans="1:10" ht="16.8">
      <c r="A74" s="445" t="s">
        <v>340</v>
      </c>
      <c r="B74" s="405">
        <v>1</v>
      </c>
      <c r="C74" s="406"/>
      <c r="D74" s="412" t="s">
        <v>253</v>
      </c>
      <c r="E74" s="413" t="s">
        <v>271</v>
      </c>
      <c r="F74" s="414" t="s">
        <v>221</v>
      </c>
      <c r="G74" s="415" t="s">
        <v>230</v>
      </c>
      <c r="H74" s="415" t="s">
        <v>248</v>
      </c>
      <c r="I74" s="415" t="s">
        <v>249</v>
      </c>
      <c r="J74" s="416">
        <v>106</v>
      </c>
    </row>
    <row r="75" spans="1:10" ht="16.8">
      <c r="A75" s="445" t="s">
        <v>341</v>
      </c>
      <c r="B75" s="405">
        <v>1</v>
      </c>
      <c r="C75" s="406"/>
      <c r="D75" s="412" t="s">
        <v>253</v>
      </c>
      <c r="E75" s="413" t="s">
        <v>342</v>
      </c>
      <c r="F75" s="415" t="s">
        <v>221</v>
      </c>
      <c r="G75" s="415" t="s">
        <v>230</v>
      </c>
      <c r="H75" s="415" t="s">
        <v>232</v>
      </c>
      <c r="I75" s="415" t="s">
        <v>296</v>
      </c>
      <c r="J75" s="416">
        <v>110</v>
      </c>
    </row>
    <row r="76" spans="1:10" ht="16.8">
      <c r="A76" s="445" t="s">
        <v>343</v>
      </c>
      <c r="B76" s="405">
        <v>1</v>
      </c>
      <c r="C76" s="406"/>
      <c r="D76" s="412" t="s">
        <v>226</v>
      </c>
      <c r="E76" s="413" t="s">
        <v>220</v>
      </c>
      <c r="F76" s="414" t="s">
        <v>221</v>
      </c>
      <c r="G76" s="415" t="s">
        <v>230</v>
      </c>
      <c r="H76" s="415" t="s">
        <v>344</v>
      </c>
      <c r="I76" s="415" t="s">
        <v>323</v>
      </c>
      <c r="J76" s="416">
        <v>186</v>
      </c>
    </row>
    <row r="77" spans="1:10" ht="16.8">
      <c r="A77" s="446" t="s">
        <v>345</v>
      </c>
      <c r="B77" s="420">
        <v>1</v>
      </c>
      <c r="C77" s="421"/>
      <c r="D77" s="422" t="s">
        <v>264</v>
      </c>
      <c r="E77" s="423" t="s">
        <v>281</v>
      </c>
      <c r="F77" s="424" t="s">
        <v>221</v>
      </c>
      <c r="G77" s="425" t="s">
        <v>222</v>
      </c>
      <c r="H77" s="506" t="s">
        <v>256</v>
      </c>
      <c r="I77" s="506" t="s">
        <v>296</v>
      </c>
      <c r="J77" s="426">
        <v>111</v>
      </c>
    </row>
    <row r="78" spans="1:10" ht="16.8">
      <c r="A78" s="445" t="s">
        <v>374</v>
      </c>
      <c r="B78" s="405">
        <v>2</v>
      </c>
      <c r="C78" s="406"/>
      <c r="D78" s="412" t="s">
        <v>264</v>
      </c>
      <c r="E78" s="413" t="s">
        <v>246</v>
      </c>
      <c r="F78" s="414" t="s">
        <v>221</v>
      </c>
      <c r="G78" s="415" t="s">
        <v>230</v>
      </c>
      <c r="H78" s="415" t="s">
        <v>232</v>
      </c>
      <c r="I78" s="415" t="s">
        <v>228</v>
      </c>
      <c r="J78" s="416">
        <v>196</v>
      </c>
    </row>
    <row r="79" spans="1:10" ht="16.8">
      <c r="A79" s="445" t="s">
        <v>375</v>
      </c>
      <c r="B79" s="405">
        <v>2</v>
      </c>
      <c r="C79" s="406"/>
      <c r="D79" s="412" t="s">
        <v>219</v>
      </c>
      <c r="E79" s="413" t="s">
        <v>246</v>
      </c>
      <c r="F79" s="414" t="s">
        <v>221</v>
      </c>
      <c r="G79" s="415" t="s">
        <v>230</v>
      </c>
      <c r="H79" s="415" t="s">
        <v>232</v>
      </c>
      <c r="I79" s="415" t="s">
        <v>228</v>
      </c>
      <c r="J79" s="416">
        <v>197</v>
      </c>
    </row>
    <row r="80" spans="1:10" ht="16.8">
      <c r="A80" s="445" t="s">
        <v>376</v>
      </c>
      <c r="B80" s="405">
        <v>2</v>
      </c>
      <c r="C80" s="406"/>
      <c r="D80" s="412" t="s">
        <v>219</v>
      </c>
      <c r="E80" s="413" t="s">
        <v>271</v>
      </c>
      <c r="F80" s="414" t="s">
        <v>221</v>
      </c>
      <c r="G80" s="415" t="s">
        <v>230</v>
      </c>
      <c r="H80" s="415" t="s">
        <v>232</v>
      </c>
      <c r="I80" s="415" t="s">
        <v>268</v>
      </c>
      <c r="J80" s="416">
        <v>101</v>
      </c>
    </row>
    <row r="81" spans="1:10" ht="16.8">
      <c r="A81" s="445" t="s">
        <v>377</v>
      </c>
      <c r="B81" s="405">
        <v>2</v>
      </c>
      <c r="C81" s="406"/>
      <c r="D81" s="412" t="s">
        <v>233</v>
      </c>
      <c r="E81" s="413" t="s">
        <v>243</v>
      </c>
      <c r="F81" s="414" t="s">
        <v>221</v>
      </c>
      <c r="G81" s="415" t="s">
        <v>251</v>
      </c>
      <c r="H81" s="415" t="s">
        <v>227</v>
      </c>
      <c r="I81" s="415" t="s">
        <v>228</v>
      </c>
      <c r="J81" s="416">
        <v>202</v>
      </c>
    </row>
    <row r="82" spans="1:10" ht="16.8">
      <c r="A82" s="445" t="s">
        <v>378</v>
      </c>
      <c r="B82" s="405">
        <v>2</v>
      </c>
      <c r="C82" s="406"/>
      <c r="D82" s="412" t="s">
        <v>253</v>
      </c>
      <c r="E82" s="413" t="s">
        <v>281</v>
      </c>
      <c r="F82" s="414" t="s">
        <v>221</v>
      </c>
      <c r="G82" s="415" t="s">
        <v>142</v>
      </c>
      <c r="H82" s="415" t="s">
        <v>232</v>
      </c>
      <c r="I82" s="415" t="s">
        <v>316</v>
      </c>
      <c r="J82" s="416">
        <v>94</v>
      </c>
    </row>
    <row r="83" spans="1:10" ht="16.8">
      <c r="A83" s="445" t="s">
        <v>379</v>
      </c>
      <c r="B83" s="405">
        <v>2</v>
      </c>
      <c r="C83" s="406"/>
      <c r="D83" s="412" t="s">
        <v>240</v>
      </c>
      <c r="E83" s="413" t="s">
        <v>471</v>
      </c>
      <c r="F83" s="414" t="s">
        <v>221</v>
      </c>
      <c r="G83" s="415" t="s">
        <v>136</v>
      </c>
      <c r="H83" s="415" t="s">
        <v>227</v>
      </c>
      <c r="I83" s="415" t="s">
        <v>296</v>
      </c>
      <c r="J83" s="416">
        <v>91</v>
      </c>
    </row>
    <row r="84" spans="1:10" ht="16.8">
      <c r="A84" s="445" t="s">
        <v>380</v>
      </c>
      <c r="B84" s="405">
        <v>2</v>
      </c>
      <c r="C84" s="406"/>
      <c r="D84" s="412" t="s">
        <v>219</v>
      </c>
      <c r="E84" s="413" t="s">
        <v>246</v>
      </c>
      <c r="F84" s="414" t="s">
        <v>221</v>
      </c>
      <c r="G84" s="415" t="s">
        <v>230</v>
      </c>
      <c r="H84" s="415" t="s">
        <v>232</v>
      </c>
      <c r="I84" s="415" t="s">
        <v>228</v>
      </c>
      <c r="J84" s="416">
        <v>203</v>
      </c>
    </row>
    <row r="85" spans="1:10" ht="16.8">
      <c r="A85" s="445" t="s">
        <v>381</v>
      </c>
      <c r="B85" s="405">
        <v>2</v>
      </c>
      <c r="C85" s="406"/>
      <c r="D85" s="412" t="s">
        <v>253</v>
      </c>
      <c r="E85" s="413" t="s">
        <v>246</v>
      </c>
      <c r="F85" s="414" t="s">
        <v>284</v>
      </c>
      <c r="G85" s="415" t="s">
        <v>230</v>
      </c>
      <c r="H85" s="415" t="s">
        <v>223</v>
      </c>
      <c r="I85" s="415" t="s">
        <v>260</v>
      </c>
      <c r="J85" s="416">
        <v>116</v>
      </c>
    </row>
    <row r="86" spans="1:10" ht="16.8">
      <c r="A86" s="445" t="s">
        <v>382</v>
      </c>
      <c r="B86" s="405">
        <v>2</v>
      </c>
      <c r="C86" s="406"/>
      <c r="D86" s="412" t="s">
        <v>472</v>
      </c>
      <c r="E86" s="413" t="s">
        <v>246</v>
      </c>
      <c r="F86" s="414" t="s">
        <v>221</v>
      </c>
      <c r="G86" s="415" t="s">
        <v>222</v>
      </c>
      <c r="H86" s="415" t="s">
        <v>259</v>
      </c>
      <c r="I86" s="415" t="s">
        <v>260</v>
      </c>
      <c r="J86" s="416">
        <v>116</v>
      </c>
    </row>
    <row r="87" spans="1:10" ht="16.8">
      <c r="A87" s="445" t="s">
        <v>383</v>
      </c>
      <c r="B87" s="405">
        <v>2</v>
      </c>
      <c r="C87" s="406"/>
      <c r="D87" s="412" t="s">
        <v>472</v>
      </c>
      <c r="E87" s="413" t="s">
        <v>246</v>
      </c>
      <c r="F87" s="414" t="s">
        <v>221</v>
      </c>
      <c r="G87" s="415" t="s">
        <v>222</v>
      </c>
      <c r="H87" s="415" t="s">
        <v>259</v>
      </c>
      <c r="I87" s="415" t="s">
        <v>260</v>
      </c>
      <c r="J87" s="416">
        <v>117</v>
      </c>
    </row>
    <row r="88" spans="1:10" ht="16.8">
      <c r="A88" s="445" t="s">
        <v>384</v>
      </c>
      <c r="B88" s="405">
        <v>2</v>
      </c>
      <c r="C88" s="406"/>
      <c r="D88" s="412" t="s">
        <v>264</v>
      </c>
      <c r="E88" s="413" t="s">
        <v>220</v>
      </c>
      <c r="F88" s="414" t="s">
        <v>221</v>
      </c>
      <c r="G88" s="415" t="s">
        <v>222</v>
      </c>
      <c r="H88" s="415" t="s">
        <v>227</v>
      </c>
      <c r="I88" s="415" t="s">
        <v>268</v>
      </c>
      <c r="J88" s="416">
        <v>103</v>
      </c>
    </row>
    <row r="89" spans="1:10" ht="16.8">
      <c r="A89" s="445" t="s">
        <v>385</v>
      </c>
      <c r="B89" s="405">
        <v>2</v>
      </c>
      <c r="C89" s="406"/>
      <c r="D89" s="412" t="s">
        <v>253</v>
      </c>
      <c r="E89" s="413" t="s">
        <v>220</v>
      </c>
      <c r="F89" s="414" t="s">
        <v>221</v>
      </c>
      <c r="G89" s="415" t="s">
        <v>230</v>
      </c>
      <c r="H89" s="415" t="s">
        <v>232</v>
      </c>
      <c r="I89" s="415" t="s">
        <v>268</v>
      </c>
      <c r="J89" s="416">
        <v>103</v>
      </c>
    </row>
    <row r="90" spans="1:10" ht="16.8">
      <c r="A90" s="445" t="s">
        <v>386</v>
      </c>
      <c r="B90" s="405">
        <v>2</v>
      </c>
      <c r="C90" s="406"/>
      <c r="D90" s="412" t="s">
        <v>219</v>
      </c>
      <c r="E90" s="413" t="s">
        <v>220</v>
      </c>
      <c r="F90" s="414" t="s">
        <v>221</v>
      </c>
      <c r="G90" s="415" t="s">
        <v>251</v>
      </c>
      <c r="H90" s="415" t="s">
        <v>232</v>
      </c>
      <c r="I90" s="415" t="s">
        <v>473</v>
      </c>
      <c r="J90" s="416">
        <v>82</v>
      </c>
    </row>
    <row r="91" spans="1:10" ht="16.8">
      <c r="A91" s="445" t="s">
        <v>387</v>
      </c>
      <c r="B91" s="405">
        <v>2</v>
      </c>
      <c r="C91" s="406"/>
      <c r="D91" s="412" t="s">
        <v>253</v>
      </c>
      <c r="E91" s="413" t="s">
        <v>246</v>
      </c>
      <c r="F91" s="414" t="s">
        <v>221</v>
      </c>
      <c r="G91" s="415" t="s">
        <v>230</v>
      </c>
      <c r="H91" s="415" t="s">
        <v>232</v>
      </c>
      <c r="I91" s="415" t="s">
        <v>260</v>
      </c>
      <c r="J91" s="416">
        <v>117</v>
      </c>
    </row>
    <row r="92" spans="1:10" ht="16.8">
      <c r="A92" s="445" t="s">
        <v>388</v>
      </c>
      <c r="B92" s="405">
        <v>2</v>
      </c>
      <c r="C92" s="406"/>
      <c r="D92" s="412" t="s">
        <v>219</v>
      </c>
      <c r="E92" s="413" t="s">
        <v>271</v>
      </c>
      <c r="F92" s="414" t="s">
        <v>221</v>
      </c>
      <c r="G92" s="415" t="s">
        <v>230</v>
      </c>
      <c r="H92" s="415" t="s">
        <v>259</v>
      </c>
      <c r="I92" s="415" t="s">
        <v>323</v>
      </c>
      <c r="J92" s="416">
        <v>156</v>
      </c>
    </row>
    <row r="93" spans="1:10" ht="16.8">
      <c r="A93" s="445" t="s">
        <v>389</v>
      </c>
      <c r="B93" s="405">
        <v>2</v>
      </c>
      <c r="C93" s="406"/>
      <c r="D93" s="412" t="s">
        <v>219</v>
      </c>
      <c r="E93" s="413" t="s">
        <v>220</v>
      </c>
      <c r="F93" s="414" t="s">
        <v>221</v>
      </c>
      <c r="G93" s="415" t="s">
        <v>222</v>
      </c>
      <c r="H93" s="415" t="s">
        <v>259</v>
      </c>
      <c r="I93" s="415" t="s">
        <v>285</v>
      </c>
      <c r="J93" s="416">
        <v>89</v>
      </c>
    </row>
    <row r="94" spans="1:10" ht="16.8">
      <c r="A94" s="445" t="s">
        <v>390</v>
      </c>
      <c r="B94" s="405">
        <v>2</v>
      </c>
      <c r="C94" s="406"/>
      <c r="D94" s="412" t="s">
        <v>219</v>
      </c>
      <c r="E94" s="413" t="s">
        <v>254</v>
      </c>
      <c r="F94" s="414" t="s">
        <v>221</v>
      </c>
      <c r="G94" s="415" t="s">
        <v>230</v>
      </c>
      <c r="H94" s="415" t="s">
        <v>232</v>
      </c>
      <c r="I94" s="415" t="s">
        <v>228</v>
      </c>
      <c r="J94" s="416">
        <v>207</v>
      </c>
    </row>
    <row r="95" spans="1:10" ht="16.8">
      <c r="A95" s="445" t="s">
        <v>391</v>
      </c>
      <c r="B95" s="405">
        <v>2</v>
      </c>
      <c r="C95" s="406"/>
      <c r="D95" s="412" t="s">
        <v>264</v>
      </c>
      <c r="E95" s="413" t="s">
        <v>246</v>
      </c>
      <c r="F95" s="414" t="s">
        <v>221</v>
      </c>
      <c r="G95" s="415" t="s">
        <v>244</v>
      </c>
      <c r="H95" s="415" t="s">
        <v>259</v>
      </c>
      <c r="I95" s="415" t="s">
        <v>228</v>
      </c>
      <c r="J95" s="416">
        <v>207</v>
      </c>
    </row>
    <row r="96" spans="1:10" ht="16.8">
      <c r="A96" s="445" t="s">
        <v>392</v>
      </c>
      <c r="B96" s="405">
        <v>2</v>
      </c>
      <c r="C96" s="406"/>
      <c r="D96" s="412" t="s">
        <v>219</v>
      </c>
      <c r="E96" s="413" t="s">
        <v>271</v>
      </c>
      <c r="F96" s="414" t="s">
        <v>221</v>
      </c>
      <c r="G96" s="415" t="s">
        <v>230</v>
      </c>
      <c r="H96" s="415" t="s">
        <v>232</v>
      </c>
      <c r="I96" s="415" t="s">
        <v>228</v>
      </c>
      <c r="J96" s="416">
        <v>208</v>
      </c>
    </row>
    <row r="97" spans="1:10" ht="16.8">
      <c r="A97" s="445" t="s">
        <v>393</v>
      </c>
      <c r="B97" s="405">
        <v>2</v>
      </c>
      <c r="C97" s="406"/>
      <c r="D97" s="412" t="s">
        <v>226</v>
      </c>
      <c r="E97" s="413" t="s">
        <v>281</v>
      </c>
      <c r="F97" s="414" t="s">
        <v>474</v>
      </c>
      <c r="G97" s="415" t="s">
        <v>222</v>
      </c>
      <c r="H97" s="415" t="s">
        <v>227</v>
      </c>
      <c r="I97" s="415" t="s">
        <v>224</v>
      </c>
      <c r="J97" s="416">
        <v>48</v>
      </c>
    </row>
    <row r="98" spans="1:10" ht="16.8">
      <c r="A98" s="445" t="s">
        <v>394</v>
      </c>
      <c r="B98" s="405">
        <v>2</v>
      </c>
      <c r="C98" s="406"/>
      <c r="D98" s="412" t="s">
        <v>226</v>
      </c>
      <c r="E98" s="413" t="s">
        <v>271</v>
      </c>
      <c r="F98" s="414" t="s">
        <v>221</v>
      </c>
      <c r="G98" s="415" t="s">
        <v>251</v>
      </c>
      <c r="H98" s="415" t="s">
        <v>259</v>
      </c>
      <c r="I98" s="415" t="s">
        <v>268</v>
      </c>
      <c r="J98" s="416">
        <v>107</v>
      </c>
    </row>
    <row r="99" spans="1:10" ht="16.8">
      <c r="A99" s="445" t="s">
        <v>395</v>
      </c>
      <c r="B99" s="405">
        <v>2</v>
      </c>
      <c r="C99" s="406"/>
      <c r="D99" s="412" t="s">
        <v>226</v>
      </c>
      <c r="E99" s="413" t="s">
        <v>220</v>
      </c>
      <c r="F99" s="414" t="s">
        <v>221</v>
      </c>
      <c r="G99" s="415" t="s">
        <v>251</v>
      </c>
      <c r="H99" s="415" t="s">
        <v>223</v>
      </c>
      <c r="I99" s="415" t="s">
        <v>260</v>
      </c>
      <c r="J99" s="416">
        <v>118</v>
      </c>
    </row>
    <row r="100" spans="1:10" ht="16.8">
      <c r="A100" s="445" t="s">
        <v>396</v>
      </c>
      <c r="B100" s="405">
        <v>2</v>
      </c>
      <c r="C100" s="406"/>
      <c r="D100" s="412" t="s">
        <v>226</v>
      </c>
      <c r="E100" s="413" t="s">
        <v>246</v>
      </c>
      <c r="F100" s="414" t="s">
        <v>284</v>
      </c>
      <c r="G100" s="415" t="s">
        <v>222</v>
      </c>
      <c r="H100" s="415" t="s">
        <v>259</v>
      </c>
      <c r="I100" s="415" t="s">
        <v>285</v>
      </c>
      <c r="J100" s="416">
        <v>91</v>
      </c>
    </row>
    <row r="101" spans="1:10" ht="16.8">
      <c r="A101" s="445" t="s">
        <v>397</v>
      </c>
      <c r="B101" s="405">
        <v>2</v>
      </c>
      <c r="C101" s="406"/>
      <c r="D101" s="412" t="s">
        <v>226</v>
      </c>
      <c r="E101" s="413" t="s">
        <v>246</v>
      </c>
      <c r="F101" s="414" t="s">
        <v>221</v>
      </c>
      <c r="G101" s="415" t="s">
        <v>251</v>
      </c>
      <c r="H101" s="415" t="s">
        <v>232</v>
      </c>
      <c r="I101" s="415" t="s">
        <v>285</v>
      </c>
      <c r="J101" s="416">
        <v>91</v>
      </c>
    </row>
    <row r="102" spans="1:10" ht="16.8">
      <c r="A102" s="445" t="s">
        <v>398</v>
      </c>
      <c r="B102" s="405">
        <v>2</v>
      </c>
      <c r="C102" s="406"/>
      <c r="D102" s="412" t="s">
        <v>240</v>
      </c>
      <c r="E102" s="413" t="s">
        <v>254</v>
      </c>
      <c r="F102" s="414" t="s">
        <v>221</v>
      </c>
      <c r="G102" s="415" t="s">
        <v>222</v>
      </c>
      <c r="H102" s="415" t="s">
        <v>475</v>
      </c>
      <c r="I102" s="415" t="s">
        <v>228</v>
      </c>
      <c r="J102" s="416">
        <v>212</v>
      </c>
    </row>
    <row r="103" spans="1:10" ht="16.8">
      <c r="A103" s="445" t="s">
        <v>399</v>
      </c>
      <c r="B103" s="405">
        <v>2</v>
      </c>
      <c r="C103" s="406"/>
      <c r="D103" s="412" t="s">
        <v>226</v>
      </c>
      <c r="E103" s="413" t="s">
        <v>220</v>
      </c>
      <c r="F103" s="414" t="s">
        <v>221</v>
      </c>
      <c r="G103" s="415" t="s">
        <v>230</v>
      </c>
      <c r="H103" s="415" t="s">
        <v>227</v>
      </c>
      <c r="I103" s="415" t="s">
        <v>228</v>
      </c>
      <c r="J103" s="416">
        <v>216</v>
      </c>
    </row>
    <row r="104" spans="1:10" ht="16.8">
      <c r="A104" s="445" t="s">
        <v>400</v>
      </c>
      <c r="B104" s="405">
        <v>2</v>
      </c>
      <c r="C104" s="406"/>
      <c r="D104" s="412" t="s">
        <v>219</v>
      </c>
      <c r="E104" s="413" t="s">
        <v>246</v>
      </c>
      <c r="F104" s="414" t="s">
        <v>221</v>
      </c>
      <c r="G104" s="415" t="s">
        <v>244</v>
      </c>
      <c r="H104" s="415" t="s">
        <v>232</v>
      </c>
      <c r="I104" s="415" t="s">
        <v>323</v>
      </c>
      <c r="J104" s="416">
        <v>160</v>
      </c>
    </row>
    <row r="105" spans="1:10" ht="16.8">
      <c r="A105" s="445" t="s">
        <v>401</v>
      </c>
      <c r="B105" s="405">
        <v>2</v>
      </c>
      <c r="C105" s="406"/>
      <c r="D105" s="412" t="s">
        <v>240</v>
      </c>
      <c r="E105" s="413" t="s">
        <v>241</v>
      </c>
      <c r="F105" s="414" t="s">
        <v>221</v>
      </c>
      <c r="G105" s="415" t="s">
        <v>230</v>
      </c>
      <c r="H105" s="415" t="s">
        <v>223</v>
      </c>
      <c r="I105" s="415" t="s">
        <v>228</v>
      </c>
      <c r="J105" s="416">
        <v>216</v>
      </c>
    </row>
    <row r="106" spans="1:10" ht="16.8">
      <c r="A106" s="445" t="s">
        <v>402</v>
      </c>
      <c r="B106" s="405">
        <v>2</v>
      </c>
      <c r="C106" s="406"/>
      <c r="D106" s="412" t="s">
        <v>237</v>
      </c>
      <c r="E106" s="413" t="s">
        <v>220</v>
      </c>
      <c r="F106" s="414" t="s">
        <v>221</v>
      </c>
      <c r="G106" s="415" t="s">
        <v>230</v>
      </c>
      <c r="H106" s="415" t="s">
        <v>344</v>
      </c>
      <c r="I106" s="415" t="s">
        <v>228</v>
      </c>
      <c r="J106" s="416">
        <v>217</v>
      </c>
    </row>
    <row r="107" spans="1:10" ht="16.8">
      <c r="A107" s="445" t="s">
        <v>403</v>
      </c>
      <c r="B107" s="405">
        <v>2</v>
      </c>
      <c r="C107" s="406"/>
      <c r="D107" s="412" t="s">
        <v>226</v>
      </c>
      <c r="E107" s="413" t="s">
        <v>246</v>
      </c>
      <c r="F107" s="414" t="s">
        <v>221</v>
      </c>
      <c r="G107" s="415" t="s">
        <v>222</v>
      </c>
      <c r="H107" s="415" t="s">
        <v>227</v>
      </c>
      <c r="I107" s="415" t="s">
        <v>323</v>
      </c>
      <c r="J107" s="416">
        <v>161</v>
      </c>
    </row>
    <row r="108" spans="1:10" ht="16.8">
      <c r="A108" s="445" t="s">
        <v>404</v>
      </c>
      <c r="B108" s="405">
        <v>2</v>
      </c>
      <c r="C108" s="406"/>
      <c r="D108" s="412" t="s">
        <v>226</v>
      </c>
      <c r="E108" s="413" t="s">
        <v>246</v>
      </c>
      <c r="F108" s="414" t="s">
        <v>221</v>
      </c>
      <c r="G108" s="415" t="s">
        <v>230</v>
      </c>
      <c r="H108" s="415" t="s">
        <v>304</v>
      </c>
      <c r="I108" s="415" t="s">
        <v>228</v>
      </c>
      <c r="J108" s="416">
        <v>217</v>
      </c>
    </row>
    <row r="109" spans="1:10" ht="16.8">
      <c r="A109" s="445" t="s">
        <v>405</v>
      </c>
      <c r="B109" s="405">
        <v>2</v>
      </c>
      <c r="C109" s="406"/>
      <c r="D109" s="412" t="s">
        <v>240</v>
      </c>
      <c r="E109" s="413" t="s">
        <v>254</v>
      </c>
      <c r="F109" s="414" t="s">
        <v>221</v>
      </c>
      <c r="G109" s="415" t="s">
        <v>222</v>
      </c>
      <c r="H109" s="415" t="s">
        <v>475</v>
      </c>
      <c r="I109" s="415" t="s">
        <v>228</v>
      </c>
      <c r="J109" s="416">
        <v>218</v>
      </c>
    </row>
    <row r="110" spans="1:10" ht="16.8">
      <c r="A110" s="445" t="s">
        <v>406</v>
      </c>
      <c r="B110" s="405">
        <v>2</v>
      </c>
      <c r="C110" s="406"/>
      <c r="D110" s="412" t="s">
        <v>233</v>
      </c>
      <c r="E110" s="413" t="s">
        <v>220</v>
      </c>
      <c r="F110" s="414" t="s">
        <v>221</v>
      </c>
      <c r="G110" s="415" t="s">
        <v>136</v>
      </c>
      <c r="H110" s="415" t="s">
        <v>344</v>
      </c>
      <c r="I110" s="415" t="s">
        <v>476</v>
      </c>
      <c r="J110" s="416">
        <v>210</v>
      </c>
    </row>
    <row r="111" spans="1:10" ht="16.8">
      <c r="A111" s="445" t="s">
        <v>407</v>
      </c>
      <c r="B111" s="405">
        <v>2</v>
      </c>
      <c r="C111" s="406"/>
      <c r="D111" s="412" t="s">
        <v>253</v>
      </c>
      <c r="E111" s="413" t="s">
        <v>220</v>
      </c>
      <c r="F111" s="414" t="s">
        <v>221</v>
      </c>
      <c r="G111" s="415" t="s">
        <v>477</v>
      </c>
      <c r="H111" s="415" t="s">
        <v>259</v>
      </c>
      <c r="I111" s="415" t="s">
        <v>277</v>
      </c>
      <c r="J111" s="416">
        <v>85</v>
      </c>
    </row>
    <row r="112" spans="1:10" ht="16.8">
      <c r="A112" s="445" t="s">
        <v>408</v>
      </c>
      <c r="B112" s="405">
        <v>2</v>
      </c>
      <c r="C112" s="406"/>
      <c r="D112" s="412" t="s">
        <v>233</v>
      </c>
      <c r="E112" s="413" t="s">
        <v>246</v>
      </c>
      <c r="F112" s="414" t="s">
        <v>221</v>
      </c>
      <c r="G112" s="415" t="s">
        <v>251</v>
      </c>
      <c r="H112" s="415" t="s">
        <v>304</v>
      </c>
      <c r="I112" s="415" t="s">
        <v>307</v>
      </c>
      <c r="J112" s="416">
        <v>146</v>
      </c>
    </row>
    <row r="113" spans="1:10" ht="16.8">
      <c r="A113" s="445" t="s">
        <v>409</v>
      </c>
      <c r="B113" s="405">
        <v>2</v>
      </c>
      <c r="C113" s="406"/>
      <c r="D113" s="412" t="s">
        <v>219</v>
      </c>
      <c r="E113" s="413" t="s">
        <v>220</v>
      </c>
      <c r="F113" s="414" t="s">
        <v>221</v>
      </c>
      <c r="G113" s="415" t="s">
        <v>251</v>
      </c>
      <c r="H113" s="415" t="s">
        <v>223</v>
      </c>
      <c r="I113" s="415" t="s">
        <v>260</v>
      </c>
      <c r="J113" s="416">
        <v>119</v>
      </c>
    </row>
    <row r="114" spans="1:10" ht="16.8">
      <c r="A114" s="445" t="s">
        <v>410</v>
      </c>
      <c r="B114" s="405">
        <v>2</v>
      </c>
      <c r="C114" s="406"/>
      <c r="D114" s="412" t="s">
        <v>253</v>
      </c>
      <c r="E114" s="413" t="s">
        <v>220</v>
      </c>
      <c r="F114" s="414" t="s">
        <v>221</v>
      </c>
      <c r="G114" s="415" t="s">
        <v>477</v>
      </c>
      <c r="H114" s="415" t="s">
        <v>259</v>
      </c>
      <c r="I114" s="415" t="s">
        <v>277</v>
      </c>
      <c r="J114" s="416">
        <v>85</v>
      </c>
    </row>
    <row r="115" spans="1:10" ht="16.8">
      <c r="A115" s="445" t="s">
        <v>411</v>
      </c>
      <c r="B115" s="405">
        <v>2</v>
      </c>
      <c r="C115" s="406"/>
      <c r="D115" s="412" t="s">
        <v>219</v>
      </c>
      <c r="E115" s="413" t="s">
        <v>254</v>
      </c>
      <c r="F115" s="414" t="s">
        <v>221</v>
      </c>
      <c r="G115" s="415" t="s">
        <v>230</v>
      </c>
      <c r="H115" s="415" t="s">
        <v>232</v>
      </c>
      <c r="I115" s="415" t="s">
        <v>228</v>
      </c>
      <c r="J115" s="416">
        <v>225</v>
      </c>
    </row>
    <row r="116" spans="1:10" ht="16.8">
      <c r="A116" s="445" t="s">
        <v>412</v>
      </c>
      <c r="B116" s="405">
        <v>2</v>
      </c>
      <c r="C116" s="406"/>
      <c r="D116" s="412" t="s">
        <v>226</v>
      </c>
      <c r="E116" s="413" t="s">
        <v>478</v>
      </c>
      <c r="F116" s="414" t="s">
        <v>221</v>
      </c>
      <c r="G116" s="415" t="s">
        <v>230</v>
      </c>
      <c r="H116" s="415" t="s">
        <v>227</v>
      </c>
      <c r="I116" s="415" t="s">
        <v>296</v>
      </c>
      <c r="J116" s="416">
        <v>97</v>
      </c>
    </row>
    <row r="117" spans="1:10" ht="16.8">
      <c r="A117" s="445" t="s">
        <v>413</v>
      </c>
      <c r="B117" s="405">
        <v>2</v>
      </c>
      <c r="C117" s="406"/>
      <c r="D117" s="412" t="s">
        <v>264</v>
      </c>
      <c r="E117" s="413" t="s">
        <v>220</v>
      </c>
      <c r="F117" s="414" t="s">
        <v>221</v>
      </c>
      <c r="G117" s="415" t="s">
        <v>479</v>
      </c>
      <c r="H117" s="415" t="s">
        <v>259</v>
      </c>
      <c r="I117" s="415" t="s">
        <v>296</v>
      </c>
      <c r="J117" s="416">
        <v>98</v>
      </c>
    </row>
    <row r="118" spans="1:10" ht="16.8">
      <c r="A118" s="445" t="s">
        <v>414</v>
      </c>
      <c r="B118" s="405">
        <v>2</v>
      </c>
      <c r="C118" s="406"/>
      <c r="D118" s="412" t="s">
        <v>264</v>
      </c>
      <c r="E118" s="413" t="s">
        <v>220</v>
      </c>
      <c r="F118" s="414" t="s">
        <v>221</v>
      </c>
      <c r="G118" s="415" t="s">
        <v>244</v>
      </c>
      <c r="H118" s="415" t="s">
        <v>480</v>
      </c>
      <c r="I118" s="415" t="s">
        <v>228</v>
      </c>
      <c r="J118" s="416">
        <v>227</v>
      </c>
    </row>
    <row r="119" spans="1:10" ht="16.8">
      <c r="A119" s="445" t="s">
        <v>415</v>
      </c>
      <c r="B119" s="405">
        <v>2</v>
      </c>
      <c r="C119" s="406"/>
      <c r="D119" s="412" t="s">
        <v>226</v>
      </c>
      <c r="E119" s="413" t="s">
        <v>243</v>
      </c>
      <c r="F119" s="414" t="s">
        <v>284</v>
      </c>
      <c r="G119" s="415" t="s">
        <v>258</v>
      </c>
      <c r="H119" s="415" t="s">
        <v>227</v>
      </c>
      <c r="I119" s="415" t="s">
        <v>296</v>
      </c>
      <c r="J119" s="416">
        <v>99</v>
      </c>
    </row>
    <row r="120" spans="1:10" ht="16.8">
      <c r="A120" s="445" t="s">
        <v>416</v>
      </c>
      <c r="B120" s="405">
        <v>2</v>
      </c>
      <c r="C120" s="406"/>
      <c r="D120" s="412" t="s">
        <v>237</v>
      </c>
      <c r="E120" s="413" t="s">
        <v>246</v>
      </c>
      <c r="F120" s="414" t="s">
        <v>221</v>
      </c>
      <c r="G120" s="415" t="s">
        <v>230</v>
      </c>
      <c r="H120" s="415" t="s">
        <v>223</v>
      </c>
      <c r="I120" s="415" t="s">
        <v>260</v>
      </c>
      <c r="J120" s="416">
        <v>120</v>
      </c>
    </row>
    <row r="121" spans="1:10" ht="16.8">
      <c r="A121" s="445" t="s">
        <v>417</v>
      </c>
      <c r="B121" s="405">
        <v>2</v>
      </c>
      <c r="C121" s="406"/>
      <c r="D121" s="412" t="s">
        <v>253</v>
      </c>
      <c r="E121" s="413" t="s">
        <v>254</v>
      </c>
      <c r="F121" s="414" t="s">
        <v>221</v>
      </c>
      <c r="G121" s="415" t="s">
        <v>230</v>
      </c>
      <c r="H121" s="415" t="s">
        <v>223</v>
      </c>
      <c r="I121" s="415" t="s">
        <v>481</v>
      </c>
      <c r="J121" s="416">
        <v>89</v>
      </c>
    </row>
    <row r="122" spans="1:10" ht="16.8">
      <c r="A122" s="445" t="s">
        <v>418</v>
      </c>
      <c r="B122" s="405">
        <v>2</v>
      </c>
      <c r="C122" s="406"/>
      <c r="D122" s="412" t="s">
        <v>233</v>
      </c>
      <c r="E122" s="413" t="s">
        <v>220</v>
      </c>
      <c r="F122" s="414" t="s">
        <v>221</v>
      </c>
      <c r="G122" s="415" t="s">
        <v>244</v>
      </c>
      <c r="H122" s="415" t="s">
        <v>232</v>
      </c>
      <c r="I122" s="415" t="s">
        <v>228</v>
      </c>
      <c r="J122" s="416">
        <v>230</v>
      </c>
    </row>
    <row r="123" spans="1:10" ht="16.8">
      <c r="A123" s="445" t="s">
        <v>419</v>
      </c>
      <c r="B123" s="405">
        <v>2</v>
      </c>
      <c r="C123" s="406"/>
      <c r="D123" s="412" t="s">
        <v>219</v>
      </c>
      <c r="E123" s="413" t="s">
        <v>271</v>
      </c>
      <c r="F123" s="414" t="s">
        <v>221</v>
      </c>
      <c r="G123" s="415" t="s">
        <v>230</v>
      </c>
      <c r="H123" s="415" t="s">
        <v>259</v>
      </c>
      <c r="I123" s="415" t="s">
        <v>285</v>
      </c>
      <c r="J123" s="416">
        <v>95</v>
      </c>
    </row>
    <row r="124" spans="1:10" ht="16.8">
      <c r="A124" s="445" t="s">
        <v>420</v>
      </c>
      <c r="B124" s="405">
        <v>2</v>
      </c>
      <c r="C124" s="406"/>
      <c r="D124" s="412" t="s">
        <v>237</v>
      </c>
      <c r="E124" s="413" t="s">
        <v>246</v>
      </c>
      <c r="F124" s="414" t="s">
        <v>221</v>
      </c>
      <c r="G124" s="415" t="s">
        <v>230</v>
      </c>
      <c r="H124" s="415" t="s">
        <v>227</v>
      </c>
      <c r="I124" s="415" t="s">
        <v>285</v>
      </c>
      <c r="J124" s="416">
        <v>95</v>
      </c>
    </row>
    <row r="125" spans="1:10" ht="16.8">
      <c r="A125" s="445" t="s">
        <v>421</v>
      </c>
      <c r="B125" s="405">
        <v>2</v>
      </c>
      <c r="C125" s="406"/>
      <c r="D125" s="412" t="s">
        <v>253</v>
      </c>
      <c r="E125" s="413" t="s">
        <v>220</v>
      </c>
      <c r="F125" s="414" t="s">
        <v>221</v>
      </c>
      <c r="G125" s="415" t="s">
        <v>230</v>
      </c>
      <c r="H125" s="415" t="s">
        <v>223</v>
      </c>
      <c r="I125" s="415" t="s">
        <v>481</v>
      </c>
      <c r="J125" s="416">
        <v>90</v>
      </c>
    </row>
    <row r="126" spans="1:10" ht="16.8">
      <c r="A126" s="445" t="s">
        <v>422</v>
      </c>
      <c r="B126" s="405">
        <v>2</v>
      </c>
      <c r="C126" s="406"/>
      <c r="D126" s="412" t="s">
        <v>237</v>
      </c>
      <c r="E126" s="413" t="s">
        <v>254</v>
      </c>
      <c r="F126" s="414" t="s">
        <v>221</v>
      </c>
      <c r="G126" s="415" t="s">
        <v>230</v>
      </c>
      <c r="H126" s="415" t="s">
        <v>482</v>
      </c>
      <c r="I126" s="415" t="s">
        <v>228</v>
      </c>
      <c r="J126" s="416">
        <v>235</v>
      </c>
    </row>
    <row r="127" spans="1:10" ht="16.8">
      <c r="A127" s="445" t="s">
        <v>423</v>
      </c>
      <c r="B127" s="405">
        <v>2</v>
      </c>
      <c r="C127" s="406"/>
      <c r="D127" s="412" t="s">
        <v>219</v>
      </c>
      <c r="E127" s="413" t="s">
        <v>271</v>
      </c>
      <c r="F127" s="414" t="s">
        <v>221</v>
      </c>
      <c r="G127" s="415" t="s">
        <v>230</v>
      </c>
      <c r="H127" s="415" t="s">
        <v>232</v>
      </c>
      <c r="I127" s="415" t="s">
        <v>339</v>
      </c>
      <c r="J127" s="416">
        <v>65</v>
      </c>
    </row>
    <row r="128" spans="1:10" ht="16.8">
      <c r="A128" s="445" t="s">
        <v>424</v>
      </c>
      <c r="B128" s="405">
        <v>2</v>
      </c>
      <c r="C128" s="406"/>
      <c r="D128" s="412" t="s">
        <v>233</v>
      </c>
      <c r="E128" s="413" t="s">
        <v>271</v>
      </c>
      <c r="F128" s="414" t="s">
        <v>221</v>
      </c>
      <c r="G128" s="415" t="s">
        <v>251</v>
      </c>
      <c r="H128" s="415" t="s">
        <v>232</v>
      </c>
      <c r="I128" s="415" t="s">
        <v>307</v>
      </c>
      <c r="J128" s="416">
        <v>151</v>
      </c>
    </row>
    <row r="129" spans="1:10" ht="16.8">
      <c r="A129" s="445" t="s">
        <v>425</v>
      </c>
      <c r="B129" s="405">
        <v>2</v>
      </c>
      <c r="C129" s="406"/>
      <c r="D129" s="412" t="s">
        <v>264</v>
      </c>
      <c r="E129" s="413" t="s">
        <v>320</v>
      </c>
      <c r="F129" s="414" t="s">
        <v>221</v>
      </c>
      <c r="G129" s="415" t="s">
        <v>244</v>
      </c>
      <c r="H129" s="415" t="s">
        <v>259</v>
      </c>
      <c r="I129" s="415" t="s">
        <v>228</v>
      </c>
      <c r="J129" s="416">
        <v>241</v>
      </c>
    </row>
    <row r="130" spans="1:10" ht="16.8">
      <c r="A130" s="445" t="s">
        <v>426</v>
      </c>
      <c r="B130" s="405">
        <v>2</v>
      </c>
      <c r="C130" s="406"/>
      <c r="D130" s="412" t="s">
        <v>237</v>
      </c>
      <c r="E130" s="413" t="s">
        <v>220</v>
      </c>
      <c r="F130" s="414" t="s">
        <v>221</v>
      </c>
      <c r="G130" s="415" t="s">
        <v>230</v>
      </c>
      <c r="H130" s="415" t="s">
        <v>238</v>
      </c>
      <c r="I130" s="415" t="s">
        <v>228</v>
      </c>
      <c r="J130" s="416">
        <v>244</v>
      </c>
    </row>
    <row r="131" spans="1:10" ht="16.8">
      <c r="A131" s="445" t="s">
        <v>427</v>
      </c>
      <c r="B131" s="405">
        <v>2</v>
      </c>
      <c r="C131" s="406"/>
      <c r="D131" s="412" t="s">
        <v>233</v>
      </c>
      <c r="E131" s="413" t="s">
        <v>271</v>
      </c>
      <c r="F131" s="414" t="s">
        <v>221</v>
      </c>
      <c r="G131" s="415" t="s">
        <v>222</v>
      </c>
      <c r="H131" s="415" t="s">
        <v>232</v>
      </c>
      <c r="I131" s="415" t="s">
        <v>268</v>
      </c>
      <c r="J131" s="416">
        <v>115</v>
      </c>
    </row>
    <row r="132" spans="1:10" ht="16.8">
      <c r="A132" s="445" t="s">
        <v>428</v>
      </c>
      <c r="B132" s="405">
        <v>2</v>
      </c>
      <c r="C132" s="406"/>
      <c r="D132" s="412" t="s">
        <v>264</v>
      </c>
      <c r="E132" s="413" t="s">
        <v>246</v>
      </c>
      <c r="F132" s="414" t="s">
        <v>284</v>
      </c>
      <c r="G132" s="415" t="s">
        <v>142</v>
      </c>
      <c r="H132" s="415" t="s">
        <v>259</v>
      </c>
      <c r="I132" s="415" t="s">
        <v>260</v>
      </c>
      <c r="J132" s="416">
        <v>123</v>
      </c>
    </row>
    <row r="133" spans="1:10" ht="16.8">
      <c r="A133" s="445" t="s">
        <v>429</v>
      </c>
      <c r="B133" s="405">
        <v>2</v>
      </c>
      <c r="C133" s="406"/>
      <c r="D133" s="412" t="s">
        <v>219</v>
      </c>
      <c r="E133" s="413" t="s">
        <v>246</v>
      </c>
      <c r="F133" s="414" t="s">
        <v>221</v>
      </c>
      <c r="G133" s="415" t="s">
        <v>230</v>
      </c>
      <c r="H133" s="415" t="s">
        <v>304</v>
      </c>
      <c r="I133" s="415" t="s">
        <v>307</v>
      </c>
      <c r="J133" s="416">
        <v>153</v>
      </c>
    </row>
    <row r="134" spans="1:10" ht="16.8">
      <c r="A134" s="445" t="s">
        <v>430</v>
      </c>
      <c r="B134" s="405">
        <v>2</v>
      </c>
      <c r="C134" s="406"/>
      <c r="D134" s="412" t="s">
        <v>240</v>
      </c>
      <c r="E134" s="413" t="s">
        <v>220</v>
      </c>
      <c r="F134" s="414" t="s">
        <v>221</v>
      </c>
      <c r="G134" s="415" t="s">
        <v>222</v>
      </c>
      <c r="H134" s="415" t="s">
        <v>227</v>
      </c>
      <c r="I134" s="415" t="s">
        <v>277</v>
      </c>
      <c r="J134" s="416">
        <v>87</v>
      </c>
    </row>
    <row r="135" spans="1:10" ht="16.8">
      <c r="A135" s="445" t="s">
        <v>431</v>
      </c>
      <c r="B135" s="405">
        <v>2</v>
      </c>
      <c r="C135" s="406"/>
      <c r="D135" s="412" t="s">
        <v>264</v>
      </c>
      <c r="E135" s="413" t="s">
        <v>271</v>
      </c>
      <c r="F135" s="414" t="s">
        <v>221</v>
      </c>
      <c r="G135" s="415" t="s">
        <v>230</v>
      </c>
      <c r="H135" s="415" t="s">
        <v>259</v>
      </c>
      <c r="I135" s="415" t="s">
        <v>296</v>
      </c>
      <c r="J135" s="416">
        <v>102</v>
      </c>
    </row>
    <row r="136" spans="1:10" ht="16.8">
      <c r="A136" s="445" t="s">
        <v>432</v>
      </c>
      <c r="B136" s="405">
        <v>2</v>
      </c>
      <c r="C136" s="406"/>
      <c r="D136" s="412" t="s">
        <v>233</v>
      </c>
      <c r="E136" s="413" t="s">
        <v>220</v>
      </c>
      <c r="F136" s="414" t="s">
        <v>221</v>
      </c>
      <c r="G136" s="415" t="s">
        <v>483</v>
      </c>
      <c r="H136" s="415" t="s">
        <v>223</v>
      </c>
      <c r="I136" s="415" t="s">
        <v>277</v>
      </c>
      <c r="J136" s="416">
        <v>87</v>
      </c>
    </row>
    <row r="137" spans="1:10" ht="16.8">
      <c r="A137" s="445" t="s">
        <v>433</v>
      </c>
      <c r="B137" s="405">
        <v>2</v>
      </c>
      <c r="C137" s="406"/>
      <c r="D137" s="412" t="s">
        <v>253</v>
      </c>
      <c r="E137" s="413" t="s">
        <v>246</v>
      </c>
      <c r="F137" s="414" t="s">
        <v>221</v>
      </c>
      <c r="G137" s="415" t="s">
        <v>230</v>
      </c>
      <c r="H137" s="415" t="s">
        <v>259</v>
      </c>
      <c r="I137" s="415" t="s">
        <v>260</v>
      </c>
      <c r="J137" s="416">
        <v>123</v>
      </c>
    </row>
    <row r="138" spans="1:10" ht="16.8">
      <c r="A138" s="445" t="s">
        <v>434</v>
      </c>
      <c r="B138" s="405">
        <v>2</v>
      </c>
      <c r="C138" s="406"/>
      <c r="D138" s="412" t="s">
        <v>240</v>
      </c>
      <c r="E138" s="413" t="s">
        <v>220</v>
      </c>
      <c r="F138" s="414" t="s">
        <v>221</v>
      </c>
      <c r="G138" s="415" t="s">
        <v>244</v>
      </c>
      <c r="H138" s="415" t="s">
        <v>223</v>
      </c>
      <c r="I138" s="415" t="s">
        <v>316</v>
      </c>
      <c r="J138" s="416">
        <v>100</v>
      </c>
    </row>
    <row r="139" spans="1:10" ht="16.8">
      <c r="A139" s="445" t="s">
        <v>435</v>
      </c>
      <c r="B139" s="405">
        <v>2</v>
      </c>
      <c r="C139" s="406"/>
      <c r="D139" s="412" t="s">
        <v>233</v>
      </c>
      <c r="E139" s="413" t="s">
        <v>220</v>
      </c>
      <c r="F139" s="414" t="s">
        <v>221</v>
      </c>
      <c r="G139" s="415" t="s">
        <v>484</v>
      </c>
      <c r="H139" s="415" t="s">
        <v>227</v>
      </c>
      <c r="I139" s="415" t="s">
        <v>316</v>
      </c>
      <c r="J139" s="416">
        <v>100</v>
      </c>
    </row>
    <row r="140" spans="1:10" ht="16.8">
      <c r="A140" s="445" t="s">
        <v>436</v>
      </c>
      <c r="B140" s="405">
        <v>2</v>
      </c>
      <c r="C140" s="406"/>
      <c r="D140" s="412" t="s">
        <v>233</v>
      </c>
      <c r="E140" s="413" t="s">
        <v>220</v>
      </c>
      <c r="F140" s="414" t="s">
        <v>221</v>
      </c>
      <c r="G140" s="415" t="s">
        <v>230</v>
      </c>
      <c r="H140" s="415" t="s">
        <v>223</v>
      </c>
      <c r="I140" s="415" t="s">
        <v>260</v>
      </c>
      <c r="J140" s="416">
        <v>124</v>
      </c>
    </row>
    <row r="141" spans="1:10" ht="16.8">
      <c r="A141" s="445" t="s">
        <v>437</v>
      </c>
      <c r="B141" s="405">
        <v>2</v>
      </c>
      <c r="C141" s="406"/>
      <c r="D141" s="412" t="s">
        <v>219</v>
      </c>
      <c r="E141" s="413" t="s">
        <v>220</v>
      </c>
      <c r="F141" s="414" t="s">
        <v>221</v>
      </c>
      <c r="G141" s="415" t="s">
        <v>222</v>
      </c>
      <c r="H141" s="415" t="s">
        <v>227</v>
      </c>
      <c r="I141" s="415" t="s">
        <v>228</v>
      </c>
      <c r="J141" s="416">
        <v>252</v>
      </c>
    </row>
    <row r="142" spans="1:10" ht="16.8">
      <c r="A142" s="445" t="s">
        <v>438</v>
      </c>
      <c r="B142" s="405">
        <v>2</v>
      </c>
      <c r="C142" s="406"/>
      <c r="D142" s="412" t="s">
        <v>472</v>
      </c>
      <c r="E142" s="413" t="s">
        <v>246</v>
      </c>
      <c r="F142" s="414" t="s">
        <v>221</v>
      </c>
      <c r="G142" s="415" t="s">
        <v>251</v>
      </c>
      <c r="H142" s="415" t="s">
        <v>344</v>
      </c>
      <c r="I142" s="415" t="s">
        <v>485</v>
      </c>
      <c r="J142" s="416">
        <v>101</v>
      </c>
    </row>
    <row r="143" spans="1:10" ht="16.8">
      <c r="A143" s="445" t="s">
        <v>439</v>
      </c>
      <c r="B143" s="405">
        <v>2</v>
      </c>
      <c r="C143" s="406"/>
      <c r="D143" s="412" t="s">
        <v>237</v>
      </c>
      <c r="E143" s="413" t="s">
        <v>246</v>
      </c>
      <c r="F143" s="414" t="s">
        <v>221</v>
      </c>
      <c r="G143" s="415" t="s">
        <v>244</v>
      </c>
      <c r="H143" s="415" t="s">
        <v>259</v>
      </c>
      <c r="I143" s="415" t="s">
        <v>268</v>
      </c>
      <c r="J143" s="416">
        <v>119</v>
      </c>
    </row>
    <row r="144" spans="1:10" ht="16.8">
      <c r="A144" s="445" t="s">
        <v>440</v>
      </c>
      <c r="B144" s="405">
        <v>2</v>
      </c>
      <c r="C144" s="406"/>
      <c r="D144" s="412" t="s">
        <v>219</v>
      </c>
      <c r="E144" s="413" t="s">
        <v>220</v>
      </c>
      <c r="F144" s="414" t="s">
        <v>221</v>
      </c>
      <c r="G144" s="415" t="s">
        <v>251</v>
      </c>
      <c r="H144" s="415" t="s">
        <v>259</v>
      </c>
      <c r="I144" s="415" t="s">
        <v>260</v>
      </c>
      <c r="J144" s="416">
        <v>125</v>
      </c>
    </row>
    <row r="145" spans="1:10" ht="16.8">
      <c r="A145" s="445" t="s">
        <v>441</v>
      </c>
      <c r="B145" s="405">
        <v>2</v>
      </c>
      <c r="C145" s="406"/>
      <c r="D145" s="412" t="s">
        <v>226</v>
      </c>
      <c r="E145" s="413" t="s">
        <v>220</v>
      </c>
      <c r="F145" s="414" t="s">
        <v>221</v>
      </c>
      <c r="G145" s="415" t="s">
        <v>483</v>
      </c>
      <c r="H145" s="415" t="s">
        <v>304</v>
      </c>
      <c r="I145" s="415" t="s">
        <v>285</v>
      </c>
      <c r="J145" s="416">
        <v>103</v>
      </c>
    </row>
    <row r="146" spans="1:10" ht="16.8">
      <c r="A146" s="445" t="s">
        <v>442</v>
      </c>
      <c r="B146" s="405">
        <v>2</v>
      </c>
      <c r="C146" s="406"/>
      <c r="D146" s="412" t="s">
        <v>219</v>
      </c>
      <c r="E146" s="413" t="s">
        <v>254</v>
      </c>
      <c r="F146" s="414" t="s">
        <v>221</v>
      </c>
      <c r="G146" s="415" t="s">
        <v>230</v>
      </c>
      <c r="H146" s="415" t="s">
        <v>232</v>
      </c>
      <c r="I146" s="415" t="s">
        <v>228</v>
      </c>
      <c r="J146" s="416">
        <v>259</v>
      </c>
    </row>
    <row r="147" spans="1:10" ht="16.8">
      <c r="A147" s="445" t="s">
        <v>443</v>
      </c>
      <c r="B147" s="405">
        <v>2</v>
      </c>
      <c r="C147" s="406"/>
      <c r="D147" s="412" t="s">
        <v>219</v>
      </c>
      <c r="E147" s="413" t="s">
        <v>271</v>
      </c>
      <c r="F147" s="414" t="s">
        <v>221</v>
      </c>
      <c r="G147" s="415" t="s">
        <v>230</v>
      </c>
      <c r="H147" s="415" t="s">
        <v>259</v>
      </c>
      <c r="I147" s="415" t="s">
        <v>486</v>
      </c>
      <c r="J147" s="416">
        <v>56</v>
      </c>
    </row>
    <row r="148" spans="1:10" ht="16.8">
      <c r="A148" s="445" t="s">
        <v>444</v>
      </c>
      <c r="B148" s="405">
        <v>2</v>
      </c>
      <c r="C148" s="406"/>
      <c r="D148" s="412" t="s">
        <v>226</v>
      </c>
      <c r="E148" s="413" t="s">
        <v>220</v>
      </c>
      <c r="F148" s="414" t="s">
        <v>221</v>
      </c>
      <c r="G148" s="415" t="s">
        <v>230</v>
      </c>
      <c r="H148" s="415" t="s">
        <v>227</v>
      </c>
      <c r="I148" s="415" t="s">
        <v>296</v>
      </c>
      <c r="J148" s="416">
        <v>105</v>
      </c>
    </row>
    <row r="149" spans="1:10" ht="16.8">
      <c r="A149" s="445" t="s">
        <v>445</v>
      </c>
      <c r="B149" s="405">
        <v>2</v>
      </c>
      <c r="C149" s="406"/>
      <c r="D149" s="412" t="s">
        <v>226</v>
      </c>
      <c r="E149" s="413" t="s">
        <v>220</v>
      </c>
      <c r="F149" s="414" t="s">
        <v>221</v>
      </c>
      <c r="G149" s="415" t="s">
        <v>222</v>
      </c>
      <c r="H149" s="415" t="s">
        <v>227</v>
      </c>
      <c r="I149" s="415" t="s">
        <v>228</v>
      </c>
      <c r="J149" s="416">
        <v>271</v>
      </c>
    </row>
    <row r="150" spans="1:10" ht="16.8">
      <c r="A150" s="445" t="s">
        <v>446</v>
      </c>
      <c r="B150" s="405">
        <v>2</v>
      </c>
      <c r="C150" s="406"/>
      <c r="D150" s="412" t="s">
        <v>253</v>
      </c>
      <c r="E150" s="413" t="s">
        <v>246</v>
      </c>
      <c r="F150" s="414" t="s">
        <v>221</v>
      </c>
      <c r="G150" s="415" t="s">
        <v>230</v>
      </c>
      <c r="H150" s="415" t="s">
        <v>223</v>
      </c>
      <c r="I150" s="415" t="s">
        <v>228</v>
      </c>
      <c r="J150" s="416">
        <v>272</v>
      </c>
    </row>
    <row r="151" spans="1:10" ht="16.8">
      <c r="A151" s="445" t="s">
        <v>447</v>
      </c>
      <c r="B151" s="405">
        <v>2</v>
      </c>
      <c r="C151" s="406"/>
      <c r="D151" s="412" t="s">
        <v>226</v>
      </c>
      <c r="E151" s="413" t="s">
        <v>220</v>
      </c>
      <c r="F151" s="414" t="s">
        <v>221</v>
      </c>
      <c r="G151" s="415" t="s">
        <v>230</v>
      </c>
      <c r="H151" s="415" t="s">
        <v>227</v>
      </c>
      <c r="I151" s="415" t="s">
        <v>228</v>
      </c>
      <c r="J151" s="416">
        <v>272</v>
      </c>
    </row>
    <row r="152" spans="1:10" ht="16.8">
      <c r="A152" s="445" t="s">
        <v>448</v>
      </c>
      <c r="B152" s="405">
        <v>2</v>
      </c>
      <c r="C152" s="406"/>
      <c r="D152" s="412" t="s">
        <v>237</v>
      </c>
      <c r="E152" s="413" t="s">
        <v>337</v>
      </c>
      <c r="F152" s="414" t="s">
        <v>221</v>
      </c>
      <c r="G152" s="415" t="s">
        <v>230</v>
      </c>
      <c r="H152" s="415" t="s">
        <v>487</v>
      </c>
      <c r="I152" s="415" t="s">
        <v>488</v>
      </c>
      <c r="J152" s="416">
        <v>132</v>
      </c>
    </row>
    <row r="153" spans="1:10" ht="16.8">
      <c r="A153" s="445" t="s">
        <v>449</v>
      </c>
      <c r="B153" s="405">
        <v>2</v>
      </c>
      <c r="C153" s="406"/>
      <c r="D153" s="412" t="s">
        <v>240</v>
      </c>
      <c r="E153" s="413" t="s">
        <v>281</v>
      </c>
      <c r="F153" s="414" t="s">
        <v>474</v>
      </c>
      <c r="G153" s="415" t="s">
        <v>251</v>
      </c>
      <c r="H153" s="415" t="s">
        <v>259</v>
      </c>
      <c r="I153" s="415" t="s">
        <v>489</v>
      </c>
      <c r="J153" s="416">
        <v>62</v>
      </c>
    </row>
    <row r="154" spans="1:10" ht="16.8">
      <c r="A154" s="445" t="s">
        <v>450</v>
      </c>
      <c r="B154" s="405">
        <v>2</v>
      </c>
      <c r="C154" s="406"/>
      <c r="D154" s="412" t="s">
        <v>219</v>
      </c>
      <c r="E154" s="413" t="s">
        <v>271</v>
      </c>
      <c r="F154" s="414" t="s">
        <v>221</v>
      </c>
      <c r="G154" s="415" t="s">
        <v>230</v>
      </c>
      <c r="H154" s="415" t="s">
        <v>223</v>
      </c>
      <c r="I154" s="415" t="s">
        <v>268</v>
      </c>
      <c r="J154" s="416">
        <v>124</v>
      </c>
    </row>
    <row r="155" spans="1:10" ht="16.8">
      <c r="A155" s="445" t="s">
        <v>451</v>
      </c>
      <c r="B155" s="405">
        <v>2</v>
      </c>
      <c r="C155" s="406"/>
      <c r="D155" s="412" t="s">
        <v>240</v>
      </c>
      <c r="E155" s="413" t="s">
        <v>254</v>
      </c>
      <c r="F155" s="414" t="s">
        <v>221</v>
      </c>
      <c r="G155" s="415" t="s">
        <v>222</v>
      </c>
      <c r="H155" s="415" t="s">
        <v>227</v>
      </c>
      <c r="I155" s="415" t="s">
        <v>228</v>
      </c>
      <c r="J155" s="416">
        <v>278</v>
      </c>
    </row>
    <row r="156" spans="1:10" ht="16.8">
      <c r="A156" s="445" t="s">
        <v>452</v>
      </c>
      <c r="B156" s="405">
        <v>2</v>
      </c>
      <c r="C156" s="406"/>
      <c r="D156" s="412" t="s">
        <v>253</v>
      </c>
      <c r="E156" s="413" t="s">
        <v>243</v>
      </c>
      <c r="F156" s="414" t="s">
        <v>221</v>
      </c>
      <c r="G156" s="415" t="s">
        <v>222</v>
      </c>
      <c r="H156" s="415" t="s">
        <v>304</v>
      </c>
      <c r="I156" s="415" t="s">
        <v>228</v>
      </c>
      <c r="J156" s="416">
        <v>278</v>
      </c>
    </row>
    <row r="157" spans="1:10" ht="16.8">
      <c r="A157" s="445" t="s">
        <v>453</v>
      </c>
      <c r="B157" s="405">
        <v>2</v>
      </c>
      <c r="C157" s="406"/>
      <c r="D157" s="412" t="s">
        <v>472</v>
      </c>
      <c r="E157" s="413" t="s">
        <v>220</v>
      </c>
      <c r="F157" s="414" t="s">
        <v>221</v>
      </c>
      <c r="G157" s="415" t="s">
        <v>290</v>
      </c>
      <c r="H157" s="415" t="s">
        <v>232</v>
      </c>
      <c r="I157" s="415" t="s">
        <v>228</v>
      </c>
      <c r="J157" s="416">
        <v>279</v>
      </c>
    </row>
    <row r="158" spans="1:10" ht="16.8">
      <c r="A158" s="445" t="s">
        <v>454</v>
      </c>
      <c r="B158" s="405">
        <v>2</v>
      </c>
      <c r="C158" s="406"/>
      <c r="D158" s="412" t="s">
        <v>253</v>
      </c>
      <c r="E158" s="413" t="s">
        <v>246</v>
      </c>
      <c r="F158" s="414" t="s">
        <v>221</v>
      </c>
      <c r="G158" s="415" t="s">
        <v>230</v>
      </c>
      <c r="H158" s="415" t="s">
        <v>232</v>
      </c>
      <c r="I158" s="415" t="s">
        <v>260</v>
      </c>
      <c r="J158" s="416">
        <v>127</v>
      </c>
    </row>
    <row r="159" spans="1:10" ht="16.8">
      <c r="A159" s="445" t="s">
        <v>455</v>
      </c>
      <c r="B159" s="405">
        <v>2</v>
      </c>
      <c r="C159" s="406"/>
      <c r="D159" s="412" t="s">
        <v>240</v>
      </c>
      <c r="E159" s="413" t="s">
        <v>320</v>
      </c>
      <c r="F159" s="414" t="s">
        <v>221</v>
      </c>
      <c r="G159" s="415" t="s">
        <v>222</v>
      </c>
      <c r="H159" s="415" t="s">
        <v>227</v>
      </c>
      <c r="I159" s="415" t="s">
        <v>228</v>
      </c>
      <c r="J159" s="416">
        <v>281</v>
      </c>
    </row>
    <row r="160" spans="1:10" ht="16.8">
      <c r="A160" s="445" t="s">
        <v>456</v>
      </c>
      <c r="B160" s="405">
        <v>2</v>
      </c>
      <c r="C160" s="406"/>
      <c r="D160" s="412" t="s">
        <v>237</v>
      </c>
      <c r="E160" s="413" t="s">
        <v>246</v>
      </c>
      <c r="F160" s="414" t="s">
        <v>221</v>
      </c>
      <c r="G160" s="415" t="s">
        <v>230</v>
      </c>
      <c r="H160" s="415" t="s">
        <v>304</v>
      </c>
      <c r="I160" s="415" t="s">
        <v>339</v>
      </c>
      <c r="J160" s="416">
        <v>71</v>
      </c>
    </row>
    <row r="161" spans="1:10" ht="16.8">
      <c r="A161" s="445" t="s">
        <v>457</v>
      </c>
      <c r="B161" s="405">
        <v>2</v>
      </c>
      <c r="C161" s="406"/>
      <c r="D161" s="412" t="s">
        <v>240</v>
      </c>
      <c r="E161" s="413" t="s">
        <v>246</v>
      </c>
      <c r="F161" s="414" t="s">
        <v>221</v>
      </c>
      <c r="G161" s="415" t="s">
        <v>244</v>
      </c>
      <c r="H161" s="415" t="s">
        <v>259</v>
      </c>
      <c r="I161" s="415" t="s">
        <v>228</v>
      </c>
      <c r="J161" s="416">
        <v>283</v>
      </c>
    </row>
    <row r="162" spans="1:10" ht="16.8">
      <c r="A162" s="445" t="s">
        <v>458</v>
      </c>
      <c r="B162" s="405">
        <v>2</v>
      </c>
      <c r="C162" s="406"/>
      <c r="D162" s="412" t="s">
        <v>233</v>
      </c>
      <c r="E162" s="413" t="s">
        <v>220</v>
      </c>
      <c r="F162" s="414" t="s">
        <v>221</v>
      </c>
      <c r="G162" s="415" t="s">
        <v>230</v>
      </c>
      <c r="H162" s="415" t="s">
        <v>304</v>
      </c>
      <c r="I162" s="415" t="s">
        <v>228</v>
      </c>
      <c r="J162" s="416">
        <v>284</v>
      </c>
    </row>
    <row r="163" spans="1:10" ht="16.8">
      <c r="A163" s="445" t="s">
        <v>459</v>
      </c>
      <c r="B163" s="405">
        <v>2</v>
      </c>
      <c r="C163" s="406"/>
      <c r="D163" s="412" t="s">
        <v>264</v>
      </c>
      <c r="E163" s="413" t="s">
        <v>281</v>
      </c>
      <c r="F163" s="414" t="s">
        <v>221</v>
      </c>
      <c r="G163" s="415" t="s">
        <v>244</v>
      </c>
      <c r="H163" s="415" t="s">
        <v>227</v>
      </c>
      <c r="I163" s="415" t="s">
        <v>268</v>
      </c>
      <c r="J163" s="416">
        <v>126</v>
      </c>
    </row>
    <row r="164" spans="1:10" ht="16.8">
      <c r="A164" s="445" t="s">
        <v>460</v>
      </c>
      <c r="B164" s="405">
        <v>2</v>
      </c>
      <c r="C164" s="406"/>
      <c r="D164" s="412" t="s">
        <v>219</v>
      </c>
      <c r="E164" s="413" t="s">
        <v>281</v>
      </c>
      <c r="F164" s="414" t="s">
        <v>221</v>
      </c>
      <c r="G164" s="415" t="s">
        <v>258</v>
      </c>
      <c r="H164" s="415" t="s">
        <v>490</v>
      </c>
      <c r="I164" s="415" t="s">
        <v>268</v>
      </c>
      <c r="J164" s="416">
        <v>126</v>
      </c>
    </row>
    <row r="165" spans="1:10" ht="16.8">
      <c r="A165" s="445" t="s">
        <v>461</v>
      </c>
      <c r="B165" s="405">
        <v>2</v>
      </c>
      <c r="C165" s="406"/>
      <c r="D165" s="412" t="s">
        <v>219</v>
      </c>
      <c r="E165" s="413" t="s">
        <v>246</v>
      </c>
      <c r="F165" s="414" t="s">
        <v>247</v>
      </c>
      <c r="G165" s="415" t="s">
        <v>251</v>
      </c>
      <c r="H165" s="415" t="s">
        <v>482</v>
      </c>
      <c r="I165" s="415" t="s">
        <v>260</v>
      </c>
      <c r="J165" s="416">
        <v>128</v>
      </c>
    </row>
    <row r="166" spans="1:10" ht="16.8">
      <c r="A166" s="445" t="s">
        <v>462</v>
      </c>
      <c r="B166" s="405">
        <v>2</v>
      </c>
      <c r="C166" s="406"/>
      <c r="D166" s="412" t="s">
        <v>226</v>
      </c>
      <c r="E166" s="413" t="s">
        <v>246</v>
      </c>
      <c r="F166" s="414" t="s">
        <v>221</v>
      </c>
      <c r="G166" s="415" t="s">
        <v>222</v>
      </c>
      <c r="H166" s="415" t="s">
        <v>491</v>
      </c>
      <c r="I166" s="415" t="s">
        <v>316</v>
      </c>
      <c r="J166" s="416">
        <v>105</v>
      </c>
    </row>
    <row r="167" spans="1:10" ht="16.8">
      <c r="A167" s="445" t="s">
        <v>463</v>
      </c>
      <c r="B167" s="405">
        <v>2</v>
      </c>
      <c r="C167" s="406"/>
      <c r="D167" s="412" t="s">
        <v>226</v>
      </c>
      <c r="E167" s="413" t="s">
        <v>254</v>
      </c>
      <c r="F167" s="414" t="s">
        <v>284</v>
      </c>
      <c r="G167" s="415" t="s">
        <v>222</v>
      </c>
      <c r="H167" s="415" t="s">
        <v>259</v>
      </c>
      <c r="I167" s="415" t="s">
        <v>228</v>
      </c>
      <c r="J167" s="416">
        <v>286</v>
      </c>
    </row>
    <row r="168" spans="1:10" ht="16.8">
      <c r="A168" s="445" t="s">
        <v>464</v>
      </c>
      <c r="B168" s="405">
        <v>2</v>
      </c>
      <c r="C168" s="406"/>
      <c r="D168" s="412" t="s">
        <v>226</v>
      </c>
      <c r="E168" s="413" t="s">
        <v>254</v>
      </c>
      <c r="F168" s="414" t="s">
        <v>284</v>
      </c>
      <c r="G168" s="415" t="s">
        <v>222</v>
      </c>
      <c r="H168" s="415" t="s">
        <v>259</v>
      </c>
      <c r="I168" s="415" t="s">
        <v>339</v>
      </c>
      <c r="J168" s="416">
        <v>71</v>
      </c>
    </row>
    <row r="169" spans="1:10" ht="16.8">
      <c r="A169" s="445" t="s">
        <v>465</v>
      </c>
      <c r="B169" s="405">
        <v>2</v>
      </c>
      <c r="C169" s="406"/>
      <c r="D169" s="412" t="s">
        <v>233</v>
      </c>
      <c r="E169" s="413" t="s">
        <v>220</v>
      </c>
      <c r="F169" s="414" t="s">
        <v>221</v>
      </c>
      <c r="G169" s="415" t="s">
        <v>290</v>
      </c>
      <c r="H169" s="415" t="s">
        <v>227</v>
      </c>
      <c r="I169" s="415" t="s">
        <v>277</v>
      </c>
      <c r="J169" s="416">
        <v>90</v>
      </c>
    </row>
    <row r="170" spans="1:10" ht="16.8">
      <c r="A170" s="445" t="s">
        <v>466</v>
      </c>
      <c r="B170" s="405">
        <v>2</v>
      </c>
      <c r="C170" s="406"/>
      <c r="D170" s="412" t="s">
        <v>237</v>
      </c>
      <c r="E170" s="413" t="s">
        <v>220</v>
      </c>
      <c r="F170" s="414" t="s">
        <v>221</v>
      </c>
      <c r="G170" s="415" t="s">
        <v>244</v>
      </c>
      <c r="H170" s="415" t="s">
        <v>232</v>
      </c>
      <c r="I170" s="415" t="s">
        <v>285</v>
      </c>
      <c r="J170" s="416">
        <v>105</v>
      </c>
    </row>
    <row r="171" spans="1:10" ht="16.8">
      <c r="A171" s="445" t="s">
        <v>467</v>
      </c>
      <c r="B171" s="405">
        <v>2</v>
      </c>
      <c r="C171" s="406"/>
      <c r="D171" s="412" t="s">
        <v>264</v>
      </c>
      <c r="E171" s="413" t="s">
        <v>246</v>
      </c>
      <c r="F171" s="414" t="s">
        <v>221</v>
      </c>
      <c r="G171" s="415" t="s">
        <v>251</v>
      </c>
      <c r="H171" s="415" t="s">
        <v>247</v>
      </c>
      <c r="I171" s="415" t="s">
        <v>260</v>
      </c>
      <c r="J171" s="416">
        <v>129</v>
      </c>
    </row>
    <row r="172" spans="1:10" ht="16.8">
      <c r="A172" s="445" t="s">
        <v>468</v>
      </c>
      <c r="B172" s="405">
        <v>2</v>
      </c>
      <c r="C172" s="406"/>
      <c r="D172" s="412" t="s">
        <v>253</v>
      </c>
      <c r="E172" s="413" t="s">
        <v>220</v>
      </c>
      <c r="F172" s="414" t="s">
        <v>221</v>
      </c>
      <c r="G172" s="415" t="s">
        <v>222</v>
      </c>
      <c r="H172" s="415" t="s">
        <v>248</v>
      </c>
      <c r="I172" s="415" t="s">
        <v>228</v>
      </c>
      <c r="J172" s="416">
        <v>297</v>
      </c>
    </row>
    <row r="173" spans="1:10" ht="16.8">
      <c r="A173" s="445" t="s">
        <v>469</v>
      </c>
      <c r="B173" s="405">
        <v>2</v>
      </c>
      <c r="C173" s="406"/>
      <c r="D173" s="412" t="s">
        <v>264</v>
      </c>
      <c r="E173" s="413" t="s">
        <v>337</v>
      </c>
      <c r="F173" s="414" t="s">
        <v>221</v>
      </c>
      <c r="G173" s="415" t="s">
        <v>222</v>
      </c>
      <c r="H173" s="415" t="s">
        <v>259</v>
      </c>
      <c r="I173" s="415" t="s">
        <v>323</v>
      </c>
      <c r="J173" s="416">
        <v>188</v>
      </c>
    </row>
    <row r="174" spans="1:10" ht="17.399999999999999" thickBot="1">
      <c r="A174" s="447" t="s">
        <v>470</v>
      </c>
      <c r="B174" s="434">
        <v>2</v>
      </c>
      <c r="C174" s="435"/>
      <c r="D174" s="436" t="s">
        <v>264</v>
      </c>
      <c r="E174" s="437" t="s">
        <v>254</v>
      </c>
      <c r="F174" s="438" t="s">
        <v>221</v>
      </c>
      <c r="G174" s="439" t="s">
        <v>222</v>
      </c>
      <c r="H174" s="440" t="s">
        <v>232</v>
      </c>
      <c r="I174" s="440" t="s">
        <v>228</v>
      </c>
      <c r="J174" s="441">
        <v>303</v>
      </c>
    </row>
    <row r="175" spans="1:10"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9A307-0CDE-48A5-9DBA-F4E50877903D}">
  <dimension ref="A1:U38"/>
  <sheetViews>
    <sheetView showGridLines="0" workbookViewId="0"/>
  </sheetViews>
  <sheetFormatPr defaultColWidth="13" defaultRowHeight="16.8"/>
  <cols>
    <col min="1" max="1" width="22.09765625" style="395" bestFit="1" customWidth="1"/>
    <col min="2" max="2" width="6.19921875" style="395" bestFit="1" customWidth="1"/>
    <col min="3" max="3" width="3.5" style="395" bestFit="1" customWidth="1"/>
    <col min="4" max="4" width="4.09765625" style="395" bestFit="1" customWidth="1"/>
    <col min="5" max="5" width="6.296875" style="387" bestFit="1" customWidth="1"/>
    <col min="6" max="6" width="2.296875" style="387" customWidth="1"/>
    <col min="7" max="7" width="13.296875" style="332" bestFit="1" customWidth="1"/>
    <col min="8" max="9" width="3.796875" style="332" customWidth="1"/>
    <col min="10" max="11" width="4" style="332" customWidth="1"/>
    <col min="12" max="15" width="3.59765625" style="332" bestFit="1" customWidth="1"/>
    <col min="16" max="16" width="2.296875" style="332" customWidth="1"/>
    <col min="17" max="17" width="17.59765625" style="332" bestFit="1" customWidth="1"/>
    <col min="18" max="18" width="6.19921875" style="332" bestFit="1" customWidth="1"/>
    <col min="19" max="19" width="3.5" style="332" bestFit="1" customWidth="1"/>
    <col min="20" max="20" width="4.09765625" style="332" bestFit="1" customWidth="1"/>
    <col min="21" max="21" width="6.296875" style="332" bestFit="1" customWidth="1"/>
    <col min="22" max="16384" width="13" style="332"/>
  </cols>
  <sheetData>
    <row r="1" spans="1:21" ht="24" thickTop="1" thickBot="1">
      <c r="A1" s="329" t="s">
        <v>168</v>
      </c>
      <c r="B1" s="330"/>
      <c r="C1" s="330"/>
      <c r="D1" s="330"/>
      <c r="E1" s="331"/>
      <c r="F1" s="332"/>
      <c r="G1" s="333"/>
      <c r="H1" s="334" t="s">
        <v>169</v>
      </c>
      <c r="I1" s="335"/>
      <c r="J1" s="335"/>
      <c r="K1" s="336"/>
      <c r="L1" s="335"/>
      <c r="M1" s="335"/>
      <c r="N1" s="335"/>
      <c r="O1" s="336"/>
      <c r="Q1" s="329" t="s">
        <v>350</v>
      </c>
      <c r="R1" s="330"/>
      <c r="S1" s="330"/>
      <c r="T1" s="330"/>
      <c r="U1" s="331"/>
    </row>
    <row r="2" spans="1:21" ht="17.399999999999999" thickTop="1">
      <c r="A2" s="337" t="s">
        <v>170</v>
      </c>
      <c r="B2" s="338" t="s">
        <v>0</v>
      </c>
      <c r="C2" s="338" t="s">
        <v>353</v>
      </c>
      <c r="D2" s="338" t="s">
        <v>171</v>
      </c>
      <c r="E2" s="339" t="s">
        <v>172</v>
      </c>
      <c r="F2" s="340"/>
      <c r="G2" s="333"/>
      <c r="H2" s="341" t="s">
        <v>173</v>
      </c>
      <c r="I2" s="342"/>
      <c r="J2" s="342"/>
      <c r="K2" s="342"/>
      <c r="L2" s="342"/>
      <c r="M2" s="342"/>
      <c r="N2" s="342"/>
      <c r="O2" s="343"/>
      <c r="Q2" s="337" t="s">
        <v>170</v>
      </c>
      <c r="R2" s="338" t="s">
        <v>0</v>
      </c>
      <c r="S2" s="338" t="s">
        <v>353</v>
      </c>
      <c r="T2" s="338" t="s">
        <v>171</v>
      </c>
      <c r="U2" s="339" t="s">
        <v>172</v>
      </c>
    </row>
    <row r="3" spans="1:21" ht="17.399999999999999" thickBot="1">
      <c r="A3" s="344" t="s">
        <v>184</v>
      </c>
      <c r="B3" s="345">
        <v>0</v>
      </c>
      <c r="C3" s="345">
        <v>0</v>
      </c>
      <c r="D3" s="346">
        <f>10+B3+C3+'Personal File'!$C$14</f>
        <v>12</v>
      </c>
      <c r="E3" s="347" t="s">
        <v>175</v>
      </c>
      <c r="F3" s="340"/>
      <c r="G3" s="333"/>
      <c r="H3" s="348" t="s">
        <v>176</v>
      </c>
      <c r="I3" s="349" t="s">
        <v>177</v>
      </c>
      <c r="J3" s="349" t="s">
        <v>178</v>
      </c>
      <c r="K3" s="349" t="s">
        <v>179</v>
      </c>
      <c r="L3" s="349" t="s">
        <v>180</v>
      </c>
      <c r="M3" s="349" t="s">
        <v>181</v>
      </c>
      <c r="N3" s="349" t="s">
        <v>182</v>
      </c>
      <c r="O3" s="350" t="s">
        <v>183</v>
      </c>
      <c r="Q3" s="344" t="s">
        <v>184</v>
      </c>
      <c r="R3" s="345">
        <v>0</v>
      </c>
      <c r="S3" s="345">
        <v>0</v>
      </c>
      <c r="T3" s="346">
        <f>10+R3+S3+'Personal File'!$C$14</f>
        <v>12</v>
      </c>
      <c r="U3" s="347" t="s">
        <v>175</v>
      </c>
    </row>
    <row r="4" spans="1:21" ht="17.399999999999999" thickTop="1">
      <c r="A4" s="344" t="s">
        <v>234</v>
      </c>
      <c r="B4" s="345">
        <v>0</v>
      </c>
      <c r="C4" s="345">
        <v>0</v>
      </c>
      <c r="D4" s="346">
        <f>10+B4+C4+'Personal File'!$C$14</f>
        <v>12</v>
      </c>
      <c r="E4" s="347" t="s">
        <v>175</v>
      </c>
      <c r="F4" s="340"/>
      <c r="G4" s="351" t="s">
        <v>185</v>
      </c>
      <c r="H4" s="352">
        <v>5</v>
      </c>
      <c r="I4" s="353">
        <v>3</v>
      </c>
      <c r="J4" s="353">
        <v>2</v>
      </c>
      <c r="K4" s="396">
        <v>0</v>
      </c>
      <c r="L4" s="396">
        <v>0</v>
      </c>
      <c r="M4" s="396">
        <v>0</v>
      </c>
      <c r="N4" s="396">
        <v>0</v>
      </c>
      <c r="O4" s="354">
        <v>0</v>
      </c>
      <c r="Q4" s="344" t="s">
        <v>234</v>
      </c>
      <c r="R4" s="345">
        <v>0</v>
      </c>
      <c r="S4" s="345">
        <v>0</v>
      </c>
      <c r="T4" s="346">
        <f>10+R4+S4+'Personal File'!$C$14</f>
        <v>12</v>
      </c>
      <c r="U4" s="347" t="s">
        <v>175</v>
      </c>
    </row>
    <row r="5" spans="1:21">
      <c r="A5" s="344" t="s">
        <v>234</v>
      </c>
      <c r="B5" s="345">
        <v>0</v>
      </c>
      <c r="C5" s="345">
        <v>0</v>
      </c>
      <c r="D5" s="346">
        <f>10+B5+C5+'Personal File'!$C$14</f>
        <v>12</v>
      </c>
      <c r="E5" s="347" t="s">
        <v>175</v>
      </c>
      <c r="F5" s="340"/>
      <c r="G5" s="355" t="s">
        <v>187</v>
      </c>
      <c r="H5" s="356">
        <v>0</v>
      </c>
      <c r="I5" s="357">
        <v>1</v>
      </c>
      <c r="J5" s="357">
        <v>1</v>
      </c>
      <c r="K5" s="397">
        <v>0</v>
      </c>
      <c r="L5" s="397">
        <v>0</v>
      </c>
      <c r="M5" s="397">
        <v>0</v>
      </c>
      <c r="N5" s="397">
        <v>0</v>
      </c>
      <c r="O5" s="358">
        <v>0</v>
      </c>
      <c r="Q5" s="344" t="s">
        <v>234</v>
      </c>
      <c r="R5" s="345">
        <v>0</v>
      </c>
      <c r="S5" s="345">
        <v>0</v>
      </c>
      <c r="T5" s="346">
        <f>10+R5+S5+'Personal File'!$C$14</f>
        <v>12</v>
      </c>
      <c r="U5" s="347" t="s">
        <v>175</v>
      </c>
    </row>
    <row r="6" spans="1:21">
      <c r="A6" s="344" t="s">
        <v>239</v>
      </c>
      <c r="B6" s="345">
        <v>0</v>
      </c>
      <c r="C6" s="345">
        <v>0</v>
      </c>
      <c r="D6" s="346">
        <f>10+B6+C6+'Personal File'!$C$14</f>
        <v>12</v>
      </c>
      <c r="E6" s="347" t="s">
        <v>515</v>
      </c>
      <c r="F6" s="340"/>
      <c r="G6" s="355" t="s">
        <v>189</v>
      </c>
      <c r="H6" s="356">
        <v>0</v>
      </c>
      <c r="I6" s="357">
        <v>1</v>
      </c>
      <c r="J6" s="357">
        <v>1</v>
      </c>
      <c r="K6" s="397">
        <v>1</v>
      </c>
      <c r="L6" s="397">
        <v>1</v>
      </c>
      <c r="M6" s="397">
        <v>1</v>
      </c>
      <c r="N6" s="397">
        <v>1</v>
      </c>
      <c r="O6" s="358">
        <v>0</v>
      </c>
      <c r="Q6" s="344" t="s">
        <v>239</v>
      </c>
      <c r="R6" s="345">
        <v>0</v>
      </c>
      <c r="S6" s="345">
        <v>0</v>
      </c>
      <c r="T6" s="346">
        <f>10+R6+S6+'Personal File'!$C$14</f>
        <v>12</v>
      </c>
      <c r="U6" s="347" t="s">
        <v>175</v>
      </c>
    </row>
    <row r="7" spans="1:21" ht="17.399999999999999" thickBot="1">
      <c r="A7" s="363" t="s">
        <v>186</v>
      </c>
      <c r="B7" s="364">
        <v>0</v>
      </c>
      <c r="C7" s="364">
        <v>0</v>
      </c>
      <c r="D7" s="365">
        <f>10+B7+C7+'Personal File'!$C$14</f>
        <v>12</v>
      </c>
      <c r="E7" s="366" t="s">
        <v>175</v>
      </c>
      <c r="F7" s="340"/>
      <c r="G7" s="359" t="s">
        <v>190</v>
      </c>
      <c r="H7" s="360">
        <f t="shared" ref="H7" si="0">SUM(H4:H6)</f>
        <v>5</v>
      </c>
      <c r="I7" s="361">
        <f>SUM(I4:I6)</f>
        <v>5</v>
      </c>
      <c r="J7" s="361">
        <f>SUM(J4:J6)</f>
        <v>4</v>
      </c>
      <c r="K7" s="398">
        <v>0</v>
      </c>
      <c r="L7" s="398">
        <v>0</v>
      </c>
      <c r="M7" s="398">
        <v>0</v>
      </c>
      <c r="N7" s="398">
        <v>0</v>
      </c>
      <c r="O7" s="362">
        <f t="shared" ref="O7" si="1">SUM(O5:O6)</f>
        <v>0</v>
      </c>
      <c r="Q7" s="363" t="s">
        <v>186</v>
      </c>
      <c r="R7" s="364">
        <v>0</v>
      </c>
      <c r="S7" s="364">
        <v>0</v>
      </c>
      <c r="T7" s="365">
        <f>10+R7+S7+'Personal File'!$C$14</f>
        <v>12</v>
      </c>
      <c r="U7" s="366" t="s">
        <v>175</v>
      </c>
    </row>
    <row r="8" spans="1:21" ht="18" thickTop="1" thickBot="1">
      <c r="A8" s="344" t="s">
        <v>266</v>
      </c>
      <c r="B8" s="345">
        <v>1</v>
      </c>
      <c r="C8" s="345">
        <v>0</v>
      </c>
      <c r="D8" s="346">
        <f>10+B8+C8+'Personal File'!$C$14</f>
        <v>13</v>
      </c>
      <c r="E8" s="347" t="s">
        <v>175</v>
      </c>
      <c r="F8" s="340"/>
      <c r="Q8" s="344" t="s">
        <v>266</v>
      </c>
      <c r="R8" s="345">
        <v>1</v>
      </c>
      <c r="S8" s="345">
        <v>0</v>
      </c>
      <c r="T8" s="346">
        <f>10+R8+S8+'Personal File'!$C$14</f>
        <v>13</v>
      </c>
      <c r="U8" s="347" t="s">
        <v>175</v>
      </c>
    </row>
    <row r="9" spans="1:21" ht="23.4" thickTop="1">
      <c r="A9" s="344" t="s">
        <v>269</v>
      </c>
      <c r="B9" s="345">
        <v>1</v>
      </c>
      <c r="C9" s="345">
        <v>0</v>
      </c>
      <c r="D9" s="346">
        <f>10+B9+C9+'Personal File'!$C$14</f>
        <v>13</v>
      </c>
      <c r="E9" s="347" t="s">
        <v>175</v>
      </c>
      <c r="F9" s="340"/>
      <c r="G9" s="367" t="s">
        <v>193</v>
      </c>
      <c r="H9" s="368"/>
      <c r="I9" s="369"/>
      <c r="K9" s="370"/>
      <c r="Q9" s="344" t="s">
        <v>269</v>
      </c>
      <c r="R9" s="345">
        <v>1</v>
      </c>
      <c r="S9" s="345">
        <v>0</v>
      </c>
      <c r="T9" s="346">
        <f>10+R9+S9+'Personal File'!$C$14</f>
        <v>13</v>
      </c>
      <c r="U9" s="347" t="s">
        <v>175</v>
      </c>
    </row>
    <row r="10" spans="1:21" ht="17.399999999999999" thickBot="1">
      <c r="A10" s="344" t="s">
        <v>192</v>
      </c>
      <c r="B10" s="345">
        <v>1</v>
      </c>
      <c r="C10" s="345">
        <v>0</v>
      </c>
      <c r="D10" s="346">
        <f>10+B10+C10+'Personal File'!$C$14</f>
        <v>13</v>
      </c>
      <c r="E10" s="347" t="s">
        <v>175</v>
      </c>
      <c r="F10" s="340"/>
      <c r="G10" s="371"/>
      <c r="H10" s="372" t="s">
        <v>195</v>
      </c>
      <c r="I10" s="373">
        <f>'Personal File'!E4</f>
        <v>4</v>
      </c>
      <c r="Q10" s="344" t="s">
        <v>192</v>
      </c>
      <c r="R10" s="345">
        <v>1</v>
      </c>
      <c r="S10" s="345">
        <v>0</v>
      </c>
      <c r="T10" s="346">
        <f>10+R10+S10+'Personal File'!$C$14</f>
        <v>13</v>
      </c>
      <c r="U10" s="347" t="s">
        <v>175</v>
      </c>
    </row>
    <row r="11" spans="1:21" ht="17.399999999999999" thickTop="1">
      <c r="A11" s="514" t="s">
        <v>194</v>
      </c>
      <c r="B11" s="345">
        <v>1</v>
      </c>
      <c r="C11" s="345">
        <v>0</v>
      </c>
      <c r="D11" s="346">
        <f>10+B11+C11+'Personal File'!$C$14</f>
        <v>13</v>
      </c>
      <c r="E11" s="347" t="s">
        <v>175</v>
      </c>
      <c r="F11" s="340"/>
      <c r="G11" s="374"/>
      <c r="H11" s="375" t="s">
        <v>196</v>
      </c>
      <c r="I11" s="376">
        <f t="shared" ref="I11" ca="1" si="2">RANDBETWEEN(1,20)</f>
        <v>11</v>
      </c>
      <c r="Q11" s="514" t="s">
        <v>194</v>
      </c>
      <c r="R11" s="345">
        <v>1</v>
      </c>
      <c r="S11" s="345">
        <v>0</v>
      </c>
      <c r="T11" s="346">
        <f>10+R11+S11+'Personal File'!$C$14</f>
        <v>13</v>
      </c>
      <c r="U11" s="347" t="s">
        <v>175</v>
      </c>
    </row>
    <row r="12" spans="1:21">
      <c r="A12" s="363" t="s">
        <v>506</v>
      </c>
      <c r="B12" s="364">
        <v>1</v>
      </c>
      <c r="C12" s="364">
        <v>0</v>
      </c>
      <c r="D12" s="365">
        <f>10+B12+C12+'Personal File'!$C$14</f>
        <v>13</v>
      </c>
      <c r="E12" s="366" t="s">
        <v>175</v>
      </c>
      <c r="F12" s="340"/>
      <c r="G12" s="377"/>
      <c r="H12" s="372" t="s">
        <v>198</v>
      </c>
      <c r="I12" s="378">
        <f ca="1">I11+'Personal File'!C15+'Personal File'!E4+2</f>
        <v>18</v>
      </c>
      <c r="Q12" s="363" t="s">
        <v>506</v>
      </c>
      <c r="R12" s="364">
        <v>1</v>
      </c>
      <c r="S12" s="364">
        <v>0</v>
      </c>
      <c r="T12" s="365">
        <f>10+R12+S12+'Personal File'!$C$14</f>
        <v>13</v>
      </c>
      <c r="U12" s="366" t="s">
        <v>175</v>
      </c>
    </row>
    <row r="13" spans="1:21">
      <c r="A13" s="344" t="s">
        <v>425</v>
      </c>
      <c r="B13" s="345">
        <v>2</v>
      </c>
      <c r="C13" s="345">
        <v>0</v>
      </c>
      <c r="D13" s="346">
        <f>10+B13+C13+'Personal File'!$C$14</f>
        <v>14</v>
      </c>
      <c r="E13" s="347" t="s">
        <v>175</v>
      </c>
      <c r="F13" s="340"/>
      <c r="G13" s="379"/>
      <c r="H13" s="380" t="s">
        <v>200</v>
      </c>
      <c r="I13" s="381">
        <f ca="1">RANDBETWEEN(1,6)+RANDBETWEEN(1,6)</f>
        <v>6</v>
      </c>
      <c r="Q13" s="344" t="s">
        <v>390</v>
      </c>
      <c r="R13" s="345">
        <v>2</v>
      </c>
      <c r="S13" s="345">
        <v>0</v>
      </c>
      <c r="T13" s="346">
        <f>10+R13+S13+'Personal File'!$C$14</f>
        <v>14</v>
      </c>
      <c r="U13" s="347" t="s">
        <v>175</v>
      </c>
    </row>
    <row r="14" spans="1:21" ht="17.399999999999999" thickBot="1">
      <c r="A14" s="344" t="s">
        <v>455</v>
      </c>
      <c r="B14" s="345">
        <v>2</v>
      </c>
      <c r="C14" s="345">
        <v>0</v>
      </c>
      <c r="D14" s="346">
        <f>10+B14+C14+'Personal File'!$C$14</f>
        <v>14</v>
      </c>
      <c r="E14" s="347" t="s">
        <v>175</v>
      </c>
      <c r="F14" s="340"/>
      <c r="G14" s="382"/>
      <c r="H14" s="383" t="s">
        <v>202</v>
      </c>
      <c r="I14" s="384">
        <f ca="1">I10+'Personal File'!C15+I13</f>
        <v>11</v>
      </c>
      <c r="Q14" s="344" t="s">
        <v>437</v>
      </c>
      <c r="R14" s="345">
        <v>2</v>
      </c>
      <c r="S14" s="345">
        <v>0</v>
      </c>
      <c r="T14" s="346">
        <f>10+R14+S14+'Personal File'!$C$14</f>
        <v>14</v>
      </c>
      <c r="U14" s="347" t="s">
        <v>175</v>
      </c>
    </row>
    <row r="15" spans="1:21">
      <c r="A15" s="514" t="s">
        <v>457</v>
      </c>
      <c r="B15" s="345">
        <v>2</v>
      </c>
      <c r="C15" s="345">
        <v>0</v>
      </c>
      <c r="D15" s="346">
        <f>10+B15+C15+'Personal File'!$C$14</f>
        <v>14</v>
      </c>
      <c r="E15" s="347" t="s">
        <v>175</v>
      </c>
      <c r="F15" s="340"/>
      <c r="G15" s="385"/>
      <c r="H15" s="386" t="s">
        <v>204</v>
      </c>
      <c r="I15" s="513">
        <f>3+'Personal File'!C15</f>
        <v>4</v>
      </c>
      <c r="Q15" s="344" t="s">
        <v>425</v>
      </c>
      <c r="R15" s="345">
        <v>2</v>
      </c>
      <c r="S15" s="345">
        <v>0</v>
      </c>
      <c r="T15" s="346">
        <f>10+R15+S15+'Personal File'!$C$14</f>
        <v>14</v>
      </c>
      <c r="U15" s="347" t="s">
        <v>175</v>
      </c>
    </row>
    <row r="16" spans="1:21" ht="17.399999999999999" thickBot="1">
      <c r="A16" s="534" t="s">
        <v>457</v>
      </c>
      <c r="B16" s="399">
        <v>2</v>
      </c>
      <c r="C16" s="399">
        <v>0</v>
      </c>
      <c r="D16" s="400">
        <f>10+B16+C16+'Personal File'!$C$14</f>
        <v>14</v>
      </c>
      <c r="E16" s="401" t="s">
        <v>175</v>
      </c>
      <c r="G16" s="388"/>
      <c r="H16" s="389" t="s">
        <v>205</v>
      </c>
      <c r="I16" s="390">
        <v>0</v>
      </c>
      <c r="Q16" s="518" t="s">
        <v>457</v>
      </c>
      <c r="R16" s="399">
        <v>2</v>
      </c>
      <c r="S16" s="399">
        <v>0</v>
      </c>
      <c r="T16" s="400">
        <f>10+R16+S16+'Personal File'!$C$14</f>
        <v>14</v>
      </c>
      <c r="U16" s="401" t="s">
        <v>175</v>
      </c>
    </row>
    <row r="17" spans="7:21" ht="17.399999999999999" thickTop="1">
      <c r="Q17" s="395"/>
      <c r="R17" s="395"/>
      <c r="S17" s="395"/>
      <c r="T17" s="395"/>
      <c r="U17" s="387"/>
    </row>
    <row r="18" spans="7:21">
      <c r="G18" s="387"/>
      <c r="J18" s="391" t="s">
        <v>351</v>
      </c>
      <c r="K18" s="449">
        <v>0</v>
      </c>
      <c r="Q18" s="395"/>
      <c r="R18" s="395"/>
      <c r="S18" s="395"/>
      <c r="T18" s="395"/>
      <c r="U18" s="387"/>
    </row>
    <row r="19" spans="7:21">
      <c r="G19" s="387"/>
      <c r="J19" s="391" t="s">
        <v>352</v>
      </c>
      <c r="K19" s="392">
        <f>'Personal File'!$E$4</f>
        <v>4</v>
      </c>
      <c r="Q19" s="395"/>
      <c r="R19" s="395"/>
      <c r="S19" s="395"/>
      <c r="T19" s="395"/>
      <c r="U19" s="387"/>
    </row>
    <row r="20" spans="7:21">
      <c r="J20" s="391" t="s">
        <v>206</v>
      </c>
      <c r="K20" s="392">
        <f>'Personal File'!$E$4</f>
        <v>4</v>
      </c>
      <c r="Q20" s="395"/>
      <c r="R20" s="395"/>
      <c r="S20" s="395"/>
      <c r="T20" s="395"/>
      <c r="U20" s="387"/>
    </row>
    <row r="21" spans="7:21">
      <c r="Q21" s="395"/>
      <c r="R21" s="395"/>
      <c r="S21" s="395"/>
      <c r="T21" s="395"/>
      <c r="U21" s="387"/>
    </row>
    <row r="22" spans="7:21">
      <c r="Q22" s="395"/>
      <c r="R22" s="395"/>
      <c r="S22" s="395"/>
      <c r="T22" s="395"/>
      <c r="U22" s="387"/>
    </row>
    <row r="23" spans="7:21">
      <c r="Q23" s="395"/>
      <c r="R23" s="395"/>
      <c r="S23" s="395"/>
      <c r="T23" s="395"/>
      <c r="U23" s="387"/>
    </row>
    <row r="24" spans="7:21">
      <c r="Q24" s="395"/>
      <c r="R24" s="395"/>
      <c r="S24" s="395"/>
      <c r="T24" s="395"/>
      <c r="U24" s="387"/>
    </row>
    <row r="25" spans="7:21">
      <c r="Q25" s="395"/>
      <c r="R25" s="395"/>
      <c r="S25" s="395"/>
      <c r="T25" s="395"/>
      <c r="U25" s="387"/>
    </row>
    <row r="26" spans="7:21">
      <c r="Q26" s="395"/>
      <c r="R26" s="395"/>
      <c r="S26" s="395"/>
      <c r="T26" s="395"/>
      <c r="U26" s="387"/>
    </row>
    <row r="27" spans="7:21">
      <c r="Q27" s="395"/>
      <c r="R27" s="395"/>
      <c r="S27" s="395"/>
      <c r="T27" s="395"/>
      <c r="U27" s="387"/>
    </row>
    <row r="28" spans="7:21">
      <c r="Q28" s="395"/>
      <c r="R28" s="395"/>
      <c r="S28" s="395"/>
      <c r="T28" s="395"/>
      <c r="U28" s="387"/>
    </row>
    <row r="29" spans="7:21">
      <c r="Q29" s="395"/>
      <c r="R29" s="395"/>
      <c r="S29" s="395"/>
      <c r="T29" s="395"/>
      <c r="U29" s="387"/>
    </row>
    <row r="30" spans="7:21">
      <c r="Q30" s="395"/>
      <c r="R30" s="395"/>
      <c r="S30" s="395"/>
      <c r="T30" s="395"/>
      <c r="U30" s="387"/>
    </row>
    <row r="31" spans="7:21">
      <c r="Q31" s="395"/>
      <c r="R31" s="395"/>
      <c r="S31" s="395"/>
      <c r="T31" s="395"/>
      <c r="U31" s="387"/>
    </row>
    <row r="32" spans="7:21">
      <c r="Q32" s="395"/>
      <c r="R32" s="395"/>
      <c r="S32" s="395"/>
      <c r="T32" s="395"/>
      <c r="U32" s="387"/>
    </row>
    <row r="33" spans="1:21">
      <c r="Q33" s="395"/>
      <c r="R33" s="395"/>
      <c r="S33" s="395"/>
      <c r="T33" s="395"/>
      <c r="U33" s="387"/>
    </row>
    <row r="34" spans="1:21">
      <c r="Q34" s="395"/>
      <c r="R34" s="395"/>
      <c r="S34" s="395"/>
      <c r="T34" s="395"/>
      <c r="U34" s="387"/>
    </row>
    <row r="35" spans="1:21">
      <c r="Q35" s="395"/>
      <c r="R35" s="395"/>
      <c r="S35" s="395"/>
      <c r="T35" s="395"/>
      <c r="U35" s="387"/>
    </row>
    <row r="36" spans="1:21">
      <c r="Q36" s="395"/>
      <c r="R36" s="395"/>
      <c r="S36" s="395"/>
      <c r="T36" s="395"/>
      <c r="U36" s="387"/>
    </row>
    <row r="37" spans="1:21">
      <c r="Q37" s="395"/>
      <c r="R37" s="395"/>
      <c r="S37" s="395"/>
      <c r="T37" s="395"/>
      <c r="U37" s="387"/>
    </row>
    <row r="38" spans="1:21" s="394" customFormat="1">
      <c r="A38" s="395"/>
      <c r="B38" s="395"/>
      <c r="C38" s="395"/>
      <c r="D38" s="395"/>
      <c r="E38" s="387"/>
      <c r="F38" s="393"/>
      <c r="Q38" s="395"/>
      <c r="R38" s="395"/>
      <c r="S38" s="395"/>
      <c r="T38" s="395"/>
      <c r="U38" s="387"/>
    </row>
  </sheetData>
  <sortState xmlns:xlrd2="http://schemas.microsoft.com/office/spreadsheetml/2017/richdata2" ref="A3:E16">
    <sortCondition ref="B3:B16"/>
    <sortCondition ref="A3:A16"/>
  </sortState>
  <conditionalFormatting sqref="E3 E6:E8 E15:E16 E10:E13">
    <cfRule type="cellIs" dxfId="15" priority="14" operator="equal">
      <formula>"þ"</formula>
    </cfRule>
  </conditionalFormatting>
  <conditionalFormatting sqref="E4">
    <cfRule type="cellIs" dxfId="14" priority="6" operator="equal">
      <formula>"þ"</formula>
    </cfRule>
  </conditionalFormatting>
  <conditionalFormatting sqref="E5">
    <cfRule type="cellIs" dxfId="13" priority="10" operator="equal">
      <formula>"þ"</formula>
    </cfRule>
  </conditionalFormatting>
  <conditionalFormatting sqref="U5">
    <cfRule type="cellIs" dxfId="12" priority="4" operator="equal">
      <formula>"þ"</formula>
    </cfRule>
  </conditionalFormatting>
  <conditionalFormatting sqref="E14">
    <cfRule type="cellIs" dxfId="11" priority="8" operator="equal">
      <formula>"þ"</formula>
    </cfRule>
  </conditionalFormatting>
  <conditionalFormatting sqref="E9">
    <cfRule type="cellIs" dxfId="10" priority="7" operator="equal">
      <formula>"þ"</formula>
    </cfRule>
  </conditionalFormatting>
  <conditionalFormatting sqref="U3 U6:U8 U15:U16 U10:U13">
    <cfRule type="cellIs" dxfId="9" priority="5" operator="equal">
      <formula>"þ"</formula>
    </cfRule>
  </conditionalFormatting>
  <conditionalFormatting sqref="U14">
    <cfRule type="cellIs" dxfId="8" priority="3" operator="equal">
      <formula>"þ"</formula>
    </cfRule>
  </conditionalFormatting>
  <conditionalFormatting sqref="U9">
    <cfRule type="cellIs" dxfId="7" priority="2" operator="equal">
      <formula>"þ"</formula>
    </cfRule>
  </conditionalFormatting>
  <conditionalFormatting sqref="U4">
    <cfRule type="cellIs" dxfId="6" priority="1" operator="equal">
      <formula>"þ"</formula>
    </cfRule>
  </conditionalFormatting>
  <printOptions gridLinesSet="0"/>
  <pageMargins left="0.62" right="0.33" top="0.5" bottom="0.63" header="0.5" footer="0.5"/>
  <pageSetup orientation="portrait" horizontalDpi="120" verticalDpi="144" r:id="rId1"/>
  <headerFooter alignWithMargins="0"/>
  <ignoredErrors>
    <ignoredError sqref="O7" formulaRange="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0"/>
  <sheetViews>
    <sheetView showGridLines="0" workbookViewId="0"/>
  </sheetViews>
  <sheetFormatPr defaultColWidth="13" defaultRowHeight="16.8"/>
  <cols>
    <col min="1" max="1" width="34" style="43" bestFit="1" customWidth="1"/>
    <col min="2" max="2" width="2.69921875" style="43" customWidth="1"/>
    <col min="3" max="3" width="32.296875" style="43" bestFit="1" customWidth="1"/>
    <col min="4" max="16384" width="13" style="43"/>
  </cols>
  <sheetData>
    <row r="1" spans="1:3" ht="24" thickTop="1" thickBot="1">
      <c r="A1" s="59" t="s">
        <v>72</v>
      </c>
      <c r="C1" s="402" t="s">
        <v>162</v>
      </c>
    </row>
    <row r="2" spans="1:3">
      <c r="A2" s="60" t="s">
        <v>130</v>
      </c>
      <c r="C2" s="322" t="s">
        <v>498</v>
      </c>
    </row>
    <row r="3" spans="1:3">
      <c r="A3" s="171" t="s">
        <v>144</v>
      </c>
      <c r="C3" s="323" t="s">
        <v>165</v>
      </c>
    </row>
    <row r="4" spans="1:3">
      <c r="A4" s="61" t="s">
        <v>492</v>
      </c>
      <c r="C4" s="322" t="s">
        <v>163</v>
      </c>
    </row>
    <row r="5" spans="1:3">
      <c r="A5" s="519" t="s">
        <v>359</v>
      </c>
      <c r="C5" s="324" t="str">
        <f>CONCATENATE("Smite Evil 1/day, ",'Personal File'!C15," Att, +",'Personal File'!E3," Dmg")</f>
        <v>Smite Evil 1/day, +1 Att, +2 Dmg</v>
      </c>
    </row>
    <row r="6" spans="1:3" ht="17.399999999999999" thickBot="1">
      <c r="A6" s="520" t="s">
        <v>507</v>
      </c>
      <c r="C6" s="450" t="s">
        <v>367</v>
      </c>
    </row>
    <row r="7" spans="1:3" ht="18" thickTop="1" thickBot="1">
      <c r="A7" s="16"/>
      <c r="C7" s="170" t="str">
        <f>CONCATENATE("Lay on Hands, ",('Personal File'!E3*'Personal File'!C15)," hps")</f>
        <v>Lay on Hands, 2 hps</v>
      </c>
    </row>
    <row r="8" spans="1:3" ht="24" thickTop="1" thickBot="1">
      <c r="A8" s="152" t="s">
        <v>70</v>
      </c>
    </row>
    <row r="9" spans="1:3" ht="24" thickTop="1" thickBot="1">
      <c r="A9" s="62" t="s">
        <v>134</v>
      </c>
      <c r="C9" s="325" t="s">
        <v>207</v>
      </c>
    </row>
    <row r="10" spans="1:3" ht="17.399999999999999" thickBot="1">
      <c r="A10" s="63" t="s">
        <v>133</v>
      </c>
      <c r="C10" s="170" t="s">
        <v>164</v>
      </c>
    </row>
    <row r="11" spans="1:3" ht="18" thickTop="1" thickBot="1">
      <c r="A11" s="16"/>
    </row>
    <row r="12" spans="1:3" ht="24" thickTop="1" thickBot="1">
      <c r="A12" s="153" t="s">
        <v>58</v>
      </c>
      <c r="C12" s="403" t="s">
        <v>166</v>
      </c>
    </row>
    <row r="13" spans="1:3" ht="17.399999999999999" thickBot="1">
      <c r="A13" s="64" t="s">
        <v>131</v>
      </c>
      <c r="C13" s="326" t="s">
        <v>347</v>
      </c>
    </row>
    <row r="14" spans="1:3" ht="17.399999999999999" thickTop="1">
      <c r="C14" s="327" t="s">
        <v>348</v>
      </c>
    </row>
    <row r="15" spans="1:3">
      <c r="C15" s="326" t="s">
        <v>167</v>
      </c>
    </row>
    <row r="16" spans="1:3" ht="17.399999999999999" thickBot="1">
      <c r="C16" s="328" t="s">
        <v>349</v>
      </c>
    </row>
    <row r="17" spans="1:1" ht="17.399999999999999" thickTop="1"/>
    <row r="19" spans="1:1" s="300" customFormat="1">
      <c r="A19" s="43"/>
    </row>
    <row r="20" spans="1:1">
      <c r="A20" s="300"/>
    </row>
  </sheetData>
  <sortState xmlns:xlrd2="http://schemas.microsoft.com/office/spreadsheetml/2017/richdata2" ref="C2:C8">
    <sortCondition ref="C2:C8"/>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5"/>
  <sheetViews>
    <sheetView showGridLines="0" workbookViewId="0"/>
  </sheetViews>
  <sheetFormatPr defaultColWidth="13" defaultRowHeight="15.6"/>
  <cols>
    <col min="1" max="1" width="27.09765625" style="66" bestFit="1" customWidth="1"/>
    <col min="2" max="2" width="9.296875" style="66" bestFit="1" customWidth="1"/>
    <col min="3" max="3" width="5.09765625" style="66" bestFit="1" customWidth="1"/>
    <col min="4" max="4" width="6.296875" style="66" bestFit="1" customWidth="1"/>
    <col min="5" max="5" width="8.09765625" style="66" bestFit="1" customWidth="1"/>
    <col min="6" max="6" width="9.8984375" style="66" bestFit="1" customWidth="1"/>
    <col min="7" max="7" width="4.3984375" style="66" bestFit="1" customWidth="1"/>
    <col min="8" max="8" width="4.69921875" style="66" bestFit="1" customWidth="1"/>
    <col min="9" max="9" width="5.69921875" style="66" bestFit="1" customWidth="1"/>
    <col min="10" max="10" width="6.296875" style="66" bestFit="1" customWidth="1"/>
    <col min="11" max="11" width="20.59765625" style="66" bestFit="1" customWidth="1"/>
    <col min="12" max="12" width="1.3984375" style="7" customWidth="1"/>
    <col min="13" max="13" width="5.796875" style="7" bestFit="1" customWidth="1"/>
    <col min="14" max="16384" width="13" style="7"/>
  </cols>
  <sheetData>
    <row r="1" spans="1:13" ht="23.4" thickBot="1">
      <c r="A1" s="58" t="s">
        <v>15</v>
      </c>
      <c r="B1" s="58"/>
      <c r="C1" s="58"/>
      <c r="D1" s="58"/>
      <c r="E1" s="58"/>
      <c r="F1" s="58"/>
      <c r="G1" s="58"/>
      <c r="H1" s="58"/>
      <c r="I1" s="58"/>
      <c r="J1" s="58"/>
      <c r="K1" s="58"/>
    </row>
    <row r="2" spans="1:13" ht="16.8" thickTop="1" thickBot="1">
      <c r="A2" s="95" t="s">
        <v>1</v>
      </c>
      <c r="B2" s="96" t="s">
        <v>2</v>
      </c>
      <c r="C2" s="96" t="s">
        <v>18</v>
      </c>
      <c r="D2" s="96" t="s">
        <v>19</v>
      </c>
      <c r="E2" s="97" t="s">
        <v>52</v>
      </c>
      <c r="F2" s="96" t="s">
        <v>16</v>
      </c>
      <c r="G2" s="96" t="s">
        <v>20</v>
      </c>
      <c r="H2" s="98" t="s">
        <v>71</v>
      </c>
      <c r="I2" s="99" t="s">
        <v>73</v>
      </c>
      <c r="J2" s="98" t="s">
        <v>64</v>
      </c>
      <c r="K2" s="100" t="s">
        <v>62</v>
      </c>
      <c r="L2" s="138"/>
      <c r="M2" s="124" t="s">
        <v>80</v>
      </c>
    </row>
    <row r="3" spans="1:13">
      <c r="A3" s="480" t="s">
        <v>499</v>
      </c>
      <c r="B3" s="481" t="s">
        <v>368</v>
      </c>
      <c r="C3" s="481" t="str">
        <f>CONCATENATE("+",'Personal File'!$C$10*1.5,"+1")</f>
        <v>+3+1</v>
      </c>
      <c r="D3" s="481">
        <f>1+1-1</f>
        <v>1</v>
      </c>
      <c r="E3" s="482" t="s">
        <v>82</v>
      </c>
      <c r="F3" s="481" t="s">
        <v>117</v>
      </c>
      <c r="G3" s="483">
        <v>6</v>
      </c>
      <c r="H3" s="481" t="str">
        <f>CONCATENATE("+",'Personal File'!$B$8+'Personal File'!$C$10+D3)</f>
        <v>+8</v>
      </c>
      <c r="I3" s="484">
        <f t="shared" ref="I3:I7" ca="1" si="0">RANDBETWEEN(1,20)</f>
        <v>3</v>
      </c>
      <c r="J3" s="485">
        <f t="shared" ref="J3:J6" ca="1" si="1">I3+H3</f>
        <v>11</v>
      </c>
      <c r="K3" s="486"/>
      <c r="L3" s="138"/>
      <c r="M3" s="141">
        <v>335</v>
      </c>
    </row>
    <row r="4" spans="1:13">
      <c r="A4" s="75" t="s">
        <v>500</v>
      </c>
      <c r="B4" s="128" t="s">
        <v>368</v>
      </c>
      <c r="C4" s="128" t="str">
        <f>CONCATENATE('Personal File'!$C$10,"+1")</f>
        <v>+2+1</v>
      </c>
      <c r="D4" s="128">
        <f t="shared" ref="D4" si="2">1+1</f>
        <v>2</v>
      </c>
      <c r="E4" s="487" t="s">
        <v>82</v>
      </c>
      <c r="F4" s="128" t="s">
        <v>117</v>
      </c>
      <c r="G4" s="126">
        <v>6</v>
      </c>
      <c r="H4" s="128" t="str">
        <f>CONCATENATE("+",'Personal File'!$B$8+'Personal File'!$C$10+D4)</f>
        <v>+9</v>
      </c>
      <c r="I4" s="137">
        <f t="shared" ca="1" si="0"/>
        <v>9</v>
      </c>
      <c r="J4" s="129">
        <f t="shared" ref="J4" ca="1" si="3">I4+H4</f>
        <v>18</v>
      </c>
      <c r="K4" s="488"/>
      <c r="L4" s="138"/>
      <c r="M4" s="489" t="s">
        <v>83</v>
      </c>
    </row>
    <row r="5" spans="1:13">
      <c r="A5" s="473" t="s">
        <v>373</v>
      </c>
      <c r="B5" s="474" t="s">
        <v>370</v>
      </c>
      <c r="C5" s="507" t="s">
        <v>371</v>
      </c>
      <c r="D5" s="508" t="s">
        <v>372</v>
      </c>
      <c r="E5" s="509" t="s">
        <v>83</v>
      </c>
      <c r="F5" s="509" t="s">
        <v>83</v>
      </c>
      <c r="G5" s="510"/>
      <c r="H5" s="510" t="s">
        <v>83</v>
      </c>
      <c r="I5" s="510"/>
      <c r="J5" s="510" t="s">
        <v>83</v>
      </c>
      <c r="K5" s="511"/>
      <c r="L5" s="319"/>
      <c r="M5" s="490">
        <v>500</v>
      </c>
    </row>
    <row r="6" spans="1:13">
      <c r="A6" s="452" t="s">
        <v>85</v>
      </c>
      <c r="B6" s="453" t="s">
        <v>86</v>
      </c>
      <c r="C6" s="454" t="str">
        <f>'Personal File'!$C$10</f>
        <v>+2</v>
      </c>
      <c r="D6" s="455" t="s">
        <v>50</v>
      </c>
      <c r="E6" s="455" t="s">
        <v>84</v>
      </c>
      <c r="F6" s="456" t="s">
        <v>87</v>
      </c>
      <c r="G6" s="457">
        <v>0</v>
      </c>
      <c r="H6" s="458" t="str">
        <f>CONCATENATE("+",'Personal File'!$B$8+'Personal File'!$C$10+D6)</f>
        <v>+7</v>
      </c>
      <c r="I6" s="451">
        <f t="shared" ca="1" si="0"/>
        <v>4</v>
      </c>
      <c r="J6" s="459">
        <f t="shared" ca="1" si="1"/>
        <v>11</v>
      </c>
      <c r="K6" s="460"/>
      <c r="L6" s="138"/>
      <c r="M6" s="479" t="s">
        <v>83</v>
      </c>
    </row>
    <row r="7" spans="1:13" ht="16.2" thickBot="1">
      <c r="A7" s="146" t="s">
        <v>504</v>
      </c>
      <c r="B7" s="147" t="s">
        <v>501</v>
      </c>
      <c r="C7" s="147">
        <f>ROUNDDOWN(SUM('Personal File'!$E$3:$E$4)/3,0)</f>
        <v>2</v>
      </c>
      <c r="D7" s="147">
        <v>0</v>
      </c>
      <c r="E7" s="148" t="s">
        <v>82</v>
      </c>
      <c r="F7" s="147" t="s">
        <v>117</v>
      </c>
      <c r="G7" s="149">
        <v>0</v>
      </c>
      <c r="H7" s="147" t="str">
        <f>CONCATENATE("+",'Personal File'!$B$8+'Personal File'!$C$14+D7)</f>
        <v>+7</v>
      </c>
      <c r="I7" s="113">
        <f t="shared" ca="1" si="0"/>
        <v>2</v>
      </c>
      <c r="J7" s="150">
        <f t="shared" ref="J7" ca="1" si="4">(I7+H7)</f>
        <v>9</v>
      </c>
      <c r="K7" s="151"/>
      <c r="M7" s="465" t="s">
        <v>83</v>
      </c>
    </row>
    <row r="8" spans="1:13" ht="6" customHeight="1" thickTop="1" thickBot="1"/>
    <row r="9" spans="1:13" ht="16.8" thickTop="1" thickBot="1">
      <c r="A9" s="95" t="s">
        <v>4</v>
      </c>
      <c r="B9" s="96" t="s">
        <v>5</v>
      </c>
      <c r="C9" s="96" t="s">
        <v>18</v>
      </c>
      <c r="D9" s="96" t="s">
        <v>19</v>
      </c>
      <c r="E9" s="97" t="s">
        <v>52</v>
      </c>
      <c r="F9" s="96" t="s">
        <v>6</v>
      </c>
      <c r="G9" s="96" t="s">
        <v>20</v>
      </c>
      <c r="H9" s="98" t="s">
        <v>71</v>
      </c>
      <c r="I9" s="99" t="s">
        <v>73</v>
      </c>
      <c r="J9" s="98" t="s">
        <v>64</v>
      </c>
      <c r="K9" s="100" t="s">
        <v>62</v>
      </c>
      <c r="M9" s="124" t="s">
        <v>80</v>
      </c>
    </row>
    <row r="10" spans="1:13">
      <c r="A10" s="473" t="s">
        <v>354</v>
      </c>
      <c r="B10" s="474" t="s">
        <v>501</v>
      </c>
      <c r="C10" s="475" t="str">
        <f>'Personal File'!$C$10</f>
        <v>+2</v>
      </c>
      <c r="D10" s="476" t="s">
        <v>50</v>
      </c>
      <c r="E10" s="474" t="s">
        <v>135</v>
      </c>
      <c r="F10" s="476" t="s">
        <v>355</v>
      </c>
      <c r="G10" s="477">
        <v>3</v>
      </c>
      <c r="H10" s="462" t="str">
        <f>CONCATENATE("+",'Personal File'!$B$8+'Personal File'!$C$11+D10)</f>
        <v>+6</v>
      </c>
      <c r="I10" s="463">
        <f ca="1">RANDBETWEEN(1,20)</f>
        <v>18</v>
      </c>
      <c r="J10" s="464">
        <f ca="1">I10+H10</f>
        <v>24</v>
      </c>
      <c r="K10" s="515" t="s">
        <v>503</v>
      </c>
      <c r="M10" s="478">
        <f>100+300+200</f>
        <v>600</v>
      </c>
    </row>
    <row r="11" spans="1:13" ht="16.2" thickBot="1">
      <c r="A11" s="466" t="s">
        <v>91</v>
      </c>
      <c r="B11" s="467" t="s">
        <v>83</v>
      </c>
      <c r="C11" s="467" t="s">
        <v>83</v>
      </c>
      <c r="D11" s="467">
        <v>0</v>
      </c>
      <c r="E11" s="468" t="s">
        <v>83</v>
      </c>
      <c r="F11" s="467" t="s">
        <v>83</v>
      </c>
      <c r="G11" s="467" t="s">
        <v>83</v>
      </c>
      <c r="H11" s="467" t="str">
        <f>CONCATENATE("+",'Personal File'!$B$8+'Personal File'!$C$11+D11)</f>
        <v>+6</v>
      </c>
      <c r="I11" s="469">
        <f ca="1">RANDBETWEEN(1,20)</f>
        <v>12</v>
      </c>
      <c r="J11" s="470">
        <f ca="1">I11+H11</f>
        <v>18</v>
      </c>
      <c r="K11" s="471"/>
      <c r="M11" s="472" t="s">
        <v>83</v>
      </c>
    </row>
    <row r="12" spans="1:13" ht="6" customHeight="1" thickTop="1" thickBot="1">
      <c r="D12" s="101"/>
      <c r="E12" s="101"/>
      <c r="G12" s="94"/>
      <c r="H12" s="94"/>
      <c r="I12" s="94"/>
      <c r="J12" s="94"/>
      <c r="L12" s="138"/>
    </row>
    <row r="13" spans="1:13" ht="16.8" thickTop="1" thickBot="1">
      <c r="A13" s="95" t="s">
        <v>56</v>
      </c>
      <c r="B13" s="96" t="s">
        <v>9</v>
      </c>
      <c r="C13" s="96" t="s">
        <v>23</v>
      </c>
      <c r="D13" s="96" t="s">
        <v>64</v>
      </c>
      <c r="E13" s="96" t="s">
        <v>65</v>
      </c>
      <c r="F13" s="96" t="s">
        <v>66</v>
      </c>
      <c r="G13" s="96" t="s">
        <v>20</v>
      </c>
      <c r="H13" s="102" t="s">
        <v>62</v>
      </c>
      <c r="I13" s="103"/>
      <c r="J13" s="103"/>
      <c r="K13" s="104"/>
      <c r="L13" s="138"/>
      <c r="M13" s="124" t="s">
        <v>80</v>
      </c>
    </row>
    <row r="14" spans="1:13">
      <c r="A14" s="71" t="s">
        <v>508</v>
      </c>
      <c r="B14" s="115">
        <v>9</v>
      </c>
      <c r="C14" s="114">
        <v>1</v>
      </c>
      <c r="D14" s="115">
        <v>-5</v>
      </c>
      <c r="E14" s="116">
        <v>0.35</v>
      </c>
      <c r="F14" s="114" t="s">
        <v>142</v>
      </c>
      <c r="G14" s="117">
        <v>50</v>
      </c>
      <c r="H14" s="118" t="s">
        <v>138</v>
      </c>
      <c r="I14" s="105"/>
      <c r="J14" s="105"/>
      <c r="K14" s="106"/>
      <c r="M14" s="140">
        <v>2200</v>
      </c>
    </row>
    <row r="15" spans="1:13">
      <c r="A15" s="500" t="s">
        <v>495</v>
      </c>
      <c r="B15" s="501" t="s">
        <v>83</v>
      </c>
      <c r="C15" s="501" t="s">
        <v>83</v>
      </c>
      <c r="D15" s="461" t="s">
        <v>83</v>
      </c>
      <c r="E15" s="502" t="s">
        <v>83</v>
      </c>
      <c r="F15" s="461" t="s">
        <v>83</v>
      </c>
      <c r="G15" s="462">
        <v>0</v>
      </c>
      <c r="H15" s="503"/>
      <c r="I15" s="504"/>
      <c r="J15" s="504"/>
      <c r="K15" s="505"/>
      <c r="M15" s="478">
        <v>200</v>
      </c>
    </row>
    <row r="16" spans="1:13">
      <c r="A16" s="521" t="s">
        <v>502</v>
      </c>
      <c r="B16" s="522">
        <f>1+1</f>
        <v>2</v>
      </c>
      <c r="C16" s="522" t="s">
        <v>83</v>
      </c>
      <c r="D16" s="523" t="s">
        <v>83</v>
      </c>
      <c r="E16" s="524" t="s">
        <v>83</v>
      </c>
      <c r="F16" s="523" t="s">
        <v>83</v>
      </c>
      <c r="G16" s="525">
        <v>2.5</v>
      </c>
      <c r="H16" s="526" t="s">
        <v>138</v>
      </c>
      <c r="I16" s="527"/>
      <c r="J16" s="527"/>
      <c r="K16" s="528"/>
      <c r="M16" s="529">
        <v>2515</v>
      </c>
    </row>
    <row r="17" spans="1:13" ht="16.2" thickBot="1">
      <c r="A17" s="491" t="s">
        <v>509</v>
      </c>
      <c r="B17" s="492"/>
      <c r="C17" s="493" t="s">
        <v>83</v>
      </c>
      <c r="D17" s="492" t="s">
        <v>83</v>
      </c>
      <c r="E17" s="494" t="s">
        <v>83</v>
      </c>
      <c r="F17" s="493" t="s">
        <v>83</v>
      </c>
      <c r="G17" s="495"/>
      <c r="H17" s="496" t="s">
        <v>138</v>
      </c>
      <c r="I17" s="497"/>
      <c r="J17" s="497"/>
      <c r="K17" s="498"/>
      <c r="M17" s="499">
        <v>5000</v>
      </c>
    </row>
    <row r="18" spans="1:13" ht="6.75" customHeight="1" thickTop="1" thickBot="1"/>
    <row r="19" spans="1:13" ht="16.8" thickTop="1" thickBot="1">
      <c r="D19" s="107" t="s">
        <v>57</v>
      </c>
      <c r="E19" s="108"/>
      <c r="F19" s="102" t="s">
        <v>3</v>
      </c>
      <c r="G19" s="96" t="s">
        <v>20</v>
      </c>
      <c r="H19" s="98" t="s">
        <v>71</v>
      </c>
      <c r="I19" s="102" t="s">
        <v>62</v>
      </c>
      <c r="J19" s="103"/>
      <c r="K19" s="104"/>
      <c r="M19" s="124" t="s">
        <v>80</v>
      </c>
    </row>
    <row r="20" spans="1:13" ht="16.2" thickBot="1">
      <c r="D20" s="109" t="s">
        <v>137</v>
      </c>
      <c r="E20" s="119"/>
      <c r="F20" s="120">
        <v>20</v>
      </c>
      <c r="G20" s="121">
        <f>F20/20</f>
        <v>1</v>
      </c>
      <c r="H20" s="122" t="s">
        <v>79</v>
      </c>
      <c r="I20" s="123"/>
      <c r="J20" s="110"/>
      <c r="K20" s="111"/>
      <c r="M20" s="303">
        <f>F20/20</f>
        <v>1</v>
      </c>
    </row>
    <row r="21" spans="1:13" ht="16.8" thickTop="1" thickBot="1"/>
    <row r="22" spans="1:13" ht="16.8" thickTop="1" thickBot="1">
      <c r="D22" s="107" t="s">
        <v>93</v>
      </c>
      <c r="E22" s="103"/>
      <c r="F22" s="103"/>
      <c r="G22" s="103"/>
      <c r="H22" s="154" t="s">
        <v>3</v>
      </c>
      <c r="I22" s="154" t="s">
        <v>0</v>
      </c>
      <c r="J22" s="154" t="s">
        <v>94</v>
      </c>
      <c r="K22" s="104" t="s">
        <v>62</v>
      </c>
      <c r="L22" s="138"/>
      <c r="M22" s="155" t="s">
        <v>80</v>
      </c>
    </row>
    <row r="23" spans="1:13">
      <c r="D23" s="157"/>
      <c r="E23" s="158"/>
      <c r="F23" s="158"/>
      <c r="G23" s="159"/>
      <c r="H23" s="160"/>
      <c r="I23" s="128"/>
      <c r="J23" s="128"/>
      <c r="K23" s="161"/>
      <c r="L23" s="138"/>
      <c r="M23" s="156"/>
    </row>
    <row r="24" spans="1:13" ht="16.2" thickBot="1">
      <c r="D24" s="162"/>
      <c r="E24" s="163"/>
      <c r="F24" s="163"/>
      <c r="G24" s="164"/>
      <c r="H24" s="165"/>
      <c r="I24" s="166"/>
      <c r="J24" s="166"/>
      <c r="K24" s="167"/>
      <c r="L24" s="138"/>
      <c r="M24" s="168"/>
    </row>
    <row r="25" spans="1:13" ht="16.2" thickTop="1"/>
  </sheetData>
  <sortState xmlns:xlrd2="http://schemas.microsoft.com/office/spreadsheetml/2017/richdata2" ref="A2:M3">
    <sortCondition ref="A3"/>
  </sortState>
  <phoneticPr fontId="0" type="noConversion"/>
  <conditionalFormatting sqref="I6:I7 I10:I11">
    <cfRule type="cellIs" dxfId="5" priority="26" operator="equal">
      <formula>20</formula>
    </cfRule>
  </conditionalFormatting>
  <conditionalFormatting sqref="I7 I10">
    <cfRule type="cellIs" dxfId="4" priority="25" operator="equal">
      <formula>19</formula>
    </cfRule>
  </conditionalFormatting>
  <conditionalFormatting sqref="I3:I4">
    <cfRule type="cellIs" dxfId="3" priority="23" operator="equal">
      <formula>20</formula>
    </cfRule>
  </conditionalFormatting>
  <conditionalFormatting sqref="I3:I4 I6:I7 I10:I11">
    <cfRule type="cellIs" dxfId="2" priority="5" operator="equal">
      <formula>1</formula>
    </cfRule>
  </conditionalFormatting>
  <conditionalFormatting sqref="I5">
    <cfRule type="cellIs" dxfId="1" priority="1" operator="greaterThan">
      <formula>17</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
  <sheetViews>
    <sheetView showGridLines="0" workbookViewId="0"/>
  </sheetViews>
  <sheetFormatPr defaultColWidth="7.8984375" defaultRowHeight="15.6"/>
  <cols>
    <col min="1" max="1" width="28.796875" style="66" bestFit="1" customWidth="1"/>
    <col min="2" max="2" width="4.69921875" style="66" bestFit="1" customWidth="1"/>
    <col min="3" max="3" width="5.3984375" style="94" bestFit="1" customWidth="1"/>
    <col min="4" max="5" width="19.296875" style="7" customWidth="1"/>
    <col min="6" max="6" width="1.19921875" style="66" customWidth="1"/>
    <col min="7" max="7" width="8" style="7" bestFit="1" customWidth="1"/>
    <col min="8" max="16384" width="7.8984375" style="7"/>
  </cols>
  <sheetData>
    <row r="1" spans="1:7" ht="23.4" thickBot="1">
      <c r="A1" s="58" t="s">
        <v>59</v>
      </c>
      <c r="B1" s="58"/>
      <c r="C1" s="65"/>
      <c r="D1" s="58"/>
      <c r="E1" s="58"/>
    </row>
    <row r="2" spans="1:7" s="66" customFormat="1" ht="16.8" thickTop="1" thickBot="1">
      <c r="A2" s="67" t="s">
        <v>60</v>
      </c>
      <c r="B2" s="67" t="s">
        <v>3</v>
      </c>
      <c r="C2" s="68" t="s">
        <v>20</v>
      </c>
      <c r="D2" s="69" t="s">
        <v>61</v>
      </c>
      <c r="E2" s="70" t="s">
        <v>62</v>
      </c>
      <c r="F2" s="74"/>
      <c r="G2" s="125" t="s">
        <v>80</v>
      </c>
    </row>
    <row r="3" spans="1:7">
      <c r="A3" s="71" t="s">
        <v>120</v>
      </c>
      <c r="B3" s="91">
        <v>1</v>
      </c>
      <c r="C3" s="135">
        <v>2</v>
      </c>
      <c r="D3" s="72"/>
      <c r="E3" s="73"/>
      <c r="G3" s="130">
        <v>2</v>
      </c>
    </row>
    <row r="4" spans="1:7">
      <c r="A4" s="79" t="s">
        <v>141</v>
      </c>
      <c r="B4" s="80">
        <v>1</v>
      </c>
      <c r="C4" s="81" t="s">
        <v>357</v>
      </c>
      <c r="D4" s="82"/>
      <c r="E4" s="83"/>
      <c r="G4" s="130" t="s">
        <v>358</v>
      </c>
    </row>
    <row r="5" spans="1:7">
      <c r="A5" s="79" t="s">
        <v>356</v>
      </c>
      <c r="B5" s="80">
        <v>1</v>
      </c>
      <c r="C5" s="81">
        <v>0.5</v>
      </c>
      <c r="D5" s="82"/>
      <c r="E5" s="83"/>
      <c r="G5" s="130">
        <v>1</v>
      </c>
    </row>
    <row r="6" spans="1:7">
      <c r="A6" s="79" t="s">
        <v>510</v>
      </c>
      <c r="B6" s="80">
        <v>1</v>
      </c>
      <c r="C6" s="81">
        <v>1</v>
      </c>
      <c r="D6" s="531"/>
      <c r="E6" s="83"/>
      <c r="G6" s="530">
        <v>900</v>
      </c>
    </row>
    <row r="7" spans="1:7" ht="16.2" thickBot="1">
      <c r="A7" s="84" t="s">
        <v>119</v>
      </c>
      <c r="B7" s="145">
        <v>1</v>
      </c>
      <c r="C7" s="86">
        <v>1</v>
      </c>
      <c r="D7" s="87"/>
      <c r="E7" s="88"/>
      <c r="G7" s="131">
        <v>25</v>
      </c>
    </row>
    <row r="8" spans="1:7" ht="24" thickTop="1" thickBot="1">
      <c r="A8" s="58" t="s">
        <v>63</v>
      </c>
      <c r="B8" s="58"/>
      <c r="C8" s="89"/>
      <c r="D8" s="58"/>
      <c r="E8" s="90"/>
      <c r="G8" s="132"/>
    </row>
    <row r="9" spans="1:7" ht="16.8" thickTop="1" thickBot="1">
      <c r="A9" s="67" t="s">
        <v>60</v>
      </c>
      <c r="B9" s="67" t="s">
        <v>3</v>
      </c>
      <c r="C9" s="68" t="s">
        <v>20</v>
      </c>
      <c r="D9" s="69" t="s">
        <v>61</v>
      </c>
      <c r="E9" s="70" t="s">
        <v>62</v>
      </c>
      <c r="F9" s="74"/>
      <c r="G9" s="133" t="s">
        <v>80</v>
      </c>
    </row>
    <row r="10" spans="1:7">
      <c r="A10" s="75" t="s">
        <v>121</v>
      </c>
      <c r="B10" s="179">
        <v>1500</v>
      </c>
      <c r="C10" s="92">
        <f>B10*0.01</f>
        <v>15</v>
      </c>
      <c r="D10" s="77"/>
      <c r="E10" s="78"/>
      <c r="F10" s="74"/>
      <c r="G10" s="130">
        <f>B10</f>
        <v>1500</v>
      </c>
    </row>
    <row r="11" spans="1:7">
      <c r="A11" s="178" t="s">
        <v>122</v>
      </c>
      <c r="B11" s="179">
        <v>1</v>
      </c>
      <c r="C11" s="180">
        <v>5</v>
      </c>
      <c r="D11" s="181"/>
      <c r="E11" s="182"/>
      <c r="F11" s="74"/>
      <c r="G11" s="304">
        <v>0.25</v>
      </c>
    </row>
    <row r="12" spans="1:7">
      <c r="A12" s="183" t="s">
        <v>123</v>
      </c>
      <c r="B12" s="184">
        <v>1</v>
      </c>
      <c r="C12" s="180">
        <f>B12*4</f>
        <v>4</v>
      </c>
      <c r="D12" s="185"/>
      <c r="E12" s="136"/>
      <c r="F12"/>
      <c r="G12" s="186">
        <v>1</v>
      </c>
    </row>
    <row r="13" spans="1:7">
      <c r="A13" s="183" t="s">
        <v>362</v>
      </c>
      <c r="B13" s="184">
        <v>1</v>
      </c>
      <c r="C13" s="180">
        <v>0</v>
      </c>
      <c r="D13" s="185"/>
      <c r="E13" s="136"/>
      <c r="F13"/>
      <c r="G13" s="130">
        <v>1</v>
      </c>
    </row>
    <row r="14" spans="1:7">
      <c r="A14" s="183" t="s">
        <v>139</v>
      </c>
      <c r="B14" s="184">
        <v>1</v>
      </c>
      <c r="C14" s="180">
        <v>1</v>
      </c>
      <c r="D14" s="185"/>
      <c r="E14" s="136"/>
      <c r="F14"/>
      <c r="G14" s="304">
        <v>0.02</v>
      </c>
    </row>
    <row r="15" spans="1:7">
      <c r="A15" s="183" t="s">
        <v>365</v>
      </c>
      <c r="B15" s="184">
        <v>7</v>
      </c>
      <c r="C15" s="180">
        <f>B15</f>
        <v>7</v>
      </c>
      <c r="D15" s="185"/>
      <c r="E15" s="136"/>
      <c r="F15"/>
      <c r="G15" s="304">
        <f>B15*0.05</f>
        <v>0.35000000000000003</v>
      </c>
    </row>
    <row r="16" spans="1:7">
      <c r="A16" s="183" t="s">
        <v>363</v>
      </c>
      <c r="B16" s="184">
        <v>1</v>
      </c>
      <c r="C16" s="180">
        <v>1</v>
      </c>
      <c r="D16" s="185"/>
      <c r="E16" s="136"/>
      <c r="F16"/>
      <c r="G16" s="130">
        <v>110</v>
      </c>
    </row>
    <row r="17" spans="1:7">
      <c r="A17" s="183" t="s">
        <v>364</v>
      </c>
      <c r="B17" s="184">
        <v>1</v>
      </c>
      <c r="C17" s="180">
        <v>6</v>
      </c>
      <c r="D17" s="185"/>
      <c r="E17" s="136"/>
      <c r="F17"/>
      <c r="G17" s="130">
        <v>5</v>
      </c>
    </row>
    <row r="18" spans="1:7">
      <c r="A18" s="183" t="s">
        <v>122</v>
      </c>
      <c r="B18" s="184">
        <v>1</v>
      </c>
      <c r="C18" s="180">
        <v>5</v>
      </c>
      <c r="D18" s="185"/>
      <c r="E18" s="136"/>
      <c r="F18"/>
      <c r="G18" s="304">
        <v>0.05</v>
      </c>
    </row>
    <row r="19" spans="1:7">
      <c r="A19" s="183" t="s">
        <v>124</v>
      </c>
      <c r="B19" s="184">
        <v>1</v>
      </c>
      <c r="C19" s="76">
        <v>0</v>
      </c>
      <c r="D19" s="185"/>
      <c r="E19" s="136"/>
      <c r="F19"/>
      <c r="G19" s="186">
        <v>1</v>
      </c>
    </row>
    <row r="20" spans="1:7">
      <c r="A20" s="183" t="s">
        <v>139</v>
      </c>
      <c r="B20" s="184">
        <v>1</v>
      </c>
      <c r="C20" s="76">
        <v>1</v>
      </c>
      <c r="D20" s="185"/>
      <c r="E20" s="136"/>
      <c r="F20"/>
      <c r="G20" s="305">
        <v>0.02</v>
      </c>
    </row>
    <row r="21" spans="1:7" ht="16.2" thickBot="1">
      <c r="A21" s="84" t="s">
        <v>140</v>
      </c>
      <c r="B21" s="85">
        <v>6</v>
      </c>
      <c r="C21" s="93">
        <f>B21</f>
        <v>6</v>
      </c>
      <c r="D21" s="87"/>
      <c r="E21" s="88"/>
      <c r="F21" s="74"/>
      <c r="G21" s="131">
        <f>B21</f>
        <v>6</v>
      </c>
    </row>
    <row r="22" spans="1:7" ht="16.2" thickTop="1">
      <c r="G22" s="134"/>
    </row>
    <row r="23" spans="1:7">
      <c r="E23" s="48" t="s">
        <v>81</v>
      </c>
      <c r="G23" s="512">
        <f>SUM(G3:G22,Martial!M3:M24)</f>
        <v>13903.69</v>
      </c>
    </row>
    <row r="24" spans="1:7">
      <c r="E24" s="308" t="s">
        <v>494</v>
      </c>
      <c r="F24" s="312"/>
      <c r="G24" s="512">
        <v>13000</v>
      </c>
    </row>
  </sheetData>
  <sortState xmlns:xlrd2="http://schemas.microsoft.com/office/spreadsheetml/2017/richdata2" ref="A8:G20">
    <sortCondition ref="A8:A20"/>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734FD-F9B1-44D6-8C76-25DA4B5E5990}">
  <dimension ref="A1:C17"/>
  <sheetViews>
    <sheetView showGridLines="0" workbookViewId="0"/>
  </sheetViews>
  <sheetFormatPr defaultColWidth="9" defaultRowHeight="15.6"/>
  <cols>
    <col min="1" max="1" width="62.796875" style="12" bestFit="1" customWidth="1"/>
    <col min="2" max="2" width="9.5" style="320" customWidth="1"/>
    <col min="3" max="3" width="6.3984375" style="12" customWidth="1"/>
    <col min="4" max="16384" width="9" style="12"/>
  </cols>
  <sheetData>
    <row r="1" spans="1:3">
      <c r="A1" s="308" t="s">
        <v>146</v>
      </c>
      <c r="B1" s="309" t="str">
        <f>'Personal File'!A1</f>
        <v>Laryssa</v>
      </c>
      <c r="C1" s="310" t="s">
        <v>147</v>
      </c>
    </row>
    <row r="2" spans="1:3">
      <c r="A2" s="311" t="s">
        <v>155</v>
      </c>
      <c r="B2" s="312" t="s">
        <v>148</v>
      </c>
      <c r="C2" s="313">
        <v>0.2</v>
      </c>
    </row>
    <row r="3" spans="1:3">
      <c r="A3" s="311" t="s">
        <v>156</v>
      </c>
      <c r="B3" s="312" t="s">
        <v>160</v>
      </c>
      <c r="C3" s="313">
        <v>0.16</v>
      </c>
    </row>
    <row r="4" spans="1:3">
      <c r="A4" s="311" t="s">
        <v>157</v>
      </c>
      <c r="B4" s="312" t="s">
        <v>148</v>
      </c>
      <c r="C4" s="313">
        <v>0.2</v>
      </c>
    </row>
    <row r="5" spans="1:3">
      <c r="A5" s="311" t="s">
        <v>158</v>
      </c>
      <c r="B5" s="312" t="s">
        <v>160</v>
      </c>
      <c r="C5" s="313">
        <v>0.16</v>
      </c>
    </row>
    <row r="6" spans="1:3">
      <c r="A6" s="311" t="s">
        <v>159</v>
      </c>
      <c r="B6" s="312" t="s">
        <v>160</v>
      </c>
      <c r="C6" s="313">
        <v>0.16</v>
      </c>
    </row>
    <row r="7" spans="1:3">
      <c r="A7" s="308" t="s">
        <v>51</v>
      </c>
      <c r="B7" s="309"/>
      <c r="C7" s="310">
        <f>SUM(C2:C6)</f>
        <v>0.88000000000000012</v>
      </c>
    </row>
    <row r="8" spans="1:3">
      <c r="A8" s="308"/>
      <c r="B8" s="309"/>
      <c r="C8" s="310"/>
    </row>
    <row r="9" spans="1:3">
      <c r="A9" s="308" t="s">
        <v>149</v>
      </c>
      <c r="B9" s="314">
        <v>0</v>
      </c>
      <c r="C9" s="315"/>
    </row>
    <row r="10" spans="1:3">
      <c r="A10" s="308" t="s">
        <v>150</v>
      </c>
      <c r="B10" s="314">
        <v>2000</v>
      </c>
      <c r="C10" s="315"/>
    </row>
    <row r="11" spans="1:3">
      <c r="A11" s="308" t="s">
        <v>151</v>
      </c>
      <c r="B11" s="314">
        <f>IF(B9=0,B10*C7,(B10*C7*(1-(B9/4))))</f>
        <v>1760.0000000000002</v>
      </c>
      <c r="C11" s="315"/>
    </row>
    <row r="12" spans="1:3">
      <c r="A12" s="308" t="s">
        <v>152</v>
      </c>
      <c r="B12" s="316">
        <v>0</v>
      </c>
      <c r="C12" s="317"/>
    </row>
    <row r="13" spans="1:3">
      <c r="A13" s="308" t="s">
        <v>51</v>
      </c>
      <c r="B13" s="318">
        <f>SUM(B11:B12)</f>
        <v>1760.0000000000002</v>
      </c>
      <c r="C13" s="315"/>
    </row>
    <row r="14" spans="1:3">
      <c r="A14" s="308" t="s">
        <v>153</v>
      </c>
      <c r="B14" s="314">
        <v>15000</v>
      </c>
      <c r="C14" s="315"/>
    </row>
    <row r="15" spans="1:3">
      <c r="A15" s="308" t="s">
        <v>154</v>
      </c>
      <c r="B15" s="318">
        <f>SUM(B13:B14)</f>
        <v>16760</v>
      </c>
      <c r="C15" s="315"/>
    </row>
    <row r="17" spans="1:1">
      <c r="A17" s="319"/>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Mayaheine</vt:lpstr>
      <vt:lpstr>Spells</vt:lpstr>
      <vt:lpstr>Feats</vt:lpstr>
      <vt:lpstr>Martial</vt:lpstr>
      <vt:lpstr>Equipment</vt:lpstr>
      <vt:lpstr>XP Awards</vt:lpstr>
      <vt:lpstr>Mayaheine!Print_Area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2020-07-22T11:34:17Z</dcterms:modified>
</cp:coreProperties>
</file>