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595BF1A0-1693-4847-B792-6E493F079022}"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 name="XP Awards" sheetId="21"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File'!$A$1:$H$33</definedName>
    <definedName name="_xlnm.Print_Area" localSheetId="1">Skills!$A$1:$K$27</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5" l="1"/>
  <c r="H37" i="15"/>
  <c r="D37" i="15"/>
  <c r="G37" i="15" s="1"/>
  <c r="I37" i="15" l="1"/>
  <c r="E37" i="15"/>
  <c r="I4" i="6"/>
  <c r="J4" i="6" s="1"/>
  <c r="H4" i="6"/>
  <c r="C4" i="6"/>
  <c r="C8" i="6" l="1"/>
  <c r="B14" i="4" l="1"/>
  <c r="M20" i="6" l="1"/>
  <c r="M21" i="6"/>
  <c r="C33" i="19" l="1"/>
  <c r="B33" i="19" s="1"/>
  <c r="H35" i="15" l="1"/>
  <c r="M16" i="6" l="1"/>
  <c r="G16" i="6"/>
  <c r="I9" i="6"/>
  <c r="H6" i="20" l="1"/>
  <c r="G6" i="20"/>
  <c r="B7" i="4"/>
  <c r="B1" i="21" l="1"/>
  <c r="C7" i="21"/>
  <c r="B11" i="21" s="1"/>
  <c r="B13" i="21" s="1"/>
  <c r="B15" i="21" s="1"/>
  <c r="H29" i="15" l="1"/>
  <c r="H30" i="15"/>
  <c r="H26" i="15"/>
  <c r="H24" i="15"/>
  <c r="H23" i="15"/>
  <c r="H22" i="15"/>
  <c r="H21" i="15"/>
  <c r="H20" i="15"/>
  <c r="A8" i="20" l="1"/>
  <c r="H43" i="15" l="1"/>
  <c r="H42" i="15"/>
  <c r="H41" i="15"/>
  <c r="H40" i="15"/>
  <c r="H39" i="15"/>
  <c r="H38" i="15"/>
  <c r="H36" i="15"/>
  <c r="H34" i="15"/>
  <c r="H33" i="15"/>
  <c r="H32" i="15"/>
  <c r="H31" i="15"/>
  <c r="H28" i="15"/>
  <c r="H27" i="15"/>
  <c r="H25" i="15"/>
  <c r="H19" i="15"/>
  <c r="H18" i="15"/>
  <c r="H17" i="15"/>
  <c r="H15" i="15"/>
  <c r="H14" i="15"/>
  <c r="H13" i="15"/>
  <c r="H12" i="15"/>
  <c r="H11" i="15"/>
  <c r="H10" i="15"/>
  <c r="H9" i="15"/>
  <c r="H8" i="15"/>
  <c r="H7" i="15"/>
  <c r="B5" i="15" l="1"/>
  <c r="B4" i="15"/>
  <c r="B3" i="15"/>
  <c r="B13" i="4" l="1"/>
  <c r="B12" i="4"/>
  <c r="B11" i="4"/>
  <c r="B10" i="4"/>
  <c r="B9" i="4"/>
  <c r="B45" i="15" l="1"/>
  <c r="H3" i="15" l="1"/>
  <c r="H4" i="15"/>
  <c r="H5" i="15"/>
  <c r="M22" i="6" l="1"/>
  <c r="F12" i="6" l="1"/>
  <c r="I8" i="6" l="1"/>
  <c r="G35" i="19" l="1"/>
  <c r="I3" i="6" l="1"/>
  <c r="C13" i="4" l="1"/>
  <c r="D5" i="15" s="1"/>
  <c r="C14" i="4"/>
  <c r="D29" i="15" l="1"/>
  <c r="D30" i="15"/>
  <c r="E5" i="15"/>
  <c r="G5" i="15"/>
  <c r="I5" i="15" s="1"/>
  <c r="E30" i="15" l="1"/>
  <c r="G30" i="15"/>
  <c r="I30" i="15" s="1"/>
  <c r="G29" i="15"/>
  <c r="I29" i="15" s="1"/>
  <c r="E29" i="15"/>
  <c r="G42" i="19"/>
  <c r="D6" i="20" l="1"/>
  <c r="E6" i="20"/>
  <c r="F6" i="20"/>
  <c r="I6" i="20"/>
  <c r="J6" i="20"/>
  <c r="K6" i="20"/>
  <c r="D7" i="20"/>
  <c r="E7" i="20"/>
  <c r="F7" i="20"/>
  <c r="F7" i="15" l="1"/>
  <c r="F9" i="15"/>
  <c r="F16" i="15"/>
  <c r="F21" i="15"/>
  <c r="F23" i="15"/>
  <c r="F26" i="15"/>
  <c r="F42" i="15"/>
  <c r="E10" i="4" l="1"/>
  <c r="C12" i="4" l="1"/>
  <c r="A7" i="20" s="1"/>
  <c r="C11" i="4"/>
  <c r="D3" i="15" s="1"/>
  <c r="C10" i="4"/>
  <c r="C9" i="4"/>
  <c r="C3" i="6" l="1"/>
  <c r="C5" i="6"/>
  <c r="H5" i="6"/>
  <c r="H3" i="6"/>
  <c r="B8" i="4"/>
  <c r="H9" i="6"/>
  <c r="J9" i="6" s="1"/>
  <c r="H8" i="6"/>
  <c r="D4" i="15"/>
  <c r="E12" i="4"/>
  <c r="E14" i="4" s="1"/>
  <c r="E13" i="4" s="1"/>
  <c r="E3" i="15"/>
  <c r="G3" i="15"/>
  <c r="I3" i="15" s="1"/>
  <c r="E48" i="15"/>
  <c r="E46" i="15"/>
  <c r="E49" i="15"/>
  <c r="E50" i="15"/>
  <c r="E47" i="15"/>
  <c r="H44" i="15"/>
  <c r="H6" i="15"/>
  <c r="E4" i="15" l="1"/>
  <c r="G4" i="15"/>
  <c r="I4" i="15" s="1"/>
  <c r="E45" i="15"/>
  <c r="J8" i="6"/>
  <c r="J3" i="6"/>
  <c r="E11" i="4" l="1"/>
  <c r="D24" i="15" l="1"/>
  <c r="E24" i="15" l="1"/>
  <c r="G24" i="15"/>
  <c r="I24" i="15" l="1"/>
  <c r="D31" i="15"/>
  <c r="E31" i="15" l="1"/>
  <c r="G31" i="15"/>
  <c r="D38" i="15"/>
  <c r="D19" i="15"/>
  <c r="D40" i="15"/>
  <c r="D36" i="15"/>
  <c r="D42" i="15"/>
  <c r="D39" i="15"/>
  <c r="D41" i="15"/>
  <c r="D33" i="15"/>
  <c r="D43" i="15"/>
  <c r="D27" i="15"/>
  <c r="D35" i="15"/>
  <c r="D14" i="15"/>
  <c r="D12" i="15"/>
  <c r="D44" i="15"/>
  <c r="D34" i="15"/>
  <c r="D32"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31" i="15" s="1"/>
  <c r="G28" i="15"/>
  <c r="E34" i="15"/>
  <c r="G34" i="15"/>
  <c r="I34" i="15" s="1"/>
  <c r="E12" i="15"/>
  <c r="G12" i="15"/>
  <c r="E35" i="15"/>
  <c r="G35" i="15"/>
  <c r="E43" i="15"/>
  <c r="G43" i="15"/>
  <c r="E41" i="15"/>
  <c r="G41" i="15"/>
  <c r="I41" i="15" s="1"/>
  <c r="E42" i="15"/>
  <c r="G42" i="15"/>
  <c r="E36" i="15"/>
  <c r="G36"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2" i="15"/>
  <c r="G32" i="15"/>
  <c r="E44" i="15"/>
  <c r="G44" i="15"/>
  <c r="E14" i="15"/>
  <c r="G14" i="15"/>
  <c r="E27" i="15"/>
  <c r="G27" i="15"/>
  <c r="I27" i="15" s="1"/>
  <c r="E33" i="15"/>
  <c r="G33" i="15"/>
  <c r="E39" i="15"/>
  <c r="G39" i="15"/>
  <c r="E40" i="15"/>
  <c r="G40" i="15"/>
  <c r="E38" i="15"/>
  <c r="G38" i="15"/>
  <c r="I28" i="15" l="1"/>
  <c r="I38" i="15"/>
  <c r="I39" i="15"/>
  <c r="I44" i="15"/>
  <c r="I21" i="15"/>
  <c r="I16" i="15"/>
  <c r="I10" i="15"/>
  <c r="I15" i="15"/>
  <c r="I19" i="15"/>
  <c r="I43" i="15"/>
  <c r="I22" i="15"/>
  <c r="I40" i="15"/>
  <c r="I33" i="15"/>
  <c r="I32" i="15"/>
  <c r="I23" i="15"/>
  <c r="I18" i="15"/>
  <c r="I8" i="15"/>
  <c r="I20" i="15"/>
  <c r="I9" i="15"/>
  <c r="I42" i="15"/>
  <c r="I25" i="15"/>
  <c r="I17" i="15"/>
  <c r="I7" i="15"/>
  <c r="I14" i="15"/>
  <c r="I36" i="15"/>
  <c r="I35"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1AA10AB7-6E07-4390-BE93-A195CC09232C}">
      <text>
        <r>
          <rPr>
            <i/>
            <sz val="12"/>
            <color indexed="81"/>
            <rFont val="Times New Roman"/>
            <family val="1"/>
          </rPr>
          <t>aid +1     bless +1
haste +1
inspire courage +2</t>
        </r>
      </text>
    </comment>
    <comment ref="E8" authorId="0" shapeId="0" xr:uid="{30FC97C7-BCDA-4AF9-9324-D6911E01A933}">
      <text>
        <r>
          <rPr>
            <sz val="12"/>
            <color indexed="81"/>
            <rFont val="Times New Roman"/>
            <family val="1"/>
          </rPr>
          <t>Next level at 16,000 XPs</t>
        </r>
      </text>
    </comment>
    <comment ref="E9" authorId="0" shapeId="0" xr:uid="{A4B5D5A7-9ECF-4212-8A11-2732C0E2F9AC}">
      <text>
        <r>
          <rPr>
            <sz val="12"/>
            <color indexed="81"/>
            <rFont val="Times New Roman"/>
            <family val="1"/>
          </rPr>
          <t>See PHB 162</t>
        </r>
      </text>
    </comment>
    <comment ref="B10" authorId="0" shapeId="0" xr:uid="{00000000-0006-0000-0000-000004000000}">
      <text>
        <r>
          <rPr>
            <i/>
            <sz val="12"/>
            <color indexed="81"/>
            <rFont val="Times New Roman"/>
            <family val="1"/>
          </rPr>
          <t>cat’s grace +4</t>
        </r>
      </text>
    </comment>
    <comment ref="E11" authorId="0" shapeId="0" xr:uid="{00000000-0006-0000-0000-000005000000}">
      <text>
        <r>
          <rPr>
            <sz val="12"/>
            <color indexed="81"/>
            <rFont val="Times New Roman"/>
            <family val="1"/>
          </rPr>
          <t>[(5 * 8 Bard) * 75%] + (5 * 1 Con)</t>
        </r>
      </text>
    </comment>
    <comment ref="B14" authorId="0" shapeId="0" xr:uid="{00000000-0006-0000-0000-000007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E15A02CF-A28F-429E-99BF-D8653F1D64A8}">
      <text>
        <r>
          <rPr>
            <sz val="12"/>
            <color indexed="81"/>
            <rFont val="Times New Roman"/>
            <family val="1"/>
          </rPr>
          <t>Iron Will +2</t>
        </r>
      </text>
    </comment>
    <comment ref="F7" authorId="0" shapeId="0" xr:uid="{00000000-0006-0000-0100-000004000000}">
      <text>
        <r>
          <rPr>
            <sz val="12"/>
            <color indexed="81"/>
            <rFont val="Times New Roman"/>
            <family val="1"/>
          </rPr>
          <t>No armor penalties</t>
        </r>
      </text>
    </comment>
    <comment ref="F9" authorId="0" shapeId="0" xr:uid="{00000000-0006-0000-0100-000006000000}">
      <text>
        <r>
          <rPr>
            <sz val="12"/>
            <color indexed="81"/>
            <rFont val="Times New Roman"/>
            <family val="1"/>
          </rPr>
          <t>No armor penalties</t>
        </r>
      </text>
    </comment>
    <comment ref="F13" authorId="0" shapeId="0" xr:uid="{48B86FC7-8364-41A5-AA97-AC7CD6AC4E9E}">
      <text>
        <r>
          <rPr>
            <sz val="12"/>
            <color indexed="81"/>
            <rFont val="Times New Roman"/>
            <family val="1"/>
          </rPr>
          <t>Half-elf +2</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18" authorId="0" shapeId="0" xr:uid="{74CF5046-FB95-4278-A4EB-B22A7025D366}">
      <text>
        <r>
          <rPr>
            <sz val="12"/>
            <color indexed="81"/>
            <rFont val="Times New Roman"/>
            <family val="1"/>
          </rPr>
          <t>Half-elf +2</t>
        </r>
      </text>
    </comment>
    <comment ref="F21" authorId="0" shapeId="0" xr:uid="{00000000-0006-0000-0100-00000C000000}">
      <text>
        <r>
          <rPr>
            <sz val="12"/>
            <color indexed="81"/>
            <rFont val="Times New Roman"/>
            <family val="1"/>
          </rPr>
          <t>No armor penalties</t>
        </r>
      </text>
    </comment>
    <comment ref="F22" authorId="0" shapeId="0" xr:uid="{28B6663B-2043-467E-A34E-B9BEE696CA25}">
      <text>
        <r>
          <rPr>
            <sz val="12"/>
            <color indexed="81"/>
            <rFont val="Times New Roman"/>
            <family val="1"/>
          </rPr>
          <t>Bluff synergy +2</t>
        </r>
      </text>
    </comment>
    <comment ref="F23" authorId="0" shapeId="0" xr:uid="{00000000-0006-0000-0100-00000E000000}">
      <text>
        <r>
          <rPr>
            <sz val="12"/>
            <color indexed="81"/>
            <rFont val="Times New Roman"/>
            <family val="1"/>
          </rPr>
          <t>No armor penalties</t>
        </r>
      </text>
    </comment>
    <comment ref="F25" authorId="0" shapeId="0" xr:uid="{8977E83D-EFC4-4168-96E9-6352961B19E7}">
      <text>
        <r>
          <rPr>
            <sz val="12"/>
            <color indexed="81"/>
            <rFont val="Times New Roman"/>
            <family val="1"/>
          </rPr>
          <t>Half-elf +1</t>
        </r>
      </text>
    </comment>
    <comment ref="F26" authorId="0" shapeId="0" xr:uid="{00000000-0006-0000-0100-00000F000000}">
      <text>
        <r>
          <rPr>
            <sz val="12"/>
            <color indexed="81"/>
            <rFont val="Times New Roman"/>
            <family val="1"/>
          </rPr>
          <t>No armor penalties</t>
        </r>
      </text>
    </comment>
    <comment ref="F33" authorId="0" shapeId="0" xr:uid="{41CDA9E1-BE6A-49F0-B9DD-41118EDAA464}">
      <text>
        <r>
          <rPr>
            <sz val="12"/>
            <color indexed="81"/>
            <rFont val="Times New Roman"/>
            <family val="1"/>
          </rPr>
          <t>Half-elf +1</t>
        </r>
      </text>
    </comment>
    <comment ref="F35" authorId="0" shapeId="0" xr:uid="{170F37B3-09ED-4279-83B9-97ACC14BD8F7}">
      <text>
        <r>
          <rPr>
            <sz val="12"/>
            <color indexed="81"/>
            <rFont val="Times New Roman"/>
            <family val="1"/>
          </rPr>
          <t>Bluff synergy +2</t>
        </r>
      </text>
    </comment>
    <comment ref="F38" authorId="0" shapeId="0" xr:uid="{BC3B1C79-A85A-4B37-89F0-2ED10D43CE1F}">
      <text>
        <r>
          <rPr>
            <sz val="12"/>
            <color indexed="81"/>
            <rFont val="Times New Roman"/>
            <family val="1"/>
          </rPr>
          <t>Know: Arcana</t>
        </r>
      </text>
    </comment>
    <comment ref="F39" authorId="0" shapeId="0" xr:uid="{50835D1A-DF76-42AA-8452-AF11F797307C}">
      <text>
        <r>
          <rPr>
            <sz val="12"/>
            <color indexed="81"/>
            <rFont val="Times New Roman"/>
            <family val="1"/>
          </rPr>
          <t>Half-elf +1</t>
        </r>
      </text>
    </comment>
    <comment ref="F42" authorId="0" shapeId="0" xr:uid="{00000000-0006-0000-0100-000015000000}">
      <text>
        <r>
          <rPr>
            <sz val="12"/>
            <color indexed="81"/>
            <rFont val="Times New Roman"/>
            <family val="1"/>
          </rPr>
          <t>No armor penalties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Prism, lens, or monocle</t>
        </r>
      </text>
    </comment>
    <comment ref="D6" authorId="0" shapeId="0" xr:uid="{00000000-0006-0000-0200-000002000000}">
      <text>
        <r>
          <rPr>
            <sz val="12"/>
            <color indexed="81"/>
            <rFont val="Times New Roman"/>
            <family val="1"/>
          </rPr>
          <t>Caster's musical instrument</t>
        </r>
      </text>
    </comment>
    <comment ref="D8" authorId="0" shapeId="0" xr:uid="{BDCF5C67-02BF-478B-94B7-EED28A93E551}">
      <text>
        <r>
          <rPr>
            <sz val="12"/>
            <color indexed="81"/>
            <rFont val="Times New Roman"/>
            <family val="1"/>
          </rPr>
          <t>Copper wire</t>
        </r>
      </text>
    </comment>
    <comment ref="D11" authorId="0" shapeId="0" xr:uid="{00000000-0006-0000-0200-000004000000}">
      <text>
        <r>
          <rPr>
            <sz val="12"/>
            <color indexed="81"/>
            <rFont val="Times New Roman"/>
            <family val="1"/>
          </rPr>
          <t>Pork rind or butter</t>
        </r>
      </text>
    </comment>
    <comment ref="D12" authorId="0" shapeId="0" xr:uid="{00000000-0006-0000-0200-000005000000}">
      <text>
        <r>
          <rPr>
            <sz val="12"/>
            <color indexed="81"/>
            <rFont val="Times New Roman"/>
            <family val="1"/>
          </rPr>
          <t>Tiny tart and feather</t>
        </r>
      </text>
    </comment>
    <comment ref="D14" authorId="0" shapeId="0" xr:uid="{00000000-0006-0000-0000-000075000000}">
      <text>
        <r>
          <rPr>
            <sz val="12"/>
            <color indexed="81"/>
            <rFont val="Times New Roman"/>
            <family val="1"/>
          </rPr>
          <t>Fire source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FDFDDE4-E4CC-4B3F-894F-46406EBDA676}">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A3" authorId="0" shapeId="0" xr:uid="{B79BCA3C-16E5-43A3-886B-6F387F0BD2EC}">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400-000002000000}">
      <text>
        <r>
          <rPr>
            <sz val="12"/>
            <color indexed="81"/>
            <rFont val="Times New Roman"/>
            <family val="1"/>
          </rPr>
          <t>Balance, Climb, Escape Artist, Hide, Jump, Move Silently, Sleight of Hand, Tumble.</t>
        </r>
      </text>
    </comment>
    <comment ref="K12" authorId="0" shapeId="0" xr:uid="{00000000-0006-0000-04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<sst xmlns="http://schemas.openxmlformats.org/spreadsheetml/2006/main" count="469" uniqueCount="277">
  <si>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</si>
  <si>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</si>
  <si>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</si>
  <si>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</si>
  <si>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</si>
  <si>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</si>
  <si>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</si>
  <si>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</si>
  <si>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</si>
  <si>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</si>
  <si>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</si>
  <si>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</si>
  <si>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</si>
  <si>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</si>
  <si>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</si>
  <si>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</si>
  <si>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</si>
  <si>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</si>
  <si>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</si>
  <si>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</si>
  <si>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</si>
  <si>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</si>
  <si>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</si>
  <si>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</si>
  <si>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</si>
  <si>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</si>
  <si>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</si>
  <si>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</si>
  <si>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</si>
  <si>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</si>
  <si>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</si>
  <si>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</si>
  <si>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</si>
  <si>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</si>
  <si>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</si>
  <si>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</si>
  <si>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</si>
  <si>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</si>
  <si>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</si>
  <si>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</si>
  <si>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</si>
  <si>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</si>
  <si>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</si>
  <si>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</si>
  <si>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</si>
  <si>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</si>
  <si>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</si>
  <si>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</si>
  <si>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</si>
  <si>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</si>
  <si>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</si>
  <si>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</si>
  <si>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</si>
  <si>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</si>
  <si>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</si>
  <si>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</si>
  <si>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</si>
  <si>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</si>
  <si>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</si>
  <si>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</si>
  <si>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</si>
  <si>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</si>
  <si>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</si>
  <si>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</si>
  <si>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</si>
  <si>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Universal</t>
  </si>
  <si>
    <t>1 min/lvl</t>
  </si>
  <si>
    <t>Instant</t>
  </si>
  <si>
    <t>Personal</t>
  </si>
  <si>
    <t>10 min/lvl</t>
  </si>
  <si>
    <t>1 rnd/lvl</t>
  </si>
  <si>
    <t>Spell</t>
  </si>
  <si>
    <t>Cast?</t>
  </si>
  <si>
    <t>Languages</t>
  </si>
  <si>
    <t>School</t>
  </si>
  <si>
    <t>10’</t>
  </si>
  <si>
    <t>Equipment Worn</t>
  </si>
  <si>
    <t>Item</t>
  </si>
  <si>
    <t>Effects/</t>
  </si>
  <si>
    <t>Notes</t>
  </si>
  <si>
    <t>Equipment Carried</t>
  </si>
  <si>
    <t>Check</t>
  </si>
  <si>
    <t>Arcane</t>
  </si>
  <si>
    <t>Speed</t>
  </si>
  <si>
    <t>25’ + 2½’/lvl</t>
  </si>
  <si>
    <t>400’ + 40’/lvl</t>
  </si>
  <si>
    <t>Sleight of Hand</t>
  </si>
  <si>
    <t>Survival</t>
  </si>
  <si>
    <t>Craft:  (type)</t>
  </si>
  <si>
    <t>Class Features</t>
  </si>
  <si>
    <t>DC</t>
  </si>
  <si>
    <t>Weapon Proficiencies</t>
  </si>
  <si>
    <t>Shields (not tower)</t>
  </si>
  <si>
    <t>Atk</t>
  </si>
  <si>
    <t>Flint &amp; Steel</t>
  </si>
  <si>
    <t>Waterskin</t>
  </si>
  <si>
    <t>Components</t>
  </si>
  <si>
    <t>Casting</t>
  </si>
  <si>
    <t>V S</t>
  </si>
  <si>
    <t>1 SA</t>
  </si>
  <si>
    <t>100’ + 10’/lvl</t>
  </si>
  <si>
    <t>V S F</t>
  </si>
  <si>
    <t>1 hour</t>
  </si>
  <si>
    <t>Read Magic</t>
  </si>
  <si>
    <t>1</t>
  </si>
  <si>
    <t>Spells per Day</t>
  </si>
  <si>
    <t>Spell Level</t>
  </si>
  <si>
    <t>Total Divine</t>
  </si>
  <si>
    <t>Feats</t>
  </si>
  <si>
    <t>19-20, x2</t>
  </si>
  <si>
    <t>Prcg/Slsh</t>
  </si>
  <si>
    <t>-</t>
  </si>
  <si>
    <t>Bedroll</t>
  </si>
  <si>
    <t>Component Pouch</t>
  </si>
  <si>
    <t>Roll</t>
  </si>
  <si>
    <t>Skill/Save</t>
  </si>
  <si>
    <t>five</t>
  </si>
  <si>
    <t>30’</t>
  </si>
  <si>
    <t>Light &amp; Medium Armor</t>
  </si>
  <si>
    <t>Traveler’s Outfit</t>
  </si>
  <si>
    <t>Value</t>
  </si>
  <si>
    <t>Scrolls and Potions</t>
  </si>
  <si>
    <t>CLev</t>
  </si>
  <si>
    <t>Ranged Touch Attack</t>
  </si>
  <si>
    <t>Bard</t>
  </si>
  <si>
    <t>Bard 1</t>
  </si>
  <si>
    <t>Bard 2</t>
  </si>
  <si>
    <t>Bard 3</t>
  </si>
  <si>
    <t>Bard 4</t>
  </si>
  <si>
    <t>Belt Pouch</t>
  </si>
  <si>
    <t>Ink &amp; Pen</t>
  </si>
  <si>
    <t>Charisma Bonus</t>
  </si>
  <si>
    <t>Parchment</t>
  </si>
  <si>
    <t>1d8</t>
  </si>
  <si>
    <t>Dagger</t>
  </si>
  <si>
    <t>Countersong</t>
  </si>
  <si>
    <t>Fascinate</t>
  </si>
  <si>
    <t>Inspire Competence</t>
  </si>
  <si>
    <t>Prestidigitation</t>
  </si>
  <si>
    <t>Silence</t>
  </si>
  <si>
    <t>PHB</t>
  </si>
  <si>
    <t>Reference</t>
  </si>
  <si>
    <t>Page</t>
  </si>
  <si>
    <t>Enchantment</t>
  </si>
  <si>
    <t>Song &amp; Silence</t>
  </si>
  <si>
    <t>Transmutation</t>
  </si>
  <si>
    <t>Illusion</t>
  </si>
  <si>
    <t>Bard Spells</t>
  </si>
  <si>
    <t>1d4</t>
  </si>
  <si>
    <t>Mage Hand</t>
  </si>
  <si>
    <t>Grease</t>
  </si>
  <si>
    <t>Conjuration</t>
  </si>
  <si>
    <t>V S M</t>
  </si>
  <si>
    <t>Total Equity:</t>
  </si>
  <si>
    <t>Bard 5</t>
  </si>
  <si>
    <t>Bard 6</t>
  </si>
  <si>
    <t>19-20/x2</t>
  </si>
  <si>
    <t>Slashing</t>
  </si>
  <si>
    <t>1d6</t>
  </si>
  <si>
    <t>Treated as light armor</t>
  </si>
  <si>
    <t>Spells Known</t>
  </si>
  <si>
    <t>ü</t>
  </si>
  <si>
    <r>
      <t xml:space="preserve">Potion of </t>
    </r>
    <r>
      <rPr>
        <i/>
        <sz val="12"/>
        <rFont val="Times New Roman"/>
        <family val="1"/>
      </rPr>
      <t>Cure Light Wounds</t>
    </r>
  </si>
  <si>
    <r>
      <t xml:space="preserve">Scroll of </t>
    </r>
    <r>
      <rPr>
        <i/>
        <sz val="12"/>
        <rFont val="Times New Roman"/>
        <family val="1"/>
      </rPr>
      <t>Cure Moderate Wounds</t>
    </r>
  </si>
  <si>
    <t>Touch</t>
  </si>
  <si>
    <t>Exact Location</t>
  </si>
  <si>
    <t>Race</t>
  </si>
  <si>
    <t>Class</t>
  </si>
  <si>
    <t>Sex</t>
  </si>
  <si>
    <t>Age</t>
  </si>
  <si>
    <t>Alignment</t>
  </si>
  <si>
    <t>Strength</t>
  </si>
  <si>
    <t>Dexterity</t>
  </si>
  <si>
    <t>Constitution</t>
  </si>
  <si>
    <t>Intelligence</t>
  </si>
  <si>
    <t>Wisdom</t>
  </si>
  <si>
    <t>Charisma</t>
  </si>
  <si>
    <t>AC</t>
  </si>
  <si>
    <t>special</t>
  </si>
  <si>
    <t>Deity</t>
  </si>
  <si>
    <t>Region</t>
  </si>
  <si>
    <t>Height</t>
  </si>
  <si>
    <t>Weight</t>
  </si>
  <si>
    <t>Initiative</t>
  </si>
  <si>
    <t>Attack Bonus</t>
  </si>
  <si>
    <t>Lb. Capacity</t>
  </si>
  <si>
    <t>Lb. Carried</t>
  </si>
  <si>
    <t>Hit Points</t>
  </si>
  <si>
    <t>Touch AC</t>
  </si>
  <si>
    <t>FF AC</t>
  </si>
  <si>
    <t>Luran</t>
  </si>
  <si>
    <t>Male</t>
  </si>
  <si>
    <t>Ebonchord</t>
  </si>
  <si>
    <t>Played by Carl Peckham</t>
  </si>
  <si>
    <t>5’ 10”</t>
  </si>
  <si>
    <t>170 lbs.</t>
  </si>
  <si>
    <t>Neutral Good</t>
  </si>
  <si>
    <t>Half-Elf (Moon)</t>
  </si>
  <si>
    <t>Tethyr</t>
  </si>
  <si>
    <t>Knowledge:  Arcana</t>
  </si>
  <si>
    <t>Celestial, Draconic</t>
  </si>
  <si>
    <t>Common, Elven, Sylvan,</t>
  </si>
  <si>
    <t>1st:  Iron Will</t>
  </si>
  <si>
    <t>3rd:  Melodic Casting</t>
  </si>
  <si>
    <t xml:space="preserve">@ 6th:  </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</si>
  <si>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</si>
  <si>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Tyr</t>
  </si>
  <si>
    <t>Perform:  Vocal</t>
  </si>
  <si>
    <t>Profession:  Astrologer</t>
  </si>
  <si>
    <t>Detect Magic</t>
  </si>
  <si>
    <t>Message</t>
  </si>
  <si>
    <t>Cure Light Wounds</t>
  </si>
  <si>
    <t>Inspirational Boost</t>
  </si>
  <si>
    <t>Sleep</t>
  </si>
  <si>
    <t>Alter Self</t>
  </si>
  <si>
    <t>60’</t>
  </si>
  <si>
    <t>Swift</t>
  </si>
  <si>
    <t>Complete Adventurer</t>
  </si>
  <si>
    <t>Summon Instrument</t>
  </si>
  <si>
    <t>Conc + 1 rnd/lvl</t>
  </si>
  <si>
    <t>Inspire Courage +1</t>
  </si>
  <si>
    <t>@ 6th:  Suggestion</t>
  </si>
  <si>
    <t>Pyrotechnics</t>
  </si>
  <si>
    <t>1d4+1 rounds</t>
  </si>
  <si>
    <t>Perform:  Strings</t>
  </si>
  <si>
    <t>Perform:  Percussion</t>
  </si>
  <si>
    <t>Character:</t>
  </si>
  <si>
    <t>%</t>
  </si>
  <si>
    <t>Thoroughness and clarity</t>
  </si>
  <si>
    <t>Level-appropriate use of skills, feats, limitations, and other features</t>
  </si>
  <si>
    <t>Excellent</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</si>
  <si>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</si>
  <si>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</si>
  <si>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</si>
  <si>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</si>
  <si>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</si>
  <si>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</si>
  <si>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</si>
  <si>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</si>
  <si>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XP</t>
  </si>
  <si>
    <t>Longsword</t>
  </si>
  <si>
    <t>Shortbow</t>
  </si>
  <si>
    <t>x3</t>
  </si>
  <si>
    <t>Arrows</t>
  </si>
  <si>
    <t>2</t>
  </si>
  <si>
    <t>Mithral Chain Shirt</t>
  </si>
  <si>
    <t>Stash:  ?</t>
  </si>
  <si>
    <t>% Full:</t>
  </si>
  <si>
    <t>Heward’s Handy Haversack</t>
  </si>
  <si>
    <r>
      <t xml:space="preserve">Wand of </t>
    </r>
    <r>
      <rPr>
        <i/>
        <sz val="12"/>
        <rFont val="Times New Roman"/>
        <family val="1"/>
      </rPr>
      <t>Cure Light Wounds</t>
    </r>
  </si>
  <si>
    <t>50 charges</t>
  </si>
  <si>
    <t>MW Yarting</t>
  </si>
  <si>
    <t>Uncle’s heirloom</t>
  </si>
  <si>
    <t>Bell</t>
  </si>
  <si>
    <t>Chalk</t>
  </si>
  <si>
    <t>Small Steel Mirror</t>
  </si>
  <si>
    <t>Bullseye Lantern</t>
  </si>
  <si>
    <t>Silk Rope</t>
  </si>
  <si>
    <t>100’</t>
  </si>
  <si>
    <t>Tent</t>
  </si>
  <si>
    <t>Shovel</t>
  </si>
  <si>
    <t>Hammer</t>
  </si>
  <si>
    <t>Crowbar</t>
  </si>
  <si>
    <t>Signal Whistle</t>
  </si>
  <si>
    <t>Scroll Case</t>
  </si>
  <si>
    <t>one</t>
  </si>
  <si>
    <t>Candle</t>
  </si>
  <si>
    <t>Sealing Wax</t>
  </si>
  <si>
    <t>Signet Ring</t>
  </si>
  <si>
    <t>Attention to spelling &amp; punctuation; consistent use of past tense, third person</t>
  </si>
  <si>
    <t>Cloak of Charisma +2</t>
  </si>
  <si>
    <t>Torch</t>
  </si>
  <si>
    <t>1d6 fire</t>
  </si>
  <si>
    <t>Fire</t>
  </si>
  <si>
    <t xml:space="preserve">Speak Language:  </t>
  </si>
  <si>
    <t>Catch-up bonus</t>
  </si>
  <si>
    <t>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</si>
</sst>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2"/>
      <name val="Times New Roman"/>
      <family val="1"/>
    </font>
    <font>
      <i/>
      <sz val="18"/>
      <color rgb="FF9966FF"/>
      <name val="Times New Roman"/>
      <family val="1"/>
    </font>
    <font>
      <i/>
      <sz val="17"/>
      <name val="Times New Roman"/>
      <family val="1"/>
    </font>
    <font>
      <b/>
      <sz val="12"/>
      <color rgb="FFFF000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double">
        <color indexed="64"/>
      </left>
      <right style="double">
        <color indexed="64"/>
      </right>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9" fontId="2" fillId="0" borderId="0" applyFont="0" applyFill="0" applyBorder="0" applyAlignment="0" applyProtection="0"/>
    <xf numFmtId="0" fontId="2" fillId="0" borderId="0"/>
    <xf numFmtId="0" fontId="37" fillId="0" borderId="0"/>
    <xf numFmtId="0" fontId="2" fillId="0" borderId="0"/>
    <xf numFmtId="0" fontId="1" fillId="0" borderId="0"/>
    <xf numFmtId="0" fontId="2" fillId="0" borderId="0"/>
  </cellStyleXfs>
  <cellXfs count="492">
    <xf numFmtId="0" fontId="0" fillId="0" borderId="0" xfId="0"/>
    <xf numFmtId="0" fontId="7" fillId="0" borderId="29" xfId="0"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0" fontId="12" fillId="3" borderId="68"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39" xfId="0" applyNumberFormat="1" applyFont="1" applyFill="1" applyBorder="1" applyAlignment="1">
      <alignment horizontal="center" vertical="center" wrapText="1"/>
    </xf>
    <xf numFmtId="0" fontId="46" fillId="13" borderId="38" xfId="0" applyNumberFormat="1" applyFont="1" applyFill="1" applyBorder="1" applyAlignment="1">
      <alignment horizontal="center" vertical="center" wrapText="1"/>
    </xf>
    <xf numFmtId="0" fontId="12" fillId="3"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 fillId="0" borderId="0" xfId="0" applyFont="1" applyBorder="1" applyAlignment="1">
      <alignmen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35"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92" xfId="0" applyFont="1" applyFill="1" applyBorder="1" applyAlignment="1">
      <alignment horizontal="right" vertical="center"/>
    </xf>
    <xf numFmtId="49" fontId="7" fillId="0" borderId="79"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4"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2" fillId="13"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45"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6" fillId="0" borderId="49" xfId="0" applyFont="1" applyFill="1" applyBorder="1" applyAlignment="1">
      <alignment horizontal="center" vertical="center" wrapText="1"/>
    </xf>
    <xf numFmtId="1" fontId="7" fillId="0" borderId="49" xfId="0" applyNumberFormat="1" applyFont="1" applyFill="1" applyBorder="1" applyAlignment="1">
      <alignment horizontal="center" vertical="center" wrapText="1"/>
    </xf>
    <xf numFmtId="0" fontId="42" fillId="13" borderId="49"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7" borderId="27"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NumberFormat="1" applyFont="1" applyFill="1" applyBorder="1" applyAlignment="1">
      <alignment horizontal="center" vertical="center"/>
    </xf>
    <xf numFmtId="0" fontId="13" fillId="4" borderId="2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0" fontId="13"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3"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3" borderId="48"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9" xfId="0" applyFont="1" applyFill="1" applyBorder="1" applyAlignment="1">
      <alignment horizontal="center" vertical="center" wrapText="1"/>
    </xf>
    <xf numFmtId="9" fontId="7" fillId="11" borderId="49" xfId="3" applyFont="1" applyFill="1" applyBorder="1" applyAlignment="1">
      <alignment horizontal="center" vertical="center" shrinkToFit="1"/>
    </xf>
    <xf numFmtId="9" fontId="7" fillId="11" borderId="14" xfId="3" applyFont="1" applyFill="1" applyBorder="1" applyAlignment="1">
      <alignment horizontal="center" vertical="center" shrinkToFit="1"/>
    </xf>
    <xf numFmtId="0" fontId="7" fillId="11" borderId="14" xfId="3" applyNumberFormat="1" applyFont="1" applyFill="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Border="1" applyAlignment="1">
      <alignment horizontal="centerContinuous" vertical="center" wrapText="1"/>
    </xf>
    <xf numFmtId="0" fontId="38" fillId="0" borderId="0" xfId="0" applyFont="1" applyBorder="1" applyAlignment="1">
      <alignment horizontal="centerContinuous"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3" xfId="0" applyFont="1" applyBorder="1" applyAlignment="1">
      <alignment horizontal="right"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10" borderId="61"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4" fillId="0" borderId="37" xfId="0" applyFont="1" applyBorder="1" applyAlignment="1">
      <alignment horizontal="right" vertical="center" wrapText="1"/>
    </xf>
    <xf numFmtId="0" fontId="2" fillId="0" borderId="59" xfId="0" applyFont="1" applyBorder="1" applyAlignment="1">
      <alignment horizontal="center" vertical="center" wrapText="1"/>
    </xf>
    <xf numFmtId="0" fontId="2" fillId="0" borderId="42" xfId="0" applyFont="1" applyBorder="1" applyAlignment="1">
      <alignment horizontal="center" vertical="center" wrapText="1"/>
    </xf>
    <xf numFmtId="0" fontId="2" fillId="10" borderId="42"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4" fillId="0" borderId="51" xfId="0" applyFont="1" applyBorder="1" applyAlignment="1">
      <alignment horizontal="right" vertical="center" wrapText="1"/>
    </xf>
    <xf numFmtId="0" fontId="7" fillId="0" borderId="48" xfId="0" applyFont="1" applyFill="1" applyBorder="1" applyAlignment="1">
      <alignment horizontal="center" vertical="center"/>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17" fillId="0" borderId="37"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57" xfId="0"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7"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1"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52" xfId="0" applyFont="1" applyFill="1" applyBorder="1" applyAlignment="1">
      <alignment horizontal="centerContinuous" vertical="center"/>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164" fontId="2" fillId="0" borderId="76" xfId="0" applyNumberFormat="1" applyFont="1" applyFill="1" applyBorder="1" applyAlignment="1">
      <alignment horizontal="centerContinuous" vertical="center"/>
    </xf>
    <xf numFmtId="164" fontId="2" fillId="0" borderId="77" xfId="0" applyNumberFormat="1" applyFont="1" applyFill="1" applyBorder="1" applyAlignment="1">
      <alignment horizontal="centerContinuous" vertical="center"/>
    </xf>
    <xf numFmtId="0" fontId="5" fillId="0" borderId="78" xfId="0" quotePrefix="1" applyFont="1" applyFill="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8" xfId="0" applyFont="1" applyFill="1" applyBorder="1" applyAlignment="1">
      <alignment horizontal="centerContinuous" vertical="center"/>
    </xf>
    <xf numFmtId="0" fontId="5" fillId="0" borderId="89" xfId="0" applyFont="1" applyFill="1" applyBorder="1" applyAlignment="1">
      <alignment horizontal="centerContinuous" vertical="center"/>
    </xf>
    <xf numFmtId="0" fontId="5" fillId="0" borderId="76" xfId="0" applyFont="1" applyFill="1" applyBorder="1" applyAlignment="1">
      <alignment horizontal="centerContinuous" vertical="center"/>
    </xf>
    <xf numFmtId="49" fontId="2" fillId="0" borderId="76" xfId="0" applyNumberFormat="1" applyFont="1" applyFill="1" applyBorder="1" applyAlignment="1">
      <alignment horizontal="center" vertical="center"/>
    </xf>
    <xf numFmtId="49" fontId="2" fillId="0" borderId="76" xfId="0" applyNumberFormat="1"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5" fillId="0" borderId="78"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5" fillId="0" borderId="91" xfId="0" applyFont="1" applyFill="1" applyBorder="1" applyAlignment="1">
      <alignment horizontal="centerContinuous" vertical="center"/>
    </xf>
    <xf numFmtId="0" fontId="5" fillId="0" borderId="82" xfId="0" applyFont="1" applyFill="1" applyBorder="1" applyAlignment="1">
      <alignment horizontal="centerContinuous" vertical="center"/>
    </xf>
    <xf numFmtId="164" fontId="2" fillId="0" borderId="81" xfId="0" applyNumberFormat="1" applyFont="1" applyFill="1" applyBorder="1" applyAlignment="1">
      <alignment horizontal="center" vertical="center"/>
    </xf>
    <xf numFmtId="49" fontId="2" fillId="0" borderId="82" xfId="0" applyNumberFormat="1" applyFont="1" applyFill="1" applyBorder="1" applyAlignment="1">
      <alignment horizontal="center" vertical="center"/>
    </xf>
    <xf numFmtId="49" fontId="2" fillId="0" borderId="82"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49" fillId="0" borderId="0" xfId="0" applyFont="1" applyBorder="1" applyAlignment="1">
      <alignment horizontal="right" vertical="center"/>
    </xf>
    <xf numFmtId="0" fontId="21" fillId="12" borderId="94" xfId="0" applyFont="1" applyFill="1" applyBorder="1" applyAlignment="1">
      <alignment horizontal="center" vertical="center"/>
    </xf>
    <xf numFmtId="0" fontId="50" fillId="0" borderId="0" xfId="0" applyFont="1" applyBorder="1" applyAlignment="1">
      <alignment horizontal="center" vertical="center"/>
    </xf>
    <xf numFmtId="0" fontId="2" fillId="0" borderId="90" xfId="0" applyFont="1" applyFill="1" applyBorder="1" applyAlignment="1">
      <alignment horizontal="centerContinuous" vertical="center" shrinkToFit="1"/>
    </xf>
    <xf numFmtId="0" fontId="2" fillId="0" borderId="4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7"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0" xfId="0" applyFont="1" applyBorder="1" applyAlignment="1">
      <alignment horizontal="center" vertical="center"/>
    </xf>
    <xf numFmtId="0" fontId="2" fillId="0" borderId="86"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5" xfId="0" applyFont="1" applyBorder="1" applyAlignment="1">
      <alignment horizontal="center" vertical="center" shrinkToFit="1"/>
    </xf>
    <xf numFmtId="0" fontId="2" fillId="0" borderId="47"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7"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1" fontId="48" fillId="13" borderId="50" xfId="0" applyNumberFormat="1" applyFont="1" applyFill="1" applyBorder="1" applyAlignment="1">
      <alignment horizontal="center" vertical="center"/>
    </xf>
    <xf numFmtId="0" fontId="2" fillId="0" borderId="95" xfId="0" applyFont="1" applyFill="1" applyBorder="1" applyAlignment="1">
      <alignment horizontal="centerContinuous" vertical="center" shrinkToFit="1"/>
    </xf>
    <xf numFmtId="0" fontId="21" fillId="0" borderId="96" xfId="0" applyFont="1" applyFill="1" applyBorder="1" applyAlignment="1">
      <alignment horizontal="centerContinuous" vertical="center"/>
    </xf>
    <xf numFmtId="0" fontId="21" fillId="0" borderId="97" xfId="0" applyFont="1" applyFill="1" applyBorder="1" applyAlignment="1">
      <alignment horizontal="centerContinuous"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Continuous" vertical="center"/>
    </xf>
    <xf numFmtId="0" fontId="21" fillId="0" borderId="83" xfId="0" applyFont="1" applyFill="1" applyBorder="1" applyAlignment="1">
      <alignment horizontal="centerContinuous" vertical="center"/>
    </xf>
    <xf numFmtId="0" fontId="21" fillId="0" borderId="64" xfId="0" applyFont="1" applyFill="1" applyBorder="1" applyAlignment="1">
      <alignment horizontal="centerContinuous" vertical="center"/>
    </xf>
    <xf numFmtId="0" fontId="2" fillId="0" borderId="44" xfId="0" applyFont="1" applyFill="1" applyBorder="1" applyAlignment="1">
      <alignment horizontal="center" vertical="center"/>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1" fontId="2" fillId="14" borderId="51"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58"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0" fontId="2" fillId="0" borderId="80" xfId="0" applyFont="1" applyFill="1" applyBorder="1" applyAlignment="1">
      <alignment horizontal="center" vertical="center"/>
    </xf>
    <xf numFmtId="164" fontId="4" fillId="0" borderId="82" xfId="0" applyNumberFormat="1" applyFont="1" applyFill="1" applyBorder="1" applyAlignment="1">
      <alignment horizontal="centerContinuous" vertical="center"/>
    </xf>
    <xf numFmtId="164" fontId="4" fillId="0" borderId="83" xfId="0" applyNumberFormat="1" applyFont="1" applyFill="1" applyBorder="1" applyAlignment="1">
      <alignment horizontal="centerContinuous" vertical="center"/>
    </xf>
    <xf numFmtId="0" fontId="4" fillId="0" borderId="84" xfId="0" applyFont="1" applyFill="1" applyBorder="1" applyAlignment="1">
      <alignment horizontal="centerContinuous" vertical="center"/>
    </xf>
    <xf numFmtId="0" fontId="2" fillId="0" borderId="81" xfId="0" applyFont="1" applyFill="1" applyBorder="1" applyAlignment="1">
      <alignment horizontal="center" vertical="center"/>
    </xf>
    <xf numFmtId="0" fontId="2" fillId="0" borderId="81" xfId="0" quotePrefix="1" applyFont="1" applyFill="1" applyBorder="1" applyAlignment="1">
      <alignment horizontal="center" vertical="center"/>
    </xf>
    <xf numFmtId="9" fontId="2" fillId="0" borderId="81" xfId="0" applyNumberFormat="1" applyFont="1" applyFill="1" applyBorder="1" applyAlignment="1">
      <alignment horizontal="center" vertical="center"/>
    </xf>
    <xf numFmtId="0" fontId="7" fillId="15" borderId="27"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NumberFormat="1"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NumberFormat="1" applyFont="1" applyFill="1" applyBorder="1" applyAlignment="1">
      <alignment horizontal="center" vertical="center"/>
    </xf>
    <xf numFmtId="0" fontId="14" fillId="15" borderId="28" xfId="0" applyNumberFormat="1"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NumberFormat="1" applyFont="1" applyFill="1" applyBorder="1" applyAlignment="1">
      <alignment horizontal="center" vertical="center"/>
    </xf>
    <xf numFmtId="0" fontId="22" fillId="15" borderId="28" xfId="0" applyNumberFormat="1" applyFont="1" applyFill="1" applyBorder="1" applyAlignment="1">
      <alignment horizontal="center" vertical="center"/>
    </xf>
    <xf numFmtId="0" fontId="2" fillId="0" borderId="101" xfId="0" applyFont="1" applyBorder="1" applyAlignment="1">
      <alignment horizontal="center" vertical="center" shrinkToFit="1"/>
    </xf>
    <xf numFmtId="0" fontId="5" fillId="0" borderId="98" xfId="0" applyFont="1" applyBorder="1" applyAlignment="1">
      <alignment horizontal="center" vertical="center" shrinkToFit="1"/>
    </xf>
    <xf numFmtId="164" fontId="5" fillId="0" borderId="98" xfId="0" applyNumberFormat="1" applyFont="1" applyBorder="1" applyAlignment="1">
      <alignment horizontal="center" vertical="center" shrinkToFit="1"/>
    </xf>
    <xf numFmtId="0" fontId="5" fillId="0" borderId="98" xfId="0" applyFont="1" applyBorder="1" applyAlignment="1">
      <alignment horizontal="left" vertical="center"/>
    </xf>
    <xf numFmtId="0" fontId="5" fillId="0" borderId="99" xfId="0" applyFont="1" applyBorder="1" applyAlignment="1">
      <alignment horizontal="left" vertical="center" shrinkToFit="1"/>
    </xf>
    <xf numFmtId="0" fontId="2" fillId="0" borderId="85" xfId="0" applyFont="1" applyBorder="1" applyAlignment="1">
      <alignment horizontal="center" shrinkToFit="1"/>
    </xf>
    <xf numFmtId="0" fontId="2" fillId="0" borderId="41" xfId="0" applyFont="1" applyBorder="1" applyAlignment="1">
      <alignment horizontal="center" vertical="center" shrinkToFit="1"/>
    </xf>
    <xf numFmtId="164" fontId="2" fillId="0" borderId="47" xfId="0" applyNumberFormat="1" applyFont="1" applyBorder="1" applyAlignment="1">
      <alignment horizontal="center" shrinkToFi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0" fontId="52" fillId="0" borderId="37" xfId="0" applyFont="1" applyFill="1" applyBorder="1" applyAlignment="1">
      <alignment horizontal="centerContinuous" vertical="center"/>
    </xf>
    <xf numFmtId="0" fontId="7" fillId="0" borderId="28" xfId="0" applyNumberFormat="1"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7" fillId="0" borderId="27" xfId="0" applyFont="1" applyFill="1" applyBorder="1" applyAlignment="1">
      <alignment horizontal="center" vertical="center" shrinkToFit="1"/>
    </xf>
    <xf numFmtId="0" fontId="2" fillId="16" borderId="64"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4" fillId="0" borderId="58" xfId="0" applyFont="1" applyBorder="1" applyAlignment="1">
      <alignment horizontal="right" vertical="center" wrapText="1"/>
    </xf>
    <xf numFmtId="1" fontId="2" fillId="0" borderId="104" xfId="0" applyNumberFormat="1" applyFont="1" applyBorder="1" applyAlignment="1">
      <alignment horizontal="center" vertical="center" wrapText="1"/>
    </xf>
    <xf numFmtId="1" fontId="2" fillId="0" borderId="105" xfId="0" applyNumberFormat="1" applyFont="1" applyBorder="1" applyAlignment="1">
      <alignment horizontal="center" vertical="center" wrapText="1"/>
    </xf>
    <xf numFmtId="0" fontId="2" fillId="10" borderId="105" xfId="0" applyFont="1" applyFill="1" applyBorder="1" applyAlignment="1">
      <alignment horizontal="center" vertical="center" wrapText="1"/>
    </xf>
    <xf numFmtId="0" fontId="2" fillId="10" borderId="106" xfId="0" applyFont="1" applyFill="1" applyBorder="1" applyAlignment="1">
      <alignment horizontal="center" vertical="center" wrapText="1"/>
    </xf>
    <xf numFmtId="0" fontId="4" fillId="0" borderId="103" xfId="0" applyFont="1" applyBorder="1" applyAlignment="1">
      <alignment horizontal="right" vertical="center" wrapText="1"/>
    </xf>
    <xf numFmtId="0" fontId="4" fillId="10" borderId="108" xfId="0" applyFont="1" applyFill="1" applyBorder="1" applyAlignment="1">
      <alignment horizontal="center" vertical="center" wrapText="1"/>
    </xf>
    <xf numFmtId="0" fontId="4" fillId="10" borderId="109" xfId="0" applyFont="1" applyFill="1" applyBorder="1" applyAlignment="1">
      <alignment horizontal="center" vertical="center" wrapText="1"/>
    </xf>
    <xf numFmtId="0" fontId="7" fillId="15" borderId="29" xfId="0" quotePrefix="1" applyNumberFormat="1" applyFont="1" applyFill="1" applyBorder="1" applyAlignment="1">
      <alignment horizontal="center" vertical="center"/>
    </xf>
    <xf numFmtId="0" fontId="7" fillId="17" borderId="27" xfId="0"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0" fontId="7" fillId="17" borderId="29"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6" fillId="4" borderId="11" xfId="0" applyFont="1" applyFill="1" applyBorder="1" applyAlignment="1">
      <alignment horizontal="right" vertical="center"/>
    </xf>
    <xf numFmtId="0" fontId="26" fillId="0" borderId="26" xfId="0" applyNumberFormat="1" applyFont="1" applyBorder="1" applyAlignment="1">
      <alignment horizontal="center" vertical="center"/>
    </xf>
    <xf numFmtId="0" fontId="54" fillId="0" borderId="33" xfId="0" applyFont="1" applyBorder="1" applyAlignment="1">
      <alignment horizontal="centerContinuous" vertical="center"/>
    </xf>
    <xf numFmtId="0" fontId="55" fillId="0" borderId="33" xfId="0" applyFont="1" applyBorder="1" applyAlignment="1">
      <alignment horizontal="centerContinuous" vertical="center" wrapText="1"/>
    </xf>
    <xf numFmtId="0" fontId="56" fillId="0" borderId="33" xfId="0" applyFont="1" applyBorder="1" applyAlignment="1">
      <alignment horizontal="centerContinuous" vertical="center" wrapText="1"/>
    </xf>
    <xf numFmtId="0" fontId="51" fillId="0" borderId="37" xfId="0" applyFont="1" applyFill="1" applyBorder="1" applyAlignment="1">
      <alignment horizontal="centerContinuous" vertical="center"/>
    </xf>
    <xf numFmtId="1" fontId="2" fillId="0" borderId="51" xfId="0" applyNumberFormat="1" applyFont="1" applyFill="1" applyBorder="1" applyAlignment="1">
      <alignment horizontal="center" vertical="center"/>
    </xf>
    <xf numFmtId="1" fontId="21" fillId="12" borderId="33" xfId="0" applyNumberFormat="1" applyFont="1" applyFill="1" applyBorder="1" applyAlignment="1">
      <alignment horizontal="center" vertical="center"/>
    </xf>
    <xf numFmtId="1" fontId="2" fillId="0" borderId="93" xfId="0" applyNumberFormat="1" applyFont="1" applyBorder="1" applyAlignment="1">
      <alignment horizontal="center" vertical="center"/>
    </xf>
    <xf numFmtId="1" fontId="2" fillId="0" borderId="100" xfId="0" applyNumberFormat="1" applyFont="1" applyBorder="1" applyAlignment="1">
      <alignment horizontal="center" vertical="center"/>
    </xf>
    <xf numFmtId="0" fontId="2" fillId="0" borderId="111" xfId="0" applyFont="1" applyFill="1" applyBorder="1" applyAlignment="1">
      <alignment horizontal="center" vertical="center"/>
    </xf>
    <xf numFmtId="0" fontId="2" fillId="0" borderId="111" xfId="0" quotePrefix="1" applyFont="1" applyFill="1" applyBorder="1" applyAlignment="1">
      <alignment horizontal="center" vertical="center" wrapText="1"/>
    </xf>
    <xf numFmtId="49" fontId="2" fillId="0" borderId="111" xfId="2" applyNumberFormat="1" applyFont="1" applyFill="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164" fontId="2" fillId="0" borderId="111" xfId="0" applyNumberFormat="1" applyFont="1" applyFill="1" applyBorder="1" applyAlignment="1">
      <alignment horizontal="center" vertical="center"/>
    </xf>
    <xf numFmtId="164" fontId="5" fillId="0" borderId="113" xfId="0" applyNumberFormat="1" applyFont="1" applyFill="1" applyBorder="1" applyAlignment="1">
      <alignment horizontal="center" vertical="center"/>
    </xf>
    <xf numFmtId="1" fontId="48" fillId="13" borderId="113" xfId="0" applyNumberFormat="1" applyFont="1" applyFill="1" applyBorder="1" applyAlignment="1">
      <alignment horizontal="center" vertical="center"/>
    </xf>
    <xf numFmtId="1" fontId="2" fillId="0" borderId="56" xfId="0" applyNumberFormat="1" applyFont="1" applyBorder="1" applyAlignment="1">
      <alignment horizontal="center" vertical="center"/>
    </xf>
    <xf numFmtId="1" fontId="5" fillId="0" borderId="115" xfId="0" applyNumberFormat="1" applyFont="1" applyBorder="1" applyAlignment="1">
      <alignment horizontal="center" vertical="center"/>
    </xf>
    <xf numFmtId="0" fontId="5" fillId="0" borderId="116" xfId="0" applyFont="1" applyBorder="1" applyAlignment="1">
      <alignment horizontal="center" vertical="center"/>
    </xf>
    <xf numFmtId="0" fontId="2" fillId="0" borderId="110" xfId="0" applyFont="1" applyFill="1" applyBorder="1" applyAlignment="1">
      <alignment horizontal="center" vertical="center"/>
    </xf>
    <xf numFmtId="1" fontId="2" fillId="9" borderId="51"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8" xfId="0" applyFont="1" applyFill="1" applyBorder="1" applyAlignment="1">
      <alignment horizontal="center" vertical="center"/>
    </xf>
    <xf numFmtId="49" fontId="2" fillId="18" borderId="48" xfId="0" applyNumberFormat="1" applyFont="1" applyFill="1" applyBorder="1" applyAlignment="1">
      <alignment horizontal="center" vertical="center"/>
    </xf>
    <xf numFmtId="164" fontId="2" fillId="18" borderId="48" xfId="0" applyNumberFormat="1" applyFont="1" applyFill="1" applyBorder="1" applyAlignment="1">
      <alignment horizontal="center" vertical="center"/>
    </xf>
    <xf numFmtId="1" fontId="2" fillId="18" borderId="50"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16" fillId="0" borderId="0" xfId="0" applyNumberFormat="1" applyFont="1" applyBorder="1" applyAlignment="1">
      <alignment vertical="center"/>
    </xf>
    <xf numFmtId="1" fontId="7" fillId="0" borderId="26" xfId="0" applyNumberFormat="1" applyFont="1" applyFill="1" applyBorder="1" applyAlignment="1">
      <alignment horizontal="centerContinuous" vertical="center"/>
    </xf>
    <xf numFmtId="1" fontId="7" fillId="0" borderId="102" xfId="0" applyNumberFormat="1" applyFont="1" applyFill="1" applyBorder="1" applyAlignment="1">
      <alignment horizontal="centerContinuous" vertical="center"/>
    </xf>
    <xf numFmtId="0" fontId="7" fillId="0" borderId="28" xfId="8" applyNumberFormat="1" applyFont="1" applyFill="1" applyBorder="1" applyAlignment="1">
      <alignment horizontal="center" vertical="center" shrinkToFit="1"/>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1" xfId="0" applyNumberFormat="1" applyFont="1" applyBorder="1" applyAlignment="1">
      <alignment horizontal="center" vertical="center"/>
    </xf>
    <xf numFmtId="49" fontId="2" fillId="0" borderId="111" xfId="0" applyNumberFormat="1" applyFont="1" applyBorder="1" applyAlignment="1">
      <alignment horizontal="center" vertical="center"/>
    </xf>
    <xf numFmtId="164" fontId="2" fillId="0" borderId="111" xfId="0" applyNumberFormat="1" applyFont="1" applyBorder="1" applyAlignment="1">
      <alignment horizontal="center" vertical="center"/>
    </xf>
    <xf numFmtId="1" fontId="5" fillId="0" borderId="113" xfId="0" applyNumberFormat="1" applyFont="1" applyBorder="1" applyAlignment="1">
      <alignment horizontal="center" vertical="center"/>
    </xf>
    <xf numFmtId="0" fontId="21" fillId="0" borderId="117" xfId="0" applyFont="1" applyFill="1" applyBorder="1" applyAlignment="1">
      <alignment horizontal="center" vertical="center"/>
    </xf>
    <xf numFmtId="0" fontId="6" fillId="4" borderId="32" xfId="0" applyFont="1" applyFill="1" applyBorder="1" applyAlignment="1">
      <alignment horizontal="right" vertical="center"/>
    </xf>
    <xf numFmtId="164" fontId="2" fillId="0" borderId="98" xfId="0" applyNumberFormat="1" applyFont="1" applyBorder="1" applyAlignment="1">
      <alignment horizontal="center" vertical="center" shrinkToFit="1"/>
    </xf>
    <xf numFmtId="0" fontId="2" fillId="0" borderId="99" xfId="0" applyFont="1" applyBorder="1" applyAlignment="1">
      <alignment horizontal="left" vertical="center" shrinkToFit="1"/>
    </xf>
    <xf numFmtId="49" fontId="2" fillId="0" borderId="75" xfId="0" quotePrefix="1" applyNumberFormat="1" applyFont="1" applyFill="1" applyBorder="1" applyAlignment="1">
      <alignment horizontal="center" vertical="center"/>
    </xf>
    <xf numFmtId="49" fontId="17" fillId="0" borderId="35" xfId="0" applyNumberFormat="1" applyFont="1" applyBorder="1" applyAlignment="1">
      <alignment horizontal="center" shrinkToFit="1"/>
    </xf>
    <xf numFmtId="0" fontId="39" fillId="19" borderId="107" xfId="0" applyFont="1" applyFill="1" applyBorder="1" applyAlignment="1">
      <alignment horizontal="center" vertical="center" wrapText="1"/>
    </xf>
    <xf numFmtId="0" fontId="39" fillId="19" borderId="108" xfId="0" applyFont="1" applyFill="1" applyBorder="1" applyAlignment="1">
      <alignment horizontal="center" vertical="center" wrapText="1"/>
    </xf>
    <xf numFmtId="0" fontId="58" fillId="0" borderId="0" xfId="0" applyFont="1" applyBorder="1" applyAlignment="1">
      <alignment horizontal="centerContinuous" vertical="center" wrapText="1"/>
    </xf>
    <xf numFmtId="0" fontId="59" fillId="0" borderId="0" xfId="0" applyFont="1" applyBorder="1" applyAlignment="1">
      <alignment vertical="center"/>
    </xf>
    <xf numFmtId="164" fontId="2" fillId="0" borderId="42" xfId="0" applyNumberFormat="1" applyFont="1" applyBorder="1" applyAlignment="1">
      <alignment horizontal="center" vertical="center" shrinkToFit="1"/>
    </xf>
    <xf numFmtId="0" fontId="2" fillId="0" borderId="74" xfId="0" applyFont="1" applyFill="1" applyBorder="1" applyAlignment="1">
      <alignment horizontal="center" vertical="center" shrinkToFit="1"/>
    </xf>
    <xf numFmtId="1" fontId="7" fillId="0" borderId="71" xfId="0" applyNumberFormat="1" applyFont="1" applyFill="1" applyBorder="1" applyAlignment="1">
      <alignment horizontal="centerContinuous" vertical="center"/>
    </xf>
    <xf numFmtId="0" fontId="2" fillId="0" borderId="72" xfId="0" applyFont="1" applyFill="1" applyBorder="1" applyAlignment="1">
      <alignment horizontal="centerContinuous" vertical="center"/>
    </xf>
    <xf numFmtId="49" fontId="7" fillId="0" borderId="30" xfId="0" applyNumberFormat="1"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1" fontId="2" fillId="0" borderId="114" xfId="0" applyNumberFormat="1" applyFont="1" applyBorder="1" applyAlignment="1">
      <alignment horizontal="center" vertical="center" shrinkToFit="1"/>
    </xf>
    <xf numFmtId="1" fontId="2" fillId="0" borderId="100" xfId="0" applyNumberFormat="1" applyFont="1" applyFill="1" applyBorder="1" applyAlignment="1">
      <alignment horizontal="center" vertical="center"/>
    </xf>
    <xf numFmtId="1" fontId="2" fillId="0" borderId="51" xfId="0" applyNumberFormat="1" applyFont="1" applyBorder="1" applyAlignment="1">
      <alignment horizontal="center" vertical="center"/>
    </xf>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5" fillId="0" borderId="48" xfId="0" quotePrefix="1" applyFont="1" applyBorder="1" applyAlignment="1">
      <alignment horizontal="center" vertical="center" wrapText="1"/>
    </xf>
    <xf numFmtId="49" fontId="5" fillId="0" borderId="48" xfId="2" applyNumberFormat="1" applyFont="1" applyBorder="1" applyAlignment="1">
      <alignment horizontal="center" vertical="center"/>
    </xf>
    <xf numFmtId="49" fontId="2" fillId="0" borderId="48" xfId="2" applyNumberFormat="1" applyFont="1" applyBorder="1" applyAlignment="1">
      <alignment horizontal="center" vertical="center"/>
    </xf>
    <xf numFmtId="0" fontId="2" fillId="0" borderId="48" xfId="0" applyFont="1" applyBorder="1" applyAlignment="1">
      <alignment horizontal="center" vertical="center" shrinkToFit="1"/>
    </xf>
    <xf numFmtId="0" fontId="4" fillId="0" borderId="119" xfId="0" applyFont="1" applyBorder="1" applyAlignment="1">
      <alignment horizontal="center" vertical="center"/>
    </xf>
    <xf numFmtId="0" fontId="10" fillId="17" borderId="1" xfId="0" applyFont="1" applyFill="1" applyBorder="1" applyAlignment="1">
      <alignment vertical="center"/>
    </xf>
    <xf numFmtId="49" fontId="27" fillId="17" borderId="27" xfId="0" applyNumberFormat="1" applyFont="1" applyFill="1" applyBorder="1" applyAlignment="1">
      <alignment horizontal="center" vertical="center"/>
    </xf>
    <xf numFmtId="0" fontId="27" fillId="17" borderId="28" xfId="0" applyNumberFormat="1" applyFont="1" applyFill="1" applyBorder="1" applyAlignment="1">
      <alignment horizontal="center" vertical="center"/>
    </xf>
    <xf numFmtId="0" fontId="10" fillId="17" borderId="28" xfId="0" applyNumberFormat="1" applyFont="1" applyFill="1" applyBorder="1" applyAlignment="1">
      <alignment horizontal="center" vertical="center"/>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NumberFormat="1" applyFont="1" applyFill="1" applyBorder="1" applyAlignment="1">
      <alignment horizontal="center" vertical="center"/>
    </xf>
    <xf numFmtId="0" fontId="11"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61"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NumberFormat="1" applyFont="1" applyFill="1" applyBorder="1" applyAlignment="1">
      <alignment horizontal="centerContinuous" vertical="center"/>
    </xf>
    <xf numFmtId="0" fontId="36" fillId="2" borderId="65" xfId="0" applyFont="1" applyFill="1" applyBorder="1" applyAlignment="1">
      <alignment horizontal="right" vertical="center"/>
    </xf>
    <xf numFmtId="0" fontId="51" fillId="9" borderId="51" xfId="0" quotePrefix="1" applyFont="1" applyFill="1" applyBorder="1" applyAlignment="1">
      <alignment horizontal="center" vertical="center" shrinkToFit="1"/>
    </xf>
    <xf numFmtId="0" fontId="7" fillId="0" borderId="49" xfId="0"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9" xfId="0" applyFont="1" applyBorder="1" applyAlignment="1">
      <alignment horizontal="center" vertical="center" wrapText="1"/>
    </xf>
    <xf numFmtId="9" fontId="7" fillId="0" borderId="28" xfId="8"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11" borderId="14" xfId="0" applyNumberFormat="1" applyFont="1" applyFill="1" applyBorder="1" applyAlignment="1">
      <alignment horizontal="center" vertical="center" shrinkToFit="1"/>
    </xf>
    <xf numFmtId="0" fontId="17" fillId="9" borderId="57" xfId="0" quotePrefix="1" applyFont="1" applyFill="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0"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3" fontId="7" fillId="0" borderId="12" xfId="0" applyNumberFormat="1" applyFont="1" applyBorder="1" applyAlignment="1">
      <alignment horizontal="center" vertical="center"/>
    </xf>
    <xf numFmtId="164" fontId="2" fillId="0" borderId="50" xfId="0" applyNumberFormat="1" applyFont="1" applyFill="1" applyBorder="1" applyAlignment="1">
      <alignment horizontal="center" vertical="center"/>
    </xf>
    <xf numFmtId="1" fontId="2" fillId="0" borderId="118" xfId="0" applyNumberFormat="1" applyFont="1" applyBorder="1" applyAlignment="1">
      <alignment horizontal="center" vertical="center"/>
    </xf>
    <xf numFmtId="1" fontId="2" fillId="9" borderId="57" xfId="0" applyNumberFormat="1" applyFont="1" applyFill="1" applyBorder="1" applyAlignment="1">
      <alignment horizontal="center" vertical="center"/>
    </xf>
    <xf numFmtId="164" fontId="2" fillId="0" borderId="48" xfId="0" applyNumberFormat="1" applyFont="1" applyFill="1" applyBorder="1" applyAlignment="1">
      <alignment horizontal="center" vertical="center"/>
    </xf>
    <xf numFmtId="49" fontId="7" fillId="0" borderId="28" xfId="0" applyNumberFormat="1" applyFont="1" applyBorder="1" applyAlignment="1">
      <alignment horizontal="center" vertical="center"/>
    </xf>
    <xf numFmtId="0" fontId="13"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4" fillId="9" borderId="27" xfId="0" applyNumberFormat="1" applyFont="1" applyFill="1" applyBorder="1" applyAlignment="1">
      <alignment horizontal="center" vertical="center"/>
    </xf>
    <xf numFmtId="0" fontId="24" fillId="9" borderId="28" xfId="0" applyNumberFormat="1" applyFont="1" applyFill="1" applyBorder="1" applyAlignment="1">
      <alignment horizontal="center" vertical="center"/>
    </xf>
    <xf numFmtId="0" fontId="13" fillId="9" borderId="28" xfId="0" applyNumberFormat="1" applyFont="1" applyFill="1" applyBorder="1" applyAlignment="1">
      <alignment horizontal="center" vertical="center"/>
    </xf>
    <xf numFmtId="0" fontId="7"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NumberFormat="1" applyFont="1" applyFill="1" applyBorder="1" applyAlignment="1">
      <alignment horizontal="center" vertical="center"/>
    </xf>
    <xf numFmtId="0" fontId="2" fillId="0" borderId="0" xfId="0" applyFont="1" applyAlignment="1">
      <alignment horizontal="center" vertical="center" shrinkToFit="1"/>
    </xf>
    <xf numFmtId="0" fontId="62"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21" xfId="0" applyFont="1" applyBorder="1" applyAlignment="1">
      <alignment horizontal="left" vertical="center"/>
    </xf>
    <xf numFmtId="1" fontId="2" fillId="0" borderId="37" xfId="0" applyNumberFormat="1" applyFont="1" applyBorder="1" applyAlignment="1">
      <alignment horizontal="center" vertical="center" shrinkToFit="1"/>
    </xf>
    <xf numFmtId="0" fontId="2" fillId="0" borderId="90" xfId="0" applyFont="1" applyBorder="1" applyAlignment="1">
      <alignment horizontal="center" vertical="center" shrinkToFit="1"/>
    </xf>
    <xf numFmtId="1" fontId="2" fillId="0" borderId="44" xfId="0" applyNumberFormat="1" applyFont="1" applyBorder="1" applyAlignment="1">
      <alignment horizontal="center" vertical="center" shrinkToFit="1"/>
    </xf>
    <xf numFmtId="0" fontId="2" fillId="0" borderId="122"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applyBorder="1" applyAlignment="1"/>
    <xf numFmtId="1" fontId="2" fillId="0" borderId="56" xfId="0" applyNumberFormat="1" applyFont="1" applyFill="1" applyBorder="1" applyAlignment="1">
      <alignment horizontal="center" vertical="center" shrinkToFit="1"/>
    </xf>
    <xf numFmtId="1" fontId="2" fillId="0" borderId="58" xfId="0" applyNumberFormat="1" applyFont="1" applyFill="1" applyBorder="1" applyAlignment="1">
      <alignment horizontal="center" vertical="center" shrinkToFit="1"/>
    </xf>
    <xf numFmtId="1" fontId="2" fillId="0" borderId="51" xfId="0" applyNumberFormat="1" applyFont="1" applyFill="1" applyBorder="1" applyAlignment="1">
      <alignment horizontal="center" vertical="center" shrinkToFit="1"/>
    </xf>
    <xf numFmtId="1" fontId="2" fillId="0" borderId="0" xfId="0" applyNumberFormat="1" applyFont="1" applyFill="1" applyBorder="1" applyAlignment="1">
      <alignment horizontal="center" vertical="center" shrinkToFit="1"/>
    </xf>
    <xf numFmtId="0" fontId="2" fillId="0" borderId="95" xfId="0" applyFont="1" applyBorder="1" applyAlignment="1">
      <alignment horizontal="center" vertical="center" shrinkToFit="1"/>
    </xf>
    <xf numFmtId="1" fontId="2" fillId="0" borderId="98" xfId="0" applyNumberFormat="1" applyFont="1" applyBorder="1" applyAlignment="1">
      <alignment horizontal="center" vertical="center" shrinkToFit="1"/>
    </xf>
    <xf numFmtId="0" fontId="2" fillId="0" borderId="123" xfId="0" applyFont="1" applyBorder="1" applyAlignment="1">
      <alignment horizontal="left" vertical="center"/>
    </xf>
    <xf numFmtId="1" fontId="2" fillId="0" borderId="100" xfId="0" applyNumberFormat="1" applyFont="1" applyBorder="1" applyAlignment="1">
      <alignment horizontal="center" vertical="center" shrinkToFit="1"/>
    </xf>
    <xf numFmtId="2" fontId="2" fillId="0" borderId="58" xfId="0" applyNumberFormat="1" applyFont="1" applyFill="1" applyBorder="1" applyAlignment="1">
      <alignment horizontal="center" vertical="center" shrinkToFit="1"/>
    </xf>
    <xf numFmtId="2" fontId="2" fillId="0" borderId="37" xfId="0" applyNumberFormat="1" applyFont="1" applyBorder="1" applyAlignment="1">
      <alignment horizontal="center" vertical="center" shrinkToFit="1"/>
    </xf>
    <xf numFmtId="0" fontId="7" fillId="18" borderId="26" xfId="0" quotePrefix="1"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7" xfId="0" quotePrefix="1" applyFont="1" applyFill="1" applyBorder="1" applyAlignment="1">
      <alignment horizontal="center" vertical="center" wrapText="1"/>
    </xf>
    <xf numFmtId="49" fontId="2" fillId="0" borderId="27" xfId="2" applyNumberFormat="1" applyFont="1" applyFill="1" applyBorder="1" applyAlignment="1">
      <alignment horizontal="center" vertical="center"/>
    </xf>
    <xf numFmtId="0" fontId="2" fillId="0" borderId="27" xfId="0" applyFont="1" applyFill="1" applyBorder="1" applyAlignment="1">
      <alignment horizontal="center" vertical="center" shrinkToFit="1"/>
    </xf>
    <xf numFmtId="164" fontId="2"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1" fontId="5" fillId="0" borderId="124" xfId="0" applyNumberFormat="1" applyFont="1" applyBorder="1" applyAlignment="1">
      <alignment horizontal="center" vertical="center"/>
    </xf>
    <xf numFmtId="0" fontId="5" fillId="0" borderId="125" xfId="0" applyFont="1" applyBorder="1" applyAlignment="1">
      <alignment horizontal="center" vertical="center"/>
    </xf>
    <xf numFmtId="1" fontId="2" fillId="0" borderId="114" xfId="0" applyNumberFormat="1" applyFont="1" applyBorder="1" applyAlignment="1">
      <alignment horizontal="center" vertical="center"/>
    </xf>
    <xf numFmtId="1" fontId="48" fillId="13" borderId="126" xfId="0" applyNumberFormat="1" applyFont="1" applyFill="1" applyBorder="1" applyAlignment="1">
      <alignment horizontal="center" vertical="center"/>
    </xf>
    <xf numFmtId="1" fontId="48" fillId="13" borderId="127" xfId="0" applyNumberFormat="1" applyFont="1" applyFill="1" applyBorder="1" applyAlignment="1">
      <alignment horizontal="center" vertical="center"/>
    </xf>
    <xf numFmtId="1" fontId="48" fillId="13" borderId="128" xfId="0" applyNumberFormat="1" applyFont="1" applyFill="1" applyBorder="1" applyAlignment="1">
      <alignment horizontal="center" vertical="center"/>
    </xf>
    <xf numFmtId="0" fontId="63" fillId="2" borderId="66" xfId="0"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5">
    <dxf>
      <fill>
        <patternFill>
          <bgColor rgb="FFFF0000"/>
        </patternFill>
      </fill>
    </dxf>
    <dxf>
      <font>
        <color rgb="FFFF0000"/>
      </font>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CCFFCC"/>
      <color rgb="FF00FF00"/>
      <color rgb="FF9966FF"/>
      <color rgb="FFFF00FF"/>
      <color rgb="FF66FF33"/>
      <color rgb="FF0000FF"/>
      <color rgb="FF66FF66"/>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66675</xdr:rowOff>
    </xdr:from>
    <xdr:to>
      <xdr:col>6</xdr:col>
      <xdr:colOff>1276350</xdr:colOff>
      <xdr:row>32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a:t>
          </a:r>
          <a:r>
            <a:rPr lang="en-US" sz="1200">
              <a:effectLst/>
              <a:latin typeface="Times New Roman" panose="02020603050405020304" pitchFamily="18" charset="0"/>
              <a:ea typeface="+mn-ea"/>
              <a:cs typeface="Times New Roman" panose="02020603050405020304" pitchFamily="18" charset="0"/>
            </a:rPr>
            <a:t>  Short, stylish, raven hair, sideburns and ‘stache.  Dark grey eyes.   Slender, sharp features and angles.  Tends toward cool, flowy clothing styles, with skirts, sashes, and scarves.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 Born to a half-elf adventurer woman and a human smithmaster.  They were “killed by bandits” when Luran was very young.  (True or not, this is the story he was told, later.) He was adopted and raised by his human uncle, a bard in Darramor.  During his youth, Luran came to appreciate music and its impact on people and their lives.  He came to see music as a divine force, a benevolent, creative energy that runs through all of the multiverse.  In dreams and visions, he is inspired to identify the Triad (Tyr, Torm, and Ilmater) as an important manifestation of Good in his world, in large part due to their position as gods of action, not merely philosophy or ideals.  He takes on the goal of composing an ultimate symphony, encompassing the Triad’s theology and his own ideology of Musica Beneva.  He joined the College Fochluchan to further this goal.  He has been active and ambitious in this body, raising as he may through its ranks.  His travels and duties eventually brought him back near his old stomping grounds, where he began to establish himself as an astrologer (seeking the true Music of the Spheres), adventurer and all around influence for good to those who come to know him.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His lucky and the support of others that Luran has enjoyed his entire life (due to his charismatic character) have brought out within him an overflowing optimism that rarely, if ever, is diminished by hardship or obstacle.  He is sometimes foolishly hopeful for what the future will bring, smiling and looking forward in even the darkest of moments.</a:t>
          </a:r>
        </a:p>
      </xdr:txBody>
    </xdr:sp>
    <xdr:clientData/>
  </xdr:twoCellAnchor>
  <xdr:twoCellAnchor>
    <xdr:from>
      <xdr:col>5</xdr:col>
      <xdr:colOff>66675</xdr:colOff>
      <xdr:row>13</xdr:row>
      <xdr:rowOff>175260</xdr:rowOff>
    </xdr:from>
    <xdr:to>
      <xdr:col>6</xdr:col>
      <xdr:colOff>1074420</xdr:colOff>
      <xdr:row>14</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43375" y="3147060"/>
          <a:ext cx="215074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60961</xdr:colOff>
      <xdr:row>1</xdr:row>
      <xdr:rowOff>91690</xdr:rowOff>
    </xdr:from>
    <xdr:to>
      <xdr:col>6</xdr:col>
      <xdr:colOff>1093483</xdr:colOff>
      <xdr:row>13</xdr:row>
      <xdr:rowOff>60959</xdr:rowOff>
    </xdr:to>
    <xdr:pic>
      <xdr:nvPicPr>
        <xdr:cNvPr id="3" name="Picture 2">
          <a:extLst>
            <a:ext uri="{FF2B5EF4-FFF2-40B4-BE49-F238E27FC236}">
              <a16:creationId xmlns:a16="http://schemas.microsoft.com/office/drawing/2014/main" id="{9E6B8C7F-E5FB-440B-B9DA-D3AE6DDE88FE}"/>
            </a:ext>
          </a:extLst>
        </xdr:cNvPr>
        <xdr:cNvPicPr>
          <a:picLocks noChangeAspect="1"/>
        </xdr:cNvPicPr>
      </xdr:nvPicPr>
      <xdr:blipFill>
        <a:blip xmlns:r="http://schemas.openxmlformats.org/officeDocument/2006/relationships" r:embed="rId1"/>
        <a:stretch>
          <a:fillRect/>
        </a:stretch>
      </xdr:blipFill>
      <xdr:spPr>
        <a:xfrm>
          <a:off x="4137661" y="465070"/>
          <a:ext cx="2175522" cy="2567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123825</xdr:colOff>
      <xdr:row>1</xdr:row>
      <xdr:rowOff>123825</xdr:rowOff>
    </xdr:from>
    <xdr:to>
      <xdr:col>4</xdr:col>
      <xdr:colOff>337185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ckham.carl@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GridLines="0" tabSelected="1" zoomScaleNormal="100" workbookViewId="0"/>
  </sheetViews>
  <sheetFormatPr defaultColWidth="13" defaultRowHeight="15.6"/>
  <cols>
    <col min="1" max="1" width="13.796875" style="60" customWidth="1"/>
    <col min="2" max="2" width="10" style="61" customWidth="1"/>
    <col min="3" max="3" width="5.09765625" style="61" customWidth="1"/>
    <col min="4" max="4" width="13.69921875" style="60" bestFit="1" customWidth="1"/>
    <col min="5" max="5" width="10.8984375" style="61" bestFit="1" customWidth="1"/>
    <col min="6" max="6" width="15" style="60" customWidth="1"/>
    <col min="7" max="7" width="15" style="61" customWidth="1"/>
    <col min="8" max="16384" width="13" style="17"/>
  </cols>
  <sheetData>
    <row r="1" spans="1:7" ht="29.4" thickTop="1" thickBot="1">
      <c r="A1" s="415" t="s">
        <v>190</v>
      </c>
      <c r="B1" s="13" t="s">
        <v>192</v>
      </c>
      <c r="C1" s="14"/>
      <c r="D1" s="15"/>
      <c r="E1" s="491"/>
      <c r="F1" s="15"/>
      <c r="G1" s="16" t="s">
        <v>193</v>
      </c>
    </row>
    <row r="2" spans="1:7" ht="17.399999999999999" thickTop="1">
      <c r="A2" s="18" t="s">
        <v>166</v>
      </c>
      <c r="B2" s="19" t="s">
        <v>197</v>
      </c>
      <c r="C2" s="19"/>
      <c r="D2" s="20" t="s">
        <v>168</v>
      </c>
      <c r="E2" s="21" t="s">
        <v>191</v>
      </c>
      <c r="F2" s="22"/>
      <c r="G2" s="23"/>
    </row>
    <row r="3" spans="1:7" ht="16.8">
      <c r="A3" s="18" t="s">
        <v>167</v>
      </c>
      <c r="B3" s="19" t="s">
        <v>124</v>
      </c>
      <c r="C3" s="19"/>
      <c r="D3" s="20" t="s">
        <v>0</v>
      </c>
      <c r="E3" s="21">
        <v>5</v>
      </c>
      <c r="F3" s="20"/>
      <c r="G3" s="23"/>
    </row>
    <row r="4" spans="1:7" ht="16.8">
      <c r="A4" s="18" t="s">
        <v>180</v>
      </c>
      <c r="B4" s="19" t="s">
        <v>198</v>
      </c>
      <c r="C4" s="19"/>
      <c r="D4" s="20" t="s">
        <v>169</v>
      </c>
      <c r="E4" s="21">
        <v>33</v>
      </c>
      <c r="F4" s="20"/>
      <c r="G4" s="23"/>
    </row>
    <row r="5" spans="1:7" ht="16.8">
      <c r="A5" s="18" t="s">
        <v>179</v>
      </c>
      <c r="B5" s="19" t="s">
        <v>206</v>
      </c>
      <c r="C5" s="19"/>
      <c r="D5" s="20" t="s">
        <v>181</v>
      </c>
      <c r="E5" s="21" t="s">
        <v>194</v>
      </c>
      <c r="F5" s="20"/>
      <c r="G5" s="23"/>
    </row>
    <row r="6" spans="1:7" ht="17.399999999999999" thickBot="1">
      <c r="A6" s="18" t="s">
        <v>170</v>
      </c>
      <c r="B6" s="19" t="s">
        <v>196</v>
      </c>
      <c r="C6" s="19"/>
      <c r="D6" s="20" t="s">
        <v>182</v>
      </c>
      <c r="E6" s="21" t="s">
        <v>195</v>
      </c>
      <c r="F6" s="20"/>
      <c r="G6" s="23"/>
    </row>
    <row r="7" spans="1:7" ht="17.399999999999999" thickTop="1">
      <c r="A7" s="24" t="s">
        <v>184</v>
      </c>
      <c r="B7" s="386">
        <f>3</f>
        <v>3</v>
      </c>
      <c r="C7" s="387"/>
      <c r="D7" s="25" t="s">
        <v>83</v>
      </c>
      <c r="E7" s="26" t="s">
        <v>117</v>
      </c>
      <c r="F7" s="27"/>
      <c r="G7" s="23"/>
    </row>
    <row r="8" spans="1:7" ht="17.399999999999999" thickBot="1">
      <c r="A8" s="330" t="s">
        <v>183</v>
      </c>
      <c r="B8" s="365" t="str">
        <f>C10</f>
        <v>+1</v>
      </c>
      <c r="C8" s="366"/>
      <c r="D8" s="375" t="s">
        <v>239</v>
      </c>
      <c r="E8" s="439">
        <v>19380</v>
      </c>
      <c r="F8" s="27"/>
      <c r="G8" s="23"/>
    </row>
    <row r="9" spans="1:7" ht="17.399999999999999" thickTop="1">
      <c r="A9" s="28" t="s">
        <v>171</v>
      </c>
      <c r="B9" s="359">
        <f>9</f>
        <v>9</v>
      </c>
      <c r="C9" s="29">
        <f t="shared" ref="C9:C12" si="0">IF(B9&gt;9.9,CONCATENATE("+",ROUNDDOWN((B9-10)/2,0)),ROUNDUP((B9-10)/2,0))</f>
        <v>-1</v>
      </c>
      <c r="D9" s="30" t="s">
        <v>185</v>
      </c>
      <c r="E9" s="379" t="s">
        <v>205</v>
      </c>
      <c r="F9" s="27"/>
      <c r="G9" s="23"/>
    </row>
    <row r="10" spans="1:7" ht="16.8">
      <c r="A10" s="31" t="s">
        <v>172</v>
      </c>
      <c r="B10" s="36">
        <f>12</f>
        <v>12</v>
      </c>
      <c r="C10" s="32" t="str">
        <f t="shared" si="0"/>
        <v>+1</v>
      </c>
      <c r="D10" s="33" t="s">
        <v>186</v>
      </c>
      <c r="E10" s="34">
        <f>SUM(Martial!G3:G16)+SUM(Equipment!C3:C13)</f>
        <v>30.5</v>
      </c>
      <c r="F10" s="27"/>
      <c r="G10" s="23"/>
    </row>
    <row r="11" spans="1:7" ht="16.8">
      <c r="A11" s="35" t="s">
        <v>173</v>
      </c>
      <c r="B11" s="36">
        <f>12</f>
        <v>12</v>
      </c>
      <c r="C11" s="37" t="str">
        <f t="shared" si="0"/>
        <v>+1</v>
      </c>
      <c r="D11" s="33" t="s">
        <v>187</v>
      </c>
      <c r="E11" s="38">
        <f>ROUNDUP(((E3*8)*0.75)+(E3*C11),0)</f>
        <v>35</v>
      </c>
      <c r="F11" s="27"/>
      <c r="G11" s="23"/>
    </row>
    <row r="12" spans="1:7" ht="16.8">
      <c r="A12" s="39" t="s">
        <v>174</v>
      </c>
      <c r="B12" s="36">
        <f>13</f>
        <v>13</v>
      </c>
      <c r="C12" s="32" t="str">
        <f t="shared" si="0"/>
        <v>+1</v>
      </c>
      <c r="D12" s="40" t="s">
        <v>188</v>
      </c>
      <c r="E12" s="388">
        <f>10+C10</f>
        <v>11</v>
      </c>
      <c r="F12" s="18"/>
      <c r="G12" s="23"/>
    </row>
    <row r="13" spans="1:7" ht="16.8">
      <c r="A13" s="42" t="s">
        <v>175</v>
      </c>
      <c r="B13" s="43">
        <f>8</f>
        <v>8</v>
      </c>
      <c r="C13" s="29">
        <f t="shared" ref="C13:C14" si="1">IF(B13&gt;9.9,CONCATENATE("+",ROUNDDOWN((B13-10)/2,0)),ROUNDUP((B13-10)/2,0))</f>
        <v>-1</v>
      </c>
      <c r="D13" s="40" t="s">
        <v>189</v>
      </c>
      <c r="E13" s="41">
        <f>E14-C10</f>
        <v>16</v>
      </c>
      <c r="F13" s="27"/>
      <c r="G13" s="23"/>
    </row>
    <row r="14" spans="1:7" ht="17.399999999999999" thickBot="1">
      <c r="A14" s="44" t="s">
        <v>176</v>
      </c>
      <c r="B14" s="477">
        <f>18+2</f>
        <v>20</v>
      </c>
      <c r="C14" s="331" t="str">
        <f t="shared" si="1"/>
        <v>+5</v>
      </c>
      <c r="D14" s="45" t="s">
        <v>177</v>
      </c>
      <c r="E14" s="46">
        <f>E12+SUM(Martial!B12:B13)</f>
        <v>17</v>
      </c>
      <c r="F14" s="27"/>
      <c r="G14" s="23"/>
    </row>
    <row r="15" spans="1:7" ht="24" thickTop="1" thickBot="1">
      <c r="A15" s="47" t="s">
        <v>18</v>
      </c>
      <c r="B15" s="48"/>
      <c r="C15" s="48"/>
      <c r="D15" s="49"/>
      <c r="E15" s="364"/>
      <c r="F15" s="49"/>
      <c r="G15" s="50"/>
    </row>
    <row r="16" spans="1:7" s="12" customFormat="1" ht="17.399999999999999" thickTop="1">
      <c r="A16" s="51"/>
      <c r="B16" s="52"/>
      <c r="C16" s="52"/>
      <c r="D16" s="52"/>
      <c r="E16" s="52"/>
      <c r="F16" s="52"/>
      <c r="G16" s="53"/>
    </row>
    <row r="17" spans="1:7" s="12" customFormat="1" ht="16.8">
      <c r="A17" s="54"/>
      <c r="B17" s="55"/>
      <c r="C17" s="55"/>
      <c r="D17" s="55"/>
      <c r="E17" s="55"/>
      <c r="F17" s="55"/>
      <c r="G17" s="56"/>
    </row>
    <row r="18" spans="1:7" s="12" customFormat="1" ht="16.8">
      <c r="A18" s="54"/>
      <c r="B18" s="55"/>
      <c r="C18" s="55"/>
      <c r="D18" s="55"/>
      <c r="E18" s="55"/>
      <c r="F18" s="55"/>
      <c r="G18" s="56"/>
    </row>
    <row r="19" spans="1:7" s="12" customFormat="1" ht="16.8">
      <c r="A19" s="54"/>
      <c r="B19" s="55"/>
      <c r="C19" s="55"/>
      <c r="D19" s="55"/>
      <c r="E19" s="55"/>
      <c r="F19" s="55"/>
      <c r="G19" s="56"/>
    </row>
    <row r="20" spans="1:7" s="12" customFormat="1" ht="16.8">
      <c r="A20" s="54"/>
      <c r="B20" s="55"/>
      <c r="C20" s="55"/>
      <c r="D20" s="55"/>
      <c r="E20" s="55"/>
      <c r="F20" s="55"/>
      <c r="G20" s="56"/>
    </row>
    <row r="21" spans="1:7" s="12" customFormat="1" ht="16.8">
      <c r="A21" s="54"/>
      <c r="B21" s="55"/>
      <c r="C21" s="55"/>
      <c r="D21" s="55"/>
      <c r="E21" s="55"/>
      <c r="F21" s="55"/>
      <c r="G21" s="56"/>
    </row>
    <row r="22" spans="1:7" s="12" customFormat="1" ht="16.8">
      <c r="A22" s="54"/>
      <c r="B22" s="55"/>
      <c r="C22" s="55"/>
      <c r="D22" s="55"/>
      <c r="E22" s="55"/>
      <c r="F22" s="55"/>
      <c r="G22" s="56"/>
    </row>
    <row r="23" spans="1:7" s="12" customFormat="1" ht="16.8">
      <c r="A23" s="54"/>
      <c r="B23" s="55"/>
      <c r="C23" s="55"/>
      <c r="D23" s="55"/>
      <c r="E23" s="55"/>
      <c r="F23" s="55"/>
      <c r="G23" s="56"/>
    </row>
    <row r="24" spans="1:7" s="12" customFormat="1" ht="16.8">
      <c r="A24" s="54"/>
      <c r="B24" s="55"/>
      <c r="C24" s="55"/>
      <c r="D24" s="55"/>
      <c r="E24" s="55"/>
      <c r="F24" s="55"/>
      <c r="G24" s="56"/>
    </row>
    <row r="25" spans="1:7" s="12" customFormat="1" ht="16.8">
      <c r="A25" s="54"/>
      <c r="B25" s="55"/>
      <c r="C25" s="55"/>
      <c r="D25" s="55"/>
      <c r="E25" s="55"/>
      <c r="F25" s="55"/>
      <c r="G25" s="56"/>
    </row>
    <row r="26" spans="1:7" s="12" customFormat="1" ht="16.8">
      <c r="A26" s="54"/>
      <c r="B26" s="55"/>
      <c r="C26" s="55"/>
      <c r="D26" s="55"/>
      <c r="E26" s="55"/>
      <c r="F26" s="55"/>
      <c r="G26" s="56"/>
    </row>
    <row r="27" spans="1:7" s="12" customFormat="1" ht="16.8">
      <c r="A27" s="54"/>
      <c r="B27" s="55"/>
      <c r="C27" s="55"/>
      <c r="D27" s="55"/>
      <c r="E27" s="55"/>
      <c r="F27" s="55"/>
      <c r="G27" s="56"/>
    </row>
    <row r="28" spans="1:7" s="12" customFormat="1" ht="16.8">
      <c r="A28" s="54"/>
      <c r="B28" s="55"/>
      <c r="C28" s="55"/>
      <c r="D28" s="55"/>
      <c r="E28" s="55"/>
      <c r="F28" s="55"/>
      <c r="G28" s="56"/>
    </row>
    <row r="29" spans="1:7" s="12" customFormat="1" ht="16.8">
      <c r="A29" s="54"/>
      <c r="B29" s="55"/>
      <c r="C29" s="55"/>
      <c r="D29" s="55"/>
      <c r="E29" s="55"/>
      <c r="F29" s="55"/>
      <c r="G29" s="56"/>
    </row>
    <row r="30" spans="1:7" s="12" customFormat="1" ht="16.8">
      <c r="A30" s="54"/>
      <c r="B30" s="55"/>
      <c r="C30" s="55"/>
      <c r="D30" s="55"/>
      <c r="E30" s="55"/>
      <c r="F30" s="55"/>
      <c r="G30" s="56"/>
    </row>
    <row r="31" spans="1:7" s="12" customFormat="1" ht="16.8">
      <c r="A31" s="54"/>
      <c r="B31" s="55"/>
      <c r="C31" s="55"/>
      <c r="D31" s="55"/>
      <c r="E31" s="55"/>
      <c r="F31" s="55"/>
      <c r="G31" s="56"/>
    </row>
    <row r="32" spans="1:7" s="12" customFormat="1" ht="16.8">
      <c r="A32" s="54"/>
      <c r="B32" s="55"/>
      <c r="C32" s="55"/>
      <c r="D32" s="55"/>
      <c r="E32" s="55"/>
      <c r="F32" s="55"/>
      <c r="G32" s="56"/>
    </row>
    <row r="33" spans="1:7" ht="17.399999999999999" thickBot="1">
      <c r="A33" s="57"/>
      <c r="B33" s="58"/>
      <c r="C33" s="58"/>
      <c r="D33" s="58"/>
      <c r="E33" s="58"/>
      <c r="F33" s="58"/>
      <c r="G33" s="59"/>
    </row>
    <row r="34" spans="1:7" ht="16.2" thickTop="1"/>
  </sheetData>
  <phoneticPr fontId="0" type="noConversion"/>
  <conditionalFormatting sqref="E10">
    <cfRule type="cellIs" dxfId="14" priority="4" stopIfTrue="1" operator="greaterThan">
      <formula>60</formula>
    </cfRule>
    <cfRule type="cellIs" dxfId="13" priority="5" stopIfTrue="1" operator="between">
      <formula>30</formula>
      <formula>60</formula>
    </cfRule>
  </conditionalFormatting>
  <hyperlinks>
    <hyperlink ref="G1" r:id="rId1" xr:uid="{240272BC-CBD1-4AF1-A384-66BAFC5045F4}"/>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cols>
    <col min="1" max="1" width="22.69921875" style="60" bestFit="1" customWidth="1"/>
    <col min="2" max="2" width="5.8984375" style="60" bestFit="1" customWidth="1"/>
    <col min="3" max="3" width="7.09765625" style="61" hidden="1" customWidth="1"/>
    <col min="4" max="4" width="5.796875" style="61" hidden="1" customWidth="1"/>
    <col min="5" max="5" width="9.19921875" style="61" bestFit="1" customWidth="1"/>
    <col min="6" max="6" width="6.69921875" style="61" bestFit="1" customWidth="1"/>
    <col min="7" max="7" width="5.8984375" style="151" bestFit="1" customWidth="1"/>
    <col min="8" max="8" width="4.69921875" style="151" bestFit="1" customWidth="1"/>
    <col min="9" max="9" width="6.8984375" style="151" bestFit="1" customWidth="1"/>
    <col min="10" max="10" width="17" style="60" customWidth="1"/>
    <col min="11" max="16384" width="13" style="17"/>
  </cols>
  <sheetData>
    <row r="1" spans="1:10" ht="23.4" thickBot="1">
      <c r="A1" s="62" t="s">
        <v>7</v>
      </c>
      <c r="B1" s="63"/>
      <c r="C1" s="63"/>
      <c r="D1" s="63"/>
      <c r="E1" s="63"/>
      <c r="F1" s="63"/>
      <c r="G1" s="64"/>
      <c r="H1" s="64"/>
      <c r="I1" s="64"/>
      <c r="J1" s="63"/>
    </row>
    <row r="2" spans="1:10" s="12" customFormat="1" ht="34.200000000000003" thickBot="1">
      <c r="A2" s="5" t="s">
        <v>115</v>
      </c>
      <c r="B2" s="6" t="s">
        <v>23</v>
      </c>
      <c r="C2" s="6" t="s">
        <v>30</v>
      </c>
      <c r="D2" s="6" t="s">
        <v>22</v>
      </c>
      <c r="E2" s="7" t="s">
        <v>55</v>
      </c>
      <c r="F2" s="7" t="s">
        <v>31</v>
      </c>
      <c r="G2" s="8" t="s">
        <v>57</v>
      </c>
      <c r="H2" s="9" t="s">
        <v>114</v>
      </c>
      <c r="I2" s="10" t="s">
        <v>81</v>
      </c>
      <c r="J2" s="11" t="s">
        <v>79</v>
      </c>
    </row>
    <row r="3" spans="1:10" s="12" customFormat="1" ht="16.8">
      <c r="A3" s="65" t="s">
        <v>60</v>
      </c>
      <c r="B3" s="66">
        <f>1</f>
        <v>1</v>
      </c>
      <c r="C3" s="67" t="s">
        <v>25</v>
      </c>
      <c r="D3" s="67" t="str">
        <f>IF(C3="Str",'Personal File'!$C$9,IF(C3="Dex",'Personal File'!$C$10,IF(C3="Con",'Personal File'!$C$11,IF(C3="Int",'Personal File'!$C$12,IF(C3="Wis",'Personal File'!$C$13,IF(C3="Cha",'Personal File'!$C$14))))))</f>
        <v>+1</v>
      </c>
      <c r="E3" s="68" t="str">
        <f t="shared" ref="E3:E5" si="0">CONCATENATE(C3," (",D3,")")</f>
        <v>Con (+1)</v>
      </c>
      <c r="F3" s="69">
        <v>0</v>
      </c>
      <c r="G3" s="70">
        <f t="shared" ref="G3:G44" si="1">B3+D3+F3</f>
        <v>2</v>
      </c>
      <c r="H3" s="71">
        <f t="shared" ref="H3:H5" ca="1" si="2">RANDBETWEEN(1,20)</f>
        <v>2</v>
      </c>
      <c r="I3" s="70">
        <f ca="1">SUM(G3:H3)</f>
        <v>4</v>
      </c>
      <c r="J3" s="72"/>
    </row>
    <row r="4" spans="1:10" s="12" customFormat="1" ht="16.8">
      <c r="A4" s="73" t="s">
        <v>61</v>
      </c>
      <c r="B4" s="66">
        <f>4</f>
        <v>4</v>
      </c>
      <c r="C4" s="67" t="s">
        <v>28</v>
      </c>
      <c r="D4" s="67" t="str">
        <f>IF(C4="Str",'Personal File'!$C$9,IF(C4="Dex",'Personal File'!$C$10,IF(C4="Con",'Personal File'!$C$11,IF(C4="Int",'Personal File'!$C$12,IF(C4="Wis",'Personal File'!$C$13,IF(C4="Cha",'Personal File'!$C$14))))))</f>
        <v>+1</v>
      </c>
      <c r="E4" s="74" t="str">
        <f t="shared" si="0"/>
        <v>Dex (+1)</v>
      </c>
      <c r="F4" s="69">
        <v>0</v>
      </c>
      <c r="G4" s="70">
        <f t="shared" si="1"/>
        <v>5</v>
      </c>
      <c r="H4" s="71">
        <f t="shared" ca="1" si="2"/>
        <v>18</v>
      </c>
      <c r="I4" s="70">
        <f ca="1">SUM(G4:H4)</f>
        <v>23</v>
      </c>
      <c r="J4" s="72"/>
    </row>
    <row r="5" spans="1:10" s="12" customFormat="1" ht="16.8">
      <c r="A5" s="75" t="s">
        <v>62</v>
      </c>
      <c r="B5" s="76">
        <f>4</f>
        <v>4</v>
      </c>
      <c r="C5" s="77" t="s">
        <v>27</v>
      </c>
      <c r="D5" s="77">
        <f>IF(C5="Str",'Personal File'!$C$9,IF(C5="Dex",'Personal File'!$C$10,IF(C5="Con",'Personal File'!$C$11,IF(C5="Int",'Personal File'!$C$12,IF(C5="Wis",'Personal File'!$C$13,IF(C5="Cha",'Personal File'!$C$14))))))</f>
        <v>-1</v>
      </c>
      <c r="E5" s="78" t="str">
        <f t="shared" si="0"/>
        <v>Wis (-1)</v>
      </c>
      <c r="F5" s="417">
        <v>2</v>
      </c>
      <c r="G5" s="79">
        <f t="shared" si="1"/>
        <v>5</v>
      </c>
      <c r="H5" s="80">
        <f t="shared" ca="1" si="2"/>
        <v>6</v>
      </c>
      <c r="I5" s="79">
        <f ca="1">SUM(G5:H5)</f>
        <v>11</v>
      </c>
      <c r="J5" s="81"/>
    </row>
    <row r="6" spans="1:10" s="90" customFormat="1" ht="16.8">
      <c r="A6" s="82" t="s">
        <v>32</v>
      </c>
      <c r="B6" s="83">
        <v>0</v>
      </c>
      <c r="C6" s="84" t="s">
        <v>26</v>
      </c>
      <c r="D6" s="85" t="str">
        <f>IF(C6="Str",'Personal File'!$C$9,IF(C6="Dex",'Personal File'!$C$10,IF(C6="Con",'Personal File'!$C$11,IF(C6="Int",'Personal File'!$C$12,IF(C6="Wis",'Personal File'!$C$13,IF(C6="Cha",'Personal File'!$C$14))))))</f>
        <v>+1</v>
      </c>
      <c r="E6" s="86" t="str">
        <f t="shared" ref="E6:E44" si="3">CONCATENATE(C6," (",D6,")")</f>
        <v>Int (+1)</v>
      </c>
      <c r="F6" s="87" t="s">
        <v>56</v>
      </c>
      <c r="G6" s="88">
        <f t="shared" si="1"/>
        <v>1</v>
      </c>
      <c r="H6" s="71">
        <f ca="1">RANDBETWEEN(1,20)</f>
        <v>10</v>
      </c>
      <c r="I6" s="88">
        <f t="shared" ref="I6:I44" ca="1" si="4">SUM(G6:H6)</f>
        <v>11</v>
      </c>
      <c r="J6" s="89"/>
    </row>
    <row r="7" spans="1:10" s="94" customFormat="1" ht="16.8">
      <c r="A7" s="91" t="s">
        <v>33</v>
      </c>
      <c r="B7" s="83">
        <v>0</v>
      </c>
      <c r="C7" s="92" t="s">
        <v>28</v>
      </c>
      <c r="D7" s="93" t="str">
        <f>IF(C7="Str",'Personal File'!$C$9,IF(C7="Dex",'Personal File'!$C$10,IF(C7="Con",'Personal File'!$C$11,IF(C7="Int",'Personal File'!$C$12,IF(C7="Wis",'Personal File'!$C$13,IF(C7="Cha",'Personal File'!$C$14))))))</f>
        <v>+1</v>
      </c>
      <c r="E7" s="74" t="str">
        <f t="shared" si="3"/>
        <v>Dex (+1)</v>
      </c>
      <c r="F7" s="87">
        <f>SUM(Martial!$D$12:$D$13)*-1</f>
        <v>0</v>
      </c>
      <c r="G7" s="88">
        <f t="shared" si="1"/>
        <v>1</v>
      </c>
      <c r="H7" s="71">
        <f t="shared" ref="H7:H43" ca="1" si="5">RANDBETWEEN(1,20)</f>
        <v>13</v>
      </c>
      <c r="I7" s="88">
        <f t="shared" ca="1" si="4"/>
        <v>14</v>
      </c>
      <c r="J7" s="89"/>
    </row>
    <row r="8" spans="1:10" s="99" customFormat="1" ht="16.8">
      <c r="A8" s="286" t="s">
        <v>34</v>
      </c>
      <c r="B8" s="283">
        <v>2</v>
      </c>
      <c r="C8" s="287" t="s">
        <v>24</v>
      </c>
      <c r="D8" s="288" t="str">
        <f>IF(C8="Str",'Personal File'!$C$9,IF(C8="Dex",'Personal File'!$C$10,IF(C8="Con",'Personal File'!$C$11,IF(C8="Int",'Personal File'!$C$12,IF(C8="Wis",'Personal File'!$C$13,IF(C8="Cha",'Personal File'!$C$14))))))</f>
        <v>+5</v>
      </c>
      <c r="E8" s="289" t="str">
        <f t="shared" si="3"/>
        <v>Cha (+5)</v>
      </c>
      <c r="F8" s="325" t="s">
        <v>56</v>
      </c>
      <c r="G8" s="284">
        <f t="shared" si="1"/>
        <v>7</v>
      </c>
      <c r="H8" s="71">
        <f t="shared" ca="1" si="5"/>
        <v>20</v>
      </c>
      <c r="I8" s="284">
        <f t="shared" ca="1" si="4"/>
        <v>27</v>
      </c>
      <c r="J8" s="285"/>
    </row>
    <row r="9" spans="1:10" s="104" customFormat="1" ht="16.8">
      <c r="A9" s="100" t="s">
        <v>35</v>
      </c>
      <c r="B9" s="83">
        <v>0</v>
      </c>
      <c r="C9" s="101" t="s">
        <v>29</v>
      </c>
      <c r="D9" s="102">
        <f>IF(C9="Str",'Personal File'!$C$9,IF(C9="Dex",'Personal File'!$C$10,IF(C9="Con",'Personal File'!$C$11,IF(C9="Int",'Personal File'!$C$12,IF(C9="Wis",'Personal File'!$C$13,IF(C9="Cha",'Personal File'!$C$14))))))</f>
        <v>-1</v>
      </c>
      <c r="E9" s="103" t="str">
        <f t="shared" si="3"/>
        <v>Str (-1)</v>
      </c>
      <c r="F9" s="87">
        <f>SUM(Martial!$D$12:$D$13)*-1</f>
        <v>0</v>
      </c>
      <c r="G9" s="88">
        <f t="shared" si="1"/>
        <v>-1</v>
      </c>
      <c r="H9" s="71">
        <f t="shared" ca="1" si="5"/>
        <v>14</v>
      </c>
      <c r="I9" s="88">
        <f t="shared" ca="1" si="4"/>
        <v>13</v>
      </c>
      <c r="J9" s="89"/>
    </row>
    <row r="10" spans="1:10" s="104" customFormat="1" ht="16.8">
      <c r="A10" s="401" t="s">
        <v>8</v>
      </c>
      <c r="B10" s="324">
        <v>3</v>
      </c>
      <c r="C10" s="402" t="s">
        <v>25</v>
      </c>
      <c r="D10" s="403" t="str">
        <f>IF(C10="Str",'Personal File'!$C$9,IF(C10="Dex",'Personal File'!$C$10,IF(C10="Con",'Personal File'!$C$11,IF(C10="Int",'Personal File'!$C$12,IF(C10="Wis",'Personal File'!$C$13,IF(C10="Cha",'Personal File'!$C$14))))))</f>
        <v>+1</v>
      </c>
      <c r="E10" s="404" t="str">
        <f t="shared" si="3"/>
        <v>Con (+1)</v>
      </c>
      <c r="F10" s="325" t="s">
        <v>56</v>
      </c>
      <c r="G10" s="325">
        <f t="shared" si="1"/>
        <v>4</v>
      </c>
      <c r="H10" s="71">
        <f t="shared" ca="1" si="5"/>
        <v>19</v>
      </c>
      <c r="I10" s="325">
        <f t="shared" ca="1" si="4"/>
        <v>23</v>
      </c>
      <c r="J10" s="326"/>
    </row>
    <row r="11" spans="1:10" s="90" customFormat="1" ht="16.8">
      <c r="A11" s="82" t="s">
        <v>88</v>
      </c>
      <c r="B11" s="83">
        <v>0</v>
      </c>
      <c r="C11" s="84" t="s">
        <v>26</v>
      </c>
      <c r="D11" s="85" t="str">
        <f>IF(C11="Str",'Personal File'!$C$9,IF(C11="Dex",'Personal File'!$C$10,IF(C11="Con",'Personal File'!$C$11,IF(C11="Int",'Personal File'!$C$12,IF(C11="Wis",'Personal File'!$C$13,IF(C11="Cha",'Personal File'!$C$14))))))</f>
        <v>+1</v>
      </c>
      <c r="E11" s="86" t="str">
        <f t="shared" si="3"/>
        <v>Int (+1)</v>
      </c>
      <c r="F11" s="88" t="s">
        <v>56</v>
      </c>
      <c r="G11" s="88">
        <f t="shared" si="1"/>
        <v>1</v>
      </c>
      <c r="H11" s="71">
        <f t="shared" ca="1" si="5"/>
        <v>3</v>
      </c>
      <c r="I11" s="88">
        <f t="shared" ca="1" si="4"/>
        <v>4</v>
      </c>
      <c r="J11" s="89"/>
    </row>
    <row r="12" spans="1:10" s="115" customFormat="1" ht="16.8">
      <c r="A12" s="82" t="s">
        <v>36</v>
      </c>
      <c r="B12" s="83">
        <v>0</v>
      </c>
      <c r="C12" s="84" t="s">
        <v>26</v>
      </c>
      <c r="D12" s="85" t="str">
        <f>IF(C12="Str",'Personal File'!$C$9,IF(C12="Dex",'Personal File'!$C$10,IF(C12="Con",'Personal File'!$C$11,IF(C12="Int",'Personal File'!$C$12,IF(C12="Wis",'Personal File'!$C$13,IF(C12="Cha",'Personal File'!$C$14))))))</f>
        <v>+1</v>
      </c>
      <c r="E12" s="86" t="str">
        <f t="shared" si="3"/>
        <v>Int (+1)</v>
      </c>
      <c r="F12" s="88" t="s">
        <v>56</v>
      </c>
      <c r="G12" s="88">
        <f t="shared" si="1"/>
        <v>1</v>
      </c>
      <c r="H12" s="71">
        <f t="shared" ca="1" si="5"/>
        <v>19</v>
      </c>
      <c r="I12" s="88">
        <f t="shared" ref="I12" ca="1" si="6">SUM(G12:H12)</f>
        <v>20</v>
      </c>
      <c r="J12" s="89"/>
    </row>
    <row r="13" spans="1:10" s="94" customFormat="1" ht="16.8">
      <c r="A13" s="286" t="s">
        <v>37</v>
      </c>
      <c r="B13" s="283">
        <v>2</v>
      </c>
      <c r="C13" s="287" t="s">
        <v>24</v>
      </c>
      <c r="D13" s="288" t="str">
        <f>IF(C13="Str",'Personal File'!$C$9,IF(C13="Dex",'Personal File'!$C$10,IF(C13="Con",'Personal File'!$C$11,IF(C13="Int",'Personal File'!$C$12,IF(C13="Wis",'Personal File'!$C$13,IF(C13="Cha",'Personal File'!$C$14))))))</f>
        <v>+5</v>
      </c>
      <c r="E13" s="289" t="str">
        <f t="shared" si="3"/>
        <v>Cha (+5)</v>
      </c>
      <c r="F13" s="325" t="s">
        <v>244</v>
      </c>
      <c r="G13" s="284">
        <f t="shared" si="1"/>
        <v>9</v>
      </c>
      <c r="H13" s="71">
        <f t="shared" ca="1" si="5"/>
        <v>6</v>
      </c>
      <c r="I13" s="284">
        <f t="shared" ca="1" si="4"/>
        <v>15</v>
      </c>
      <c r="J13" s="285"/>
    </row>
    <row r="14" spans="1:10" s="94" customFormat="1" ht="16.8">
      <c r="A14" s="108" t="s">
        <v>38</v>
      </c>
      <c r="B14" s="109">
        <v>0</v>
      </c>
      <c r="C14" s="110" t="s">
        <v>26</v>
      </c>
      <c r="D14" s="111" t="str">
        <f>IF(C14="Str",'Personal File'!$C$9,IF(C14="Dex",'Personal File'!$C$10,IF(C14="Con",'Personal File'!$C$11,IF(C14="Int",'Personal File'!$C$12,IF(C14="Wis",'Personal File'!$C$13,IF(C14="Cha",'Personal File'!$C$14))))))</f>
        <v>+1</v>
      </c>
      <c r="E14" s="112" t="str">
        <f t="shared" si="3"/>
        <v>Int (+1)</v>
      </c>
      <c r="F14" s="113" t="s">
        <v>56</v>
      </c>
      <c r="G14" s="113">
        <f t="shared" si="1"/>
        <v>1</v>
      </c>
      <c r="H14" s="71">
        <f t="shared" ca="1" si="5"/>
        <v>5</v>
      </c>
      <c r="I14" s="113">
        <f t="shared" ref="I14" ca="1" si="7">SUM(G14:H14)</f>
        <v>6</v>
      </c>
      <c r="J14" s="114"/>
    </row>
    <row r="15" spans="1:10" s="94" customFormat="1" ht="16.8">
      <c r="A15" s="95" t="s">
        <v>39</v>
      </c>
      <c r="B15" s="83">
        <v>0</v>
      </c>
      <c r="C15" s="96" t="s">
        <v>24</v>
      </c>
      <c r="D15" s="97" t="str">
        <f>IF(C15="Str",'Personal File'!$C$9,IF(C15="Dex",'Personal File'!$C$10,IF(C15="Con",'Personal File'!$C$11,IF(C15="Int",'Personal File'!$C$12,IF(C15="Wis",'Personal File'!$C$13,IF(C15="Cha",'Personal File'!$C$14))))))</f>
        <v>+5</v>
      </c>
      <c r="E15" s="98" t="str">
        <f t="shared" si="3"/>
        <v>Cha (+5)</v>
      </c>
      <c r="F15" s="87">
        <v>0</v>
      </c>
      <c r="G15" s="88">
        <f t="shared" si="1"/>
        <v>5</v>
      </c>
      <c r="H15" s="71">
        <f t="shared" ca="1" si="5"/>
        <v>14</v>
      </c>
      <c r="I15" s="88">
        <f t="shared" ca="1" si="4"/>
        <v>19</v>
      </c>
      <c r="J15" s="89"/>
    </row>
    <row r="16" spans="1:10" s="94" customFormat="1" ht="16.8">
      <c r="A16" s="91" t="s">
        <v>40</v>
      </c>
      <c r="B16" s="83">
        <v>0</v>
      </c>
      <c r="C16" s="92" t="s">
        <v>28</v>
      </c>
      <c r="D16" s="93" t="str">
        <f>IF(C16="Str",'Personal File'!$C$9,IF(C16="Dex",'Personal File'!$C$10,IF(C16="Con",'Personal File'!$C$11,IF(C16="Int",'Personal File'!$C$12,IF(C16="Wis",'Personal File'!$C$13,IF(C16="Cha",'Personal File'!$C$14))))))</f>
        <v>+1</v>
      </c>
      <c r="E16" s="74" t="str">
        <f t="shared" si="3"/>
        <v>Dex (+1)</v>
      </c>
      <c r="F16" s="87">
        <f>SUM(Martial!$D$12:$D$13)*-1</f>
        <v>0</v>
      </c>
      <c r="G16" s="88">
        <f t="shared" si="1"/>
        <v>1</v>
      </c>
      <c r="H16" s="71">
        <f t="shared" ca="1" si="5"/>
        <v>15</v>
      </c>
      <c r="I16" s="88">
        <f t="shared" ca="1" si="4"/>
        <v>16</v>
      </c>
      <c r="J16" s="89"/>
    </row>
    <row r="17" spans="1:10" s="94" customFormat="1" ht="16.8">
      <c r="A17" s="116" t="s">
        <v>41</v>
      </c>
      <c r="B17" s="117">
        <v>0</v>
      </c>
      <c r="C17" s="118" t="s">
        <v>26</v>
      </c>
      <c r="D17" s="119" t="str">
        <f>IF(C17="Str",'Personal File'!$C$9,IF(C17="Dex",'Personal File'!$C$10,IF(C17="Con",'Personal File'!$C$11,IF(C17="Int",'Personal File'!$C$12,IF(C17="Wis",'Personal File'!$C$13,IF(C17="Cha",'Personal File'!$C$14))))))</f>
        <v>+1</v>
      </c>
      <c r="E17" s="120" t="str">
        <f t="shared" si="3"/>
        <v>Int (+1)</v>
      </c>
      <c r="F17" s="121" t="s">
        <v>56</v>
      </c>
      <c r="G17" s="121">
        <f t="shared" si="1"/>
        <v>1</v>
      </c>
      <c r="H17" s="71">
        <f t="shared" ca="1" si="5"/>
        <v>9</v>
      </c>
      <c r="I17" s="121">
        <f t="shared" ca="1" si="4"/>
        <v>10</v>
      </c>
      <c r="J17" s="122"/>
    </row>
    <row r="18" spans="1:10" s="94" customFormat="1" ht="16.8">
      <c r="A18" s="286" t="s">
        <v>42</v>
      </c>
      <c r="B18" s="283">
        <v>2</v>
      </c>
      <c r="C18" s="287" t="s">
        <v>24</v>
      </c>
      <c r="D18" s="288" t="str">
        <f>IF(C18="Str",'Personal File'!$C$9,IF(C18="Dex",'Personal File'!$C$10,IF(C18="Con",'Personal File'!$C$11,IF(C18="Int",'Personal File'!$C$12,IF(C18="Wis",'Personal File'!$C$13,IF(C18="Cha",'Personal File'!$C$14))))))</f>
        <v>+5</v>
      </c>
      <c r="E18" s="289" t="str">
        <f t="shared" si="3"/>
        <v>Cha (+5)</v>
      </c>
      <c r="F18" s="325" t="s">
        <v>244</v>
      </c>
      <c r="G18" s="284">
        <f t="shared" si="1"/>
        <v>9</v>
      </c>
      <c r="H18" s="71">
        <f t="shared" ca="1" si="5"/>
        <v>4</v>
      </c>
      <c r="I18" s="284">
        <f t="shared" ca="1" si="4"/>
        <v>13</v>
      </c>
      <c r="J18" s="285"/>
    </row>
    <row r="19" spans="1:10" s="94" customFormat="1" ht="16.8">
      <c r="A19" s="95" t="s">
        <v>10</v>
      </c>
      <c r="B19" s="83">
        <v>0</v>
      </c>
      <c r="C19" s="96" t="s">
        <v>24</v>
      </c>
      <c r="D19" s="97" t="str">
        <f>IF(C19="Str",'Personal File'!$C$9,IF(C19="Dex",'Personal File'!$C$10,IF(C19="Con",'Personal File'!$C$11,IF(C19="Int",'Personal File'!$C$12,IF(C19="Wis",'Personal File'!$C$13,IF(C19="Cha",'Personal File'!$C$14))))))</f>
        <v>+5</v>
      </c>
      <c r="E19" s="98" t="str">
        <f t="shared" si="3"/>
        <v>Cha (+5)</v>
      </c>
      <c r="F19" s="88" t="s">
        <v>56</v>
      </c>
      <c r="G19" s="88">
        <f t="shared" si="1"/>
        <v>5</v>
      </c>
      <c r="H19" s="71">
        <f t="shared" ca="1" si="5"/>
        <v>3</v>
      </c>
      <c r="I19" s="88">
        <f t="shared" ca="1" si="4"/>
        <v>8</v>
      </c>
      <c r="J19" s="89"/>
    </row>
    <row r="20" spans="1:10" s="94" customFormat="1" ht="16.8">
      <c r="A20" s="127" t="s">
        <v>43</v>
      </c>
      <c r="B20" s="83">
        <v>0</v>
      </c>
      <c r="C20" s="128" t="s">
        <v>27</v>
      </c>
      <c r="D20" s="129">
        <f>IF(C20="Str",'Personal File'!$C$9,IF(C20="Dex",'Personal File'!$C$10,IF(C20="Con",'Personal File'!$C$11,IF(C20="Int",'Personal File'!$C$12,IF(C20="Wis",'Personal File'!$C$13,IF(C20="Cha",'Personal File'!$C$14))))))</f>
        <v>-1</v>
      </c>
      <c r="E20" s="130" t="str">
        <f t="shared" si="3"/>
        <v>Wis (-1)</v>
      </c>
      <c r="F20" s="88" t="s">
        <v>56</v>
      </c>
      <c r="G20" s="88">
        <f t="shared" si="1"/>
        <v>-1</v>
      </c>
      <c r="H20" s="71">
        <f t="shared" ca="1" si="5"/>
        <v>12</v>
      </c>
      <c r="I20" s="88">
        <f t="shared" ca="1" si="4"/>
        <v>11</v>
      </c>
      <c r="J20" s="89"/>
    </row>
    <row r="21" spans="1:10" s="94" customFormat="1" ht="16.8">
      <c r="A21" s="91" t="s">
        <v>44</v>
      </c>
      <c r="B21" s="83">
        <v>0</v>
      </c>
      <c r="C21" s="92" t="s">
        <v>28</v>
      </c>
      <c r="D21" s="93" t="str">
        <f>IF(C21="Str",'Personal File'!$C$9,IF(C21="Dex",'Personal File'!$C$10,IF(C21="Con",'Personal File'!$C$11,IF(C21="Int",'Personal File'!$C$12,IF(C21="Wis",'Personal File'!$C$13,IF(C21="Cha",'Personal File'!$C$14))))))</f>
        <v>+1</v>
      </c>
      <c r="E21" s="74" t="str">
        <f t="shared" si="3"/>
        <v>Dex (+1)</v>
      </c>
      <c r="F21" s="87">
        <f>SUM(Martial!$D$12:$D$13)*-1</f>
        <v>0</v>
      </c>
      <c r="G21" s="88">
        <f t="shared" si="1"/>
        <v>1</v>
      </c>
      <c r="H21" s="71">
        <f t="shared" ca="1" si="5"/>
        <v>16</v>
      </c>
      <c r="I21" s="88">
        <f t="shared" ca="1" si="4"/>
        <v>17</v>
      </c>
      <c r="J21" s="89"/>
    </row>
    <row r="22" spans="1:10" s="94" customFormat="1" ht="16.8">
      <c r="A22" s="95" t="s">
        <v>45</v>
      </c>
      <c r="B22" s="83">
        <v>0</v>
      </c>
      <c r="C22" s="96" t="s">
        <v>24</v>
      </c>
      <c r="D22" s="97" t="str">
        <f>IF(C22="Str",'Personal File'!$C$9,IF(C22="Dex",'Personal File'!$C$10,IF(C22="Con",'Personal File'!$C$11,IF(C22="Int",'Personal File'!$C$12,IF(C22="Wis",'Personal File'!$C$13,IF(C22="Cha",'Personal File'!$C$14))))))</f>
        <v>+5</v>
      </c>
      <c r="E22" s="98" t="str">
        <f t="shared" si="3"/>
        <v>Cha (+5)</v>
      </c>
      <c r="F22" s="87">
        <v>0</v>
      </c>
      <c r="G22" s="88">
        <f t="shared" si="1"/>
        <v>5</v>
      </c>
      <c r="H22" s="71">
        <f t="shared" ca="1" si="5"/>
        <v>6</v>
      </c>
      <c r="I22" s="88">
        <f t="shared" ca="1" si="4"/>
        <v>11</v>
      </c>
      <c r="J22" s="89"/>
    </row>
    <row r="23" spans="1:10" s="94" customFormat="1" ht="16.8">
      <c r="A23" s="100" t="s">
        <v>46</v>
      </c>
      <c r="B23" s="83">
        <v>0</v>
      </c>
      <c r="C23" s="101" t="s">
        <v>29</v>
      </c>
      <c r="D23" s="102">
        <f>IF(C23="Str",'Personal File'!$C$9,IF(C23="Dex",'Personal File'!$C$10,IF(C23="Con",'Personal File'!$C$11,IF(C23="Int",'Personal File'!$C$12,IF(C23="Wis",'Personal File'!$C$13,IF(C23="Cha",'Personal File'!$C$14))))))</f>
        <v>-1</v>
      </c>
      <c r="E23" s="103" t="str">
        <f t="shared" si="3"/>
        <v>Str (-1)</v>
      </c>
      <c r="F23" s="87">
        <f>SUM(Martial!$D$12:$D$13)*-1</f>
        <v>0</v>
      </c>
      <c r="G23" s="88">
        <f t="shared" si="1"/>
        <v>-1</v>
      </c>
      <c r="H23" s="71">
        <f t="shared" ca="1" si="5"/>
        <v>9</v>
      </c>
      <c r="I23" s="88">
        <f t="shared" ca="1" si="4"/>
        <v>8</v>
      </c>
      <c r="J23" s="89"/>
    </row>
    <row r="24" spans="1:10" s="94" customFormat="1" ht="16.8">
      <c r="A24" s="123" t="s">
        <v>199</v>
      </c>
      <c r="B24" s="105">
        <v>8</v>
      </c>
      <c r="C24" s="124" t="s">
        <v>26</v>
      </c>
      <c r="D24" s="125" t="str">
        <f>IF(C24="Str",'Personal File'!$C$9,IF(C24="Dex",'Personal File'!$C$10,IF(C24="Con",'Personal File'!$C$11,IF(C24="Int",'Personal File'!$C$12,IF(C24="Wis",'Personal File'!$C$13,IF(C24="Cha",'Personal File'!$C$14))))))</f>
        <v>+1</v>
      </c>
      <c r="E24" s="126" t="str">
        <f>CONCATENATE(C24," (",D24,")")</f>
        <v>Int (+1)</v>
      </c>
      <c r="F24" s="284" t="s">
        <v>56</v>
      </c>
      <c r="G24" s="106">
        <f t="shared" si="1"/>
        <v>9</v>
      </c>
      <c r="H24" s="71">
        <f t="shared" ca="1" si="5"/>
        <v>2</v>
      </c>
      <c r="I24" s="106">
        <f t="shared" ca="1" si="4"/>
        <v>11</v>
      </c>
      <c r="J24" s="107"/>
    </row>
    <row r="25" spans="1:10" s="94" customFormat="1" ht="16.8">
      <c r="A25" s="290" t="s">
        <v>47</v>
      </c>
      <c r="B25" s="283">
        <v>8</v>
      </c>
      <c r="C25" s="291" t="s">
        <v>27</v>
      </c>
      <c r="D25" s="292">
        <f>IF(C25="Str",'Personal File'!$C$9,IF(C25="Dex",'Personal File'!$C$10,IF(C25="Con",'Personal File'!$C$11,IF(C25="Int",'Personal File'!$C$12,IF(C25="Wis",'Personal File'!$C$13,IF(C25="Cha",'Personal File'!$C$14))))))</f>
        <v>-1</v>
      </c>
      <c r="E25" s="293" t="str">
        <f t="shared" si="3"/>
        <v>Wis (-1)</v>
      </c>
      <c r="F25" s="325" t="s">
        <v>104</v>
      </c>
      <c r="G25" s="284">
        <f t="shared" si="1"/>
        <v>8</v>
      </c>
      <c r="H25" s="71">
        <f t="shared" ca="1" si="5"/>
        <v>8</v>
      </c>
      <c r="I25" s="284">
        <f t="shared" ca="1" si="4"/>
        <v>16</v>
      </c>
      <c r="J25" s="285"/>
    </row>
    <row r="26" spans="1:10" s="94" customFormat="1" ht="16.8">
      <c r="A26" s="91" t="s">
        <v>11</v>
      </c>
      <c r="B26" s="83">
        <v>0</v>
      </c>
      <c r="C26" s="92" t="s">
        <v>28</v>
      </c>
      <c r="D26" s="93" t="str">
        <f>IF(C26="Str",'Personal File'!$C$9,IF(C26="Dex",'Personal File'!$C$10,IF(C26="Con",'Personal File'!$C$11,IF(C26="Int",'Personal File'!$C$12,IF(C26="Wis",'Personal File'!$C$13,IF(C26="Cha",'Personal File'!$C$14))))))</f>
        <v>+1</v>
      </c>
      <c r="E26" s="74" t="str">
        <f t="shared" si="3"/>
        <v>Dex (+1)</v>
      </c>
      <c r="F26" s="87">
        <f>SUM(Martial!$D$12:$D$13)*-1</f>
        <v>0</v>
      </c>
      <c r="G26" s="88">
        <f t="shared" si="1"/>
        <v>1</v>
      </c>
      <c r="H26" s="71">
        <f t="shared" ca="1" si="5"/>
        <v>15</v>
      </c>
      <c r="I26" s="88">
        <f t="shared" ca="1" si="4"/>
        <v>16</v>
      </c>
      <c r="J26" s="89"/>
    </row>
    <row r="27" spans="1:10" s="94" customFormat="1" ht="16.8">
      <c r="A27" s="131" t="s">
        <v>48</v>
      </c>
      <c r="B27" s="109">
        <v>0</v>
      </c>
      <c r="C27" s="132" t="s">
        <v>28</v>
      </c>
      <c r="D27" s="133" t="str">
        <f>IF(C27="Str",'Personal File'!$C$9,IF(C27="Dex",'Personal File'!$C$10,IF(C27="Con",'Personal File'!$C$11,IF(C27="Int",'Personal File'!$C$12,IF(C27="Wis",'Personal File'!$C$13,IF(C27="Cha",'Personal File'!$C$14))))))</f>
        <v>+1</v>
      </c>
      <c r="E27" s="134" t="str">
        <f t="shared" si="3"/>
        <v>Dex (+1)</v>
      </c>
      <c r="F27" s="113" t="s">
        <v>56</v>
      </c>
      <c r="G27" s="113">
        <f t="shared" si="1"/>
        <v>1</v>
      </c>
      <c r="H27" s="71">
        <f t="shared" ca="1" si="5"/>
        <v>20</v>
      </c>
      <c r="I27" s="113">
        <f t="shared" ca="1" si="4"/>
        <v>21</v>
      </c>
      <c r="J27" s="114"/>
    </row>
    <row r="28" spans="1:10" ht="16.8">
      <c r="A28" s="286" t="s">
        <v>225</v>
      </c>
      <c r="B28" s="283">
        <v>1</v>
      </c>
      <c r="C28" s="287" t="s">
        <v>24</v>
      </c>
      <c r="D28" s="288" t="str">
        <f>IF(C28="Str",'Personal File'!$C$9,IF(C28="Dex",'Personal File'!$C$10,IF(C28="Con",'Personal File'!$C$11,IF(C28="Int",'Personal File'!$C$12,IF(C28="Wis",'Personal File'!$C$13,IF(C28="Cha",'Personal File'!$C$14))))))</f>
        <v>+5</v>
      </c>
      <c r="E28" s="289" t="str">
        <f t="shared" si="3"/>
        <v>Cha (+5)</v>
      </c>
      <c r="F28" s="284" t="s">
        <v>56</v>
      </c>
      <c r="G28" s="284">
        <f t="shared" si="1"/>
        <v>6</v>
      </c>
      <c r="H28" s="71">
        <f t="shared" ca="1" si="5"/>
        <v>15</v>
      </c>
      <c r="I28" s="284">
        <f t="shared" ca="1" si="4"/>
        <v>21</v>
      </c>
      <c r="J28" s="285"/>
    </row>
    <row r="29" spans="1:10" ht="16.8">
      <c r="A29" s="286" t="s">
        <v>224</v>
      </c>
      <c r="B29" s="283">
        <v>3</v>
      </c>
      <c r="C29" s="287" t="s">
        <v>24</v>
      </c>
      <c r="D29" s="288" t="str">
        <f>IF(C29="Str",'Personal File'!$C$9,IF(C29="Dex",'Personal File'!$C$10,IF(C29="Con",'Personal File'!$C$11,IF(C29="Int",'Personal File'!$C$12,IF(C29="Wis",'Personal File'!$C$13,IF(C29="Cha",'Personal File'!$C$14))))))</f>
        <v>+5</v>
      </c>
      <c r="E29" s="289" t="str">
        <f t="shared" si="3"/>
        <v>Cha (+5)</v>
      </c>
      <c r="F29" s="284" t="s">
        <v>56</v>
      </c>
      <c r="G29" s="284">
        <f t="shared" si="1"/>
        <v>8</v>
      </c>
      <c r="H29" s="71">
        <f t="shared" ca="1" si="5"/>
        <v>13</v>
      </c>
      <c r="I29" s="284">
        <f t="shared" ca="1" si="4"/>
        <v>21</v>
      </c>
      <c r="J29" s="285"/>
    </row>
    <row r="30" spans="1:10" ht="16.8">
      <c r="A30" s="286" t="s">
        <v>207</v>
      </c>
      <c r="B30" s="283">
        <v>8</v>
      </c>
      <c r="C30" s="287" t="s">
        <v>24</v>
      </c>
      <c r="D30" s="288" t="str">
        <f>IF(C30="Str",'Personal File'!$C$9,IF(C30="Dex",'Personal File'!$C$10,IF(C30="Con",'Personal File'!$C$11,IF(C30="Int",'Personal File'!$C$12,IF(C30="Wis",'Personal File'!$C$13,IF(C30="Cha",'Personal File'!$C$14))))))</f>
        <v>+5</v>
      </c>
      <c r="E30" s="289" t="str">
        <f t="shared" ref="E30" si="8">CONCATENATE(C30," (",D30,")")</f>
        <v>Cha (+5)</v>
      </c>
      <c r="F30" s="284" t="s">
        <v>56</v>
      </c>
      <c r="G30" s="284">
        <f t="shared" ref="G30" si="9">B30+D30+F30</f>
        <v>13</v>
      </c>
      <c r="H30" s="71">
        <f t="shared" ca="1" si="5"/>
        <v>6</v>
      </c>
      <c r="I30" s="284">
        <f t="shared" ref="I30" ca="1" si="10">SUM(G30:H30)</f>
        <v>19</v>
      </c>
      <c r="J30" s="285"/>
    </row>
    <row r="31" spans="1:10" ht="16.8">
      <c r="A31" s="286" t="s">
        <v>208</v>
      </c>
      <c r="B31" s="283">
        <v>5</v>
      </c>
      <c r="C31" s="291" t="s">
        <v>27</v>
      </c>
      <c r="D31" s="292">
        <f>IF(C31="Str",'Personal File'!$C$9,IF(C31="Dex",'Personal File'!$C$10,IF(C31="Con",'Personal File'!$C$11,IF(C31="Int",'Personal File'!$C$12,IF(C31="Wis",'Personal File'!$C$13,IF(C31="Cha",'Personal File'!$C$14))))))</f>
        <v>-1</v>
      </c>
      <c r="E31" s="293" t="str">
        <f t="shared" ref="E31" si="11">CONCATENATE(C31," (",D31,")")</f>
        <v>Wis (-1)</v>
      </c>
      <c r="F31" s="284" t="s">
        <v>56</v>
      </c>
      <c r="G31" s="284">
        <f t="shared" si="1"/>
        <v>4</v>
      </c>
      <c r="H31" s="71">
        <f t="shared" ca="1" si="5"/>
        <v>8</v>
      </c>
      <c r="I31" s="284">
        <f t="shared" ref="I31" ca="1" si="12">SUM(G31:H31)</f>
        <v>12</v>
      </c>
      <c r="J31" s="285"/>
    </row>
    <row r="32" spans="1:10" ht="16.8">
      <c r="A32" s="91" t="s">
        <v>12</v>
      </c>
      <c r="B32" s="83">
        <v>0</v>
      </c>
      <c r="C32" s="92" t="s">
        <v>28</v>
      </c>
      <c r="D32" s="93" t="str">
        <f>IF(C32="Str",'Personal File'!$C$9,IF(C32="Dex",'Personal File'!$C$10,IF(C32="Con",'Personal File'!$C$11,IF(C32="Int",'Personal File'!$C$12,IF(C32="Wis",'Personal File'!$C$13,IF(C32="Cha",'Personal File'!$C$14))))))</f>
        <v>+1</v>
      </c>
      <c r="E32" s="74" t="str">
        <f t="shared" si="3"/>
        <v>Dex (+1)</v>
      </c>
      <c r="F32" s="121" t="s">
        <v>56</v>
      </c>
      <c r="G32" s="88">
        <f t="shared" si="1"/>
        <v>1</v>
      </c>
      <c r="H32" s="71">
        <f t="shared" ca="1" si="5"/>
        <v>9</v>
      </c>
      <c r="I32" s="88">
        <f t="shared" ca="1" si="4"/>
        <v>10</v>
      </c>
      <c r="J32" s="89"/>
    </row>
    <row r="33" spans="1:10" ht="16.8">
      <c r="A33" s="82" t="s">
        <v>13</v>
      </c>
      <c r="B33" s="83">
        <v>0</v>
      </c>
      <c r="C33" s="84" t="s">
        <v>26</v>
      </c>
      <c r="D33" s="85" t="str">
        <f>IF(C33="Str",'Personal File'!$C$9,IF(C33="Dex",'Personal File'!$C$10,IF(C33="Con",'Personal File'!$C$11,IF(C33="Int",'Personal File'!$C$12,IF(C33="Wis",'Personal File'!$C$13,IF(C33="Cha",'Personal File'!$C$14))))))</f>
        <v>+1</v>
      </c>
      <c r="E33" s="86" t="str">
        <f t="shared" si="3"/>
        <v>Int (+1)</v>
      </c>
      <c r="F33" s="444" t="s">
        <v>104</v>
      </c>
      <c r="G33" s="88">
        <f t="shared" si="1"/>
        <v>2</v>
      </c>
      <c r="H33" s="71">
        <f t="shared" ca="1" si="5"/>
        <v>6</v>
      </c>
      <c r="I33" s="88">
        <f t="shared" ca="1" si="4"/>
        <v>8</v>
      </c>
      <c r="J33" s="89"/>
    </row>
    <row r="34" spans="1:10" ht="16.8">
      <c r="A34" s="286" t="s">
        <v>49</v>
      </c>
      <c r="B34" s="283">
        <v>3</v>
      </c>
      <c r="C34" s="291" t="s">
        <v>27</v>
      </c>
      <c r="D34" s="292">
        <f>IF(C34="Str",'Personal File'!$C$9,IF(C34="Dex",'Personal File'!$C$10,IF(C34="Con",'Personal File'!$C$11,IF(C34="Int",'Personal File'!$C$12,IF(C34="Wis",'Personal File'!$C$13,IF(C34="Cha",'Personal File'!$C$14))))))</f>
        <v>-1</v>
      </c>
      <c r="E34" s="293" t="str">
        <f t="shared" si="3"/>
        <v>Wis (-1)</v>
      </c>
      <c r="F34" s="284" t="s">
        <v>56</v>
      </c>
      <c r="G34" s="284">
        <f t="shared" si="1"/>
        <v>2</v>
      </c>
      <c r="H34" s="71">
        <f t="shared" ca="1" si="5"/>
        <v>19</v>
      </c>
      <c r="I34" s="284">
        <f t="shared" ca="1" si="4"/>
        <v>21</v>
      </c>
      <c r="J34" s="285"/>
    </row>
    <row r="35" spans="1:10" ht="16.8">
      <c r="A35" s="445" t="s">
        <v>86</v>
      </c>
      <c r="B35" s="446">
        <v>0</v>
      </c>
      <c r="C35" s="447" t="s">
        <v>28</v>
      </c>
      <c r="D35" s="448" t="str">
        <f>IF(C35="Str",'Personal File'!$C$9,IF(C35="Dex",'Personal File'!$C$10,IF(C35="Con",'Personal File'!$C$11,IF(C35="Int",'Personal File'!$C$12,IF(C35="Wis",'Personal File'!$C$13,IF(C35="Cha",'Personal File'!$C$14))))))</f>
        <v>+1</v>
      </c>
      <c r="E35" s="449" t="str">
        <f t="shared" si="3"/>
        <v>Dex (+1)</v>
      </c>
      <c r="F35" s="450">
        <v>0</v>
      </c>
      <c r="G35" s="451">
        <f t="shared" si="1"/>
        <v>1</v>
      </c>
      <c r="H35" s="71">
        <f t="shared" ca="1" si="5"/>
        <v>13</v>
      </c>
      <c r="I35" s="451">
        <f t="shared" ref="I35:I36" ca="1" si="13">SUM(G35:H35)</f>
        <v>14</v>
      </c>
      <c r="J35" s="452"/>
    </row>
    <row r="36" spans="1:10" ht="16.8">
      <c r="A36" s="82" t="s">
        <v>274</v>
      </c>
      <c r="B36" s="83">
        <v>1</v>
      </c>
      <c r="C36" s="84" t="s">
        <v>26</v>
      </c>
      <c r="D36" s="85" t="str">
        <f>IF(C36="Str",'Personal File'!$C$9,IF(C36="Dex",'Personal File'!$C$10,IF(C36="Con",'Personal File'!$C$11,IF(C36="Int",'Personal File'!$C$12,IF(C36="Wis",'Personal File'!$C$13,IF(C36="Cha",'Personal File'!$C$14))))))</f>
        <v>+1</v>
      </c>
      <c r="E36" s="86" t="str">
        <f t="shared" si="3"/>
        <v>Int (+1)</v>
      </c>
      <c r="F36" s="88" t="s">
        <v>56</v>
      </c>
      <c r="G36" s="88">
        <f t="shared" si="1"/>
        <v>2</v>
      </c>
      <c r="H36" s="71">
        <f t="shared" ca="1" si="5"/>
        <v>8</v>
      </c>
      <c r="I36" s="88">
        <f t="shared" ca="1" si="13"/>
        <v>10</v>
      </c>
      <c r="J36" s="72"/>
    </row>
    <row r="37" spans="1:10" ht="16.8">
      <c r="A37" s="82" t="s">
        <v>274</v>
      </c>
      <c r="B37" s="83">
        <v>1</v>
      </c>
      <c r="C37" s="84" t="s">
        <v>26</v>
      </c>
      <c r="D37" s="85" t="str">
        <f>IF(C37="Str",'Personal File'!$C$9,IF(C37="Dex",'Personal File'!$C$10,IF(C37="Con",'Personal File'!$C$11,IF(C37="Int",'Personal File'!$C$12,IF(C37="Wis",'Personal File'!$C$13,IF(C37="Cha",'Personal File'!$C$14))))))</f>
        <v>+1</v>
      </c>
      <c r="E37" s="86" t="str">
        <f t="shared" ref="E37" si="14">CONCATENATE(C37," (",D37,")")</f>
        <v>Int (+1)</v>
      </c>
      <c r="F37" s="88" t="s">
        <v>56</v>
      </c>
      <c r="G37" s="88">
        <f t="shared" ref="G37" si="15">B37+D37+F37</f>
        <v>2</v>
      </c>
      <c r="H37" s="71">
        <f t="shared" ca="1" si="5"/>
        <v>20</v>
      </c>
      <c r="I37" s="88">
        <f t="shared" ref="I37" ca="1" si="16">SUM(G37:H37)</f>
        <v>22</v>
      </c>
      <c r="J37" s="72"/>
    </row>
    <row r="38" spans="1:10" ht="16.8">
      <c r="A38" s="405" t="s">
        <v>50</v>
      </c>
      <c r="B38" s="324">
        <v>6</v>
      </c>
      <c r="C38" s="406" t="s">
        <v>26</v>
      </c>
      <c r="D38" s="407" t="str">
        <f>IF(C38="Str",'Personal File'!$C$9,IF(C38="Dex",'Personal File'!$C$10,IF(C38="Con",'Personal File'!$C$11,IF(C38="Int",'Personal File'!$C$12,IF(C38="Wis",'Personal File'!$C$13,IF(C38="Cha",'Personal File'!$C$14))))))</f>
        <v>+1</v>
      </c>
      <c r="E38" s="408" t="str">
        <f t="shared" si="3"/>
        <v>Int (+1)</v>
      </c>
      <c r="F38" s="325" t="s">
        <v>244</v>
      </c>
      <c r="G38" s="325">
        <f t="shared" si="1"/>
        <v>9</v>
      </c>
      <c r="H38" s="71">
        <f t="shared" ca="1" si="5"/>
        <v>13</v>
      </c>
      <c r="I38" s="325">
        <f t="shared" ca="1" si="4"/>
        <v>22</v>
      </c>
      <c r="J38" s="409"/>
    </row>
    <row r="39" spans="1:10" ht="16.8">
      <c r="A39" s="127" t="s">
        <v>51</v>
      </c>
      <c r="B39" s="83">
        <v>0</v>
      </c>
      <c r="C39" s="128" t="s">
        <v>27</v>
      </c>
      <c r="D39" s="129">
        <f>IF(C39="Str",'Personal File'!$C$9,IF(C39="Dex",'Personal File'!$C$10,IF(C39="Con",'Personal File'!$C$11,IF(C39="Int",'Personal File'!$C$12,IF(C39="Wis",'Personal File'!$C$13,IF(C39="Cha",'Personal File'!$C$14))))))</f>
        <v>-1</v>
      </c>
      <c r="E39" s="130" t="str">
        <f t="shared" si="3"/>
        <v>Wis (-1)</v>
      </c>
      <c r="F39" s="444" t="s">
        <v>104</v>
      </c>
      <c r="G39" s="88">
        <f t="shared" si="1"/>
        <v>0</v>
      </c>
      <c r="H39" s="71">
        <f t="shared" ca="1" si="5"/>
        <v>20</v>
      </c>
      <c r="I39" s="88">
        <f t="shared" ca="1" si="4"/>
        <v>20</v>
      </c>
      <c r="J39" s="89"/>
    </row>
    <row r="40" spans="1:10" ht="16.8">
      <c r="A40" s="127" t="s">
        <v>87</v>
      </c>
      <c r="B40" s="83">
        <v>0</v>
      </c>
      <c r="C40" s="128" t="s">
        <v>27</v>
      </c>
      <c r="D40" s="129">
        <f>IF(C40="Str",'Personal File'!$C$9,IF(C40="Dex",'Personal File'!$C$10,IF(C40="Con",'Personal File'!$C$11,IF(C40="Int",'Personal File'!$C$12,IF(C40="Wis",'Personal File'!$C$13,IF(C40="Cha",'Personal File'!$C$14))))))</f>
        <v>-1</v>
      </c>
      <c r="E40" s="130" t="str">
        <f t="shared" si="3"/>
        <v>Wis (-1)</v>
      </c>
      <c r="F40" s="88" t="s">
        <v>56</v>
      </c>
      <c r="G40" s="88">
        <f t="shared" si="1"/>
        <v>-1</v>
      </c>
      <c r="H40" s="71">
        <f t="shared" ca="1" si="5"/>
        <v>12</v>
      </c>
      <c r="I40" s="88">
        <f t="shared" ca="1" si="4"/>
        <v>11</v>
      </c>
      <c r="J40" s="89"/>
    </row>
    <row r="41" spans="1:10" ht="16.8">
      <c r="A41" s="100" t="s">
        <v>14</v>
      </c>
      <c r="B41" s="83">
        <v>0</v>
      </c>
      <c r="C41" s="101" t="s">
        <v>29</v>
      </c>
      <c r="D41" s="102">
        <f>IF(C41="Str",'Personal File'!$C$9,IF(C41="Dex",'Personal File'!$C$10,IF(C41="Con",'Personal File'!$C$11,IF(C41="Int",'Personal File'!$C$12,IF(C41="Wis",'Personal File'!$C$13,IF(C41="Cha",'Personal File'!$C$14))))))</f>
        <v>-1</v>
      </c>
      <c r="E41" s="103" t="str">
        <f t="shared" si="3"/>
        <v>Str (-1)</v>
      </c>
      <c r="F41" s="88" t="s">
        <v>56</v>
      </c>
      <c r="G41" s="88">
        <f t="shared" si="1"/>
        <v>-1</v>
      </c>
      <c r="H41" s="71">
        <f t="shared" ca="1" si="5"/>
        <v>14</v>
      </c>
      <c r="I41" s="88">
        <f t="shared" ca="1" si="4"/>
        <v>13</v>
      </c>
      <c r="J41" s="72"/>
    </row>
    <row r="42" spans="1:10" ht="16.8">
      <c r="A42" s="135" t="s">
        <v>52</v>
      </c>
      <c r="B42" s="136">
        <v>0</v>
      </c>
      <c r="C42" s="137" t="s">
        <v>28</v>
      </c>
      <c r="D42" s="138" t="str">
        <f>IF(C42="Str",'Personal File'!$C$9,IF(C42="Dex",'Personal File'!$C$10,IF(C42="Con",'Personal File'!$C$11,IF(C42="Int",'Personal File'!$C$12,IF(C42="Wis",'Personal File'!$C$13,IF(C42="Cha",'Personal File'!$C$14))))))</f>
        <v>+1</v>
      </c>
      <c r="E42" s="139" t="str">
        <f t="shared" si="3"/>
        <v>Dex (+1)</v>
      </c>
      <c r="F42" s="113">
        <f>SUM(Martial!$D$12:$D$13)*-1</f>
        <v>0</v>
      </c>
      <c r="G42" s="113">
        <f t="shared" si="1"/>
        <v>1</v>
      </c>
      <c r="H42" s="71">
        <f t="shared" ca="1" si="5"/>
        <v>9</v>
      </c>
      <c r="I42" s="113">
        <f t="shared" ref="I42:I43" ca="1" si="17">SUM(G42:H42)</f>
        <v>10</v>
      </c>
      <c r="J42" s="140"/>
    </row>
    <row r="43" spans="1:10" ht="16.8">
      <c r="A43" s="286" t="s">
        <v>53</v>
      </c>
      <c r="B43" s="283">
        <v>3</v>
      </c>
      <c r="C43" s="287" t="s">
        <v>24</v>
      </c>
      <c r="D43" s="288" t="str">
        <f>IF(C43="Str",'Personal File'!$C$9,IF(C43="Dex",'Personal File'!$C$10,IF(C43="Con",'Personal File'!$C$11,IF(C43="Int",'Personal File'!$C$12,IF(C43="Wis",'Personal File'!$C$13,IF(C43="Cha",'Personal File'!$C$14))))))</f>
        <v>+5</v>
      </c>
      <c r="E43" s="289" t="str">
        <f t="shared" si="3"/>
        <v>Cha (+5)</v>
      </c>
      <c r="F43" s="325" t="s">
        <v>56</v>
      </c>
      <c r="G43" s="284">
        <f t="shared" si="1"/>
        <v>8</v>
      </c>
      <c r="H43" s="71">
        <f t="shared" ca="1" si="5"/>
        <v>13</v>
      </c>
      <c r="I43" s="284">
        <f t="shared" ca="1" si="17"/>
        <v>21</v>
      </c>
      <c r="J43" s="323"/>
    </row>
    <row r="44" spans="1:10" ht="17.399999999999999" thickBot="1">
      <c r="A44" s="141" t="s">
        <v>54</v>
      </c>
      <c r="B44" s="142">
        <v>0</v>
      </c>
      <c r="C44" s="143" t="s">
        <v>28</v>
      </c>
      <c r="D44" s="144" t="str">
        <f>IF(C44="Str",'Personal File'!$C$9,IF(C44="Dex",'Personal File'!$C$10,IF(C44="Con",'Personal File'!$C$11,IF(C44="Int",'Personal File'!$C$12,IF(C44="Wis",'Personal File'!$C$13,IF(C44="Cha",'Personal File'!$C$14))))))</f>
        <v>+1</v>
      </c>
      <c r="E44" s="145" t="str">
        <f t="shared" si="3"/>
        <v>Dex (+1)</v>
      </c>
      <c r="F44" s="146" t="s">
        <v>56</v>
      </c>
      <c r="G44" s="146">
        <f t="shared" si="1"/>
        <v>1</v>
      </c>
      <c r="H44" s="147">
        <f t="shared" ref="H44" ca="1" si="18">RANDBETWEEN(1,20)</f>
        <v>12</v>
      </c>
      <c r="I44" s="146">
        <f t="shared" ca="1" si="4"/>
        <v>13</v>
      </c>
      <c r="J44" s="148"/>
    </row>
    <row r="45" spans="1:10" ht="16.2" thickTop="1">
      <c r="B45" s="149">
        <f>SUM(B6:B44)</f>
        <v>56</v>
      </c>
      <c r="E45" s="328">
        <f>SUM(E46:E51)</f>
        <v>56</v>
      </c>
      <c r="F45" s="150" t="s">
        <v>57</v>
      </c>
    </row>
    <row r="46" spans="1:10">
      <c r="B46" s="149"/>
      <c r="E46" s="329">
        <f>4*(6+'Personal File'!$C$12)</f>
        <v>28</v>
      </c>
      <c r="F46" s="152" t="s">
        <v>125</v>
      </c>
    </row>
    <row r="47" spans="1:10">
      <c r="E47" s="328">
        <f>6+'Personal File'!$C$12</f>
        <v>7</v>
      </c>
      <c r="F47" s="152" t="s">
        <v>126</v>
      </c>
    </row>
    <row r="48" spans="1:10">
      <c r="E48" s="328">
        <f>6+'Personal File'!$C$12</f>
        <v>7</v>
      </c>
      <c r="F48" s="152" t="s">
        <v>127</v>
      </c>
    </row>
    <row r="49" spans="5:6">
      <c r="E49" s="328">
        <f>6+'Personal File'!$C$12</f>
        <v>7</v>
      </c>
      <c r="F49" s="152" t="s">
        <v>128</v>
      </c>
    </row>
    <row r="50" spans="5:6">
      <c r="E50" s="328">
        <f>6+'Personal File'!$C$12</f>
        <v>7</v>
      </c>
      <c r="F50" s="152" t="s">
        <v>154</v>
      </c>
    </row>
    <row r="51" spans="5:6">
      <c r="F51" s="152" t="s">
        <v>155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GridLines="0" workbookViewId="0">
      <pane ySplit="2" topLeftCell="A3" activePane="bottomLeft" state="frozen"/>
      <selection pane="bottomLeft" activeCell="A3" sqref="A3"/>
    </sheetView>
  </sheetViews>
  <sheetFormatPr defaultColWidth="13" defaultRowHeight="15.6"/>
  <cols>
    <col min="1" max="1" width="18.3984375" style="60" bestFit="1" customWidth="1"/>
    <col min="2" max="2" width="6.19921875" style="60" bestFit="1" customWidth="1"/>
    <col min="3" max="3" width="13.59765625" style="61" bestFit="1" customWidth="1"/>
    <col min="4" max="4" width="11.296875" style="61" bestFit="1" customWidth="1"/>
    <col min="5" max="5" width="8.09765625" style="151" bestFit="1" customWidth="1"/>
    <col min="6" max="6" width="13.19921875" style="61" bestFit="1" customWidth="1"/>
    <col min="7" max="7" width="15.3984375" style="61" bestFit="1" customWidth="1"/>
    <col min="8" max="8" width="20.09765625" style="60" bestFit="1" customWidth="1"/>
    <col min="9" max="9" width="5.5" style="17" bestFit="1" customWidth="1"/>
    <col min="10" max="10" width="3.296875" style="17" bestFit="1" customWidth="1"/>
    <col min="11" max="14" width="13" style="160"/>
    <col min="15" max="16384" width="13" style="17"/>
  </cols>
  <sheetData>
    <row r="1" spans="1:14" ht="23.4" thickBot="1">
      <c r="A1" s="410" t="s">
        <v>160</v>
      </c>
      <c r="B1" s="63"/>
      <c r="C1" s="63"/>
      <c r="D1" s="63"/>
      <c r="E1" s="64"/>
      <c r="F1" s="63"/>
      <c r="G1" s="63"/>
      <c r="H1" s="63"/>
    </row>
    <row r="2" spans="1:14" s="12" customFormat="1" ht="16.8">
      <c r="A2" s="411" t="s">
        <v>71</v>
      </c>
      <c r="B2" s="412" t="s">
        <v>0</v>
      </c>
      <c r="C2" s="412" t="s">
        <v>74</v>
      </c>
      <c r="D2" s="413" t="s">
        <v>96</v>
      </c>
      <c r="E2" s="412" t="s">
        <v>97</v>
      </c>
      <c r="F2" s="412" t="s">
        <v>59</v>
      </c>
      <c r="G2" s="412" t="s">
        <v>17</v>
      </c>
      <c r="H2" s="412" t="s">
        <v>141</v>
      </c>
      <c r="I2" s="414" t="s">
        <v>142</v>
      </c>
      <c r="J2" s="383" t="s">
        <v>161</v>
      </c>
      <c r="K2" s="160"/>
      <c r="L2" s="160"/>
      <c r="M2" s="160"/>
      <c r="N2" s="160"/>
    </row>
    <row r="3" spans="1:14" s="12" customFormat="1" ht="16.8">
      <c r="A3" s="360" t="s">
        <v>103</v>
      </c>
      <c r="B3" s="69">
        <v>0</v>
      </c>
      <c r="C3" s="153" t="s">
        <v>65</v>
      </c>
      <c r="D3" s="2" t="s">
        <v>101</v>
      </c>
      <c r="E3" s="306" t="s">
        <v>99</v>
      </c>
      <c r="F3" s="154" t="s">
        <v>68</v>
      </c>
      <c r="G3" s="154" t="s">
        <v>69</v>
      </c>
      <c r="H3" s="154" t="s">
        <v>140</v>
      </c>
      <c r="I3" s="1">
        <v>269</v>
      </c>
      <c r="J3" s="383"/>
      <c r="K3" s="160"/>
      <c r="L3" s="160"/>
      <c r="M3" s="160"/>
      <c r="N3" s="160"/>
    </row>
    <row r="4" spans="1:14" ht="16.8">
      <c r="A4" s="361" t="s">
        <v>138</v>
      </c>
      <c r="B4" s="155">
        <v>0</v>
      </c>
      <c r="C4" s="310" t="s">
        <v>65</v>
      </c>
      <c r="D4" s="2" t="s">
        <v>98</v>
      </c>
      <c r="E4" s="306" t="s">
        <v>99</v>
      </c>
      <c r="F4" s="154" t="s">
        <v>75</v>
      </c>
      <c r="G4" s="154" t="s">
        <v>102</v>
      </c>
      <c r="H4" s="154" t="s">
        <v>140</v>
      </c>
      <c r="I4" s="1">
        <v>264</v>
      </c>
      <c r="J4" s="383"/>
    </row>
    <row r="5" spans="1:14" ht="16.8">
      <c r="A5" s="361" t="s">
        <v>149</v>
      </c>
      <c r="B5" s="155">
        <v>0</v>
      </c>
      <c r="C5" s="310" t="s">
        <v>145</v>
      </c>
      <c r="D5" s="2" t="s">
        <v>98</v>
      </c>
      <c r="E5" s="306" t="s">
        <v>99</v>
      </c>
      <c r="F5" s="154" t="s">
        <v>84</v>
      </c>
      <c r="G5" s="154" t="s">
        <v>8</v>
      </c>
      <c r="H5" s="154" t="s">
        <v>140</v>
      </c>
      <c r="I5" s="1">
        <v>249</v>
      </c>
      <c r="J5" s="383"/>
    </row>
    <row r="6" spans="1:14" ht="16.8">
      <c r="A6" s="361" t="s">
        <v>218</v>
      </c>
      <c r="B6" s="155">
        <v>0</v>
      </c>
      <c r="C6" s="153" t="s">
        <v>151</v>
      </c>
      <c r="D6" s="2" t="s">
        <v>98</v>
      </c>
      <c r="E6" s="306" t="s">
        <v>99</v>
      </c>
      <c r="F6" s="154" t="s">
        <v>68</v>
      </c>
      <c r="G6" s="154" t="s">
        <v>219</v>
      </c>
      <c r="H6" s="154" t="s">
        <v>144</v>
      </c>
      <c r="I6" s="1">
        <v>95</v>
      </c>
      <c r="J6" s="383"/>
    </row>
    <row r="7" spans="1:14" ht="16.8">
      <c r="A7" s="361" t="s">
        <v>209</v>
      </c>
      <c r="B7" s="155">
        <v>0</v>
      </c>
      <c r="C7" s="418" t="s">
        <v>65</v>
      </c>
      <c r="D7" s="2" t="s">
        <v>98</v>
      </c>
      <c r="E7" s="154" t="s">
        <v>99</v>
      </c>
      <c r="F7" s="154" t="s">
        <v>215</v>
      </c>
      <c r="G7" s="154" t="s">
        <v>66</v>
      </c>
      <c r="H7" s="154" t="s">
        <v>140</v>
      </c>
      <c r="I7" s="419">
        <v>219</v>
      </c>
      <c r="J7" s="383"/>
    </row>
    <row r="8" spans="1:14" ht="16.8">
      <c r="A8" s="362" t="s">
        <v>210</v>
      </c>
      <c r="B8" s="156">
        <v>0</v>
      </c>
      <c r="C8" s="157" t="s">
        <v>145</v>
      </c>
      <c r="D8" s="158" t="s">
        <v>101</v>
      </c>
      <c r="E8" s="424" t="s">
        <v>99</v>
      </c>
      <c r="F8" s="159" t="s">
        <v>100</v>
      </c>
      <c r="G8" s="159" t="s">
        <v>69</v>
      </c>
      <c r="H8" s="307" t="s">
        <v>140</v>
      </c>
      <c r="I8" s="308">
        <v>253</v>
      </c>
      <c r="J8" s="383"/>
    </row>
    <row r="9" spans="1:14" ht="16.8">
      <c r="A9" s="361" t="s">
        <v>211</v>
      </c>
      <c r="B9" s="155">
        <v>1</v>
      </c>
      <c r="C9" s="153" t="s">
        <v>151</v>
      </c>
      <c r="D9" s="2" t="s">
        <v>98</v>
      </c>
      <c r="E9" s="306" t="s">
        <v>99</v>
      </c>
      <c r="F9" s="154" t="s">
        <v>164</v>
      </c>
      <c r="G9" s="154" t="s">
        <v>67</v>
      </c>
      <c r="H9" s="154" t="s">
        <v>140</v>
      </c>
      <c r="I9" s="1">
        <v>216</v>
      </c>
      <c r="J9" s="383"/>
    </row>
    <row r="10" spans="1:14" ht="16.8">
      <c r="A10" s="361" t="s">
        <v>212</v>
      </c>
      <c r="B10" s="155">
        <v>1</v>
      </c>
      <c r="C10" s="153" t="s">
        <v>143</v>
      </c>
      <c r="D10" s="420" t="s">
        <v>98</v>
      </c>
      <c r="E10" s="421" t="s">
        <v>216</v>
      </c>
      <c r="F10" s="367" t="s">
        <v>68</v>
      </c>
      <c r="G10" s="154" t="s">
        <v>178</v>
      </c>
      <c r="H10" s="154" t="s">
        <v>217</v>
      </c>
      <c r="I10" s="422">
        <v>153</v>
      </c>
      <c r="J10" s="383"/>
    </row>
    <row r="11" spans="1:14" ht="16.8">
      <c r="A11" s="361" t="s">
        <v>150</v>
      </c>
      <c r="B11" s="155">
        <v>1</v>
      </c>
      <c r="C11" s="153" t="s">
        <v>151</v>
      </c>
      <c r="D11" s="2" t="s">
        <v>152</v>
      </c>
      <c r="E11" s="154" t="s">
        <v>99</v>
      </c>
      <c r="F11" s="154" t="s">
        <v>84</v>
      </c>
      <c r="G11" s="154" t="s">
        <v>70</v>
      </c>
      <c r="H11" s="154" t="s">
        <v>140</v>
      </c>
      <c r="I11" s="1">
        <v>237</v>
      </c>
      <c r="J11" s="383"/>
    </row>
    <row r="12" spans="1:14" ht="16.8">
      <c r="A12" s="362" t="s">
        <v>213</v>
      </c>
      <c r="B12" s="156">
        <v>1</v>
      </c>
      <c r="C12" s="157" t="s">
        <v>143</v>
      </c>
      <c r="D12" s="158" t="s">
        <v>152</v>
      </c>
      <c r="E12" s="424" t="s">
        <v>99</v>
      </c>
      <c r="F12" s="159" t="s">
        <v>84</v>
      </c>
      <c r="G12" s="159" t="s">
        <v>70</v>
      </c>
      <c r="H12" s="307" t="s">
        <v>140</v>
      </c>
      <c r="I12" s="308">
        <v>292</v>
      </c>
      <c r="J12" s="383"/>
    </row>
    <row r="13" spans="1:14" ht="16.8">
      <c r="A13" s="360" t="s">
        <v>214</v>
      </c>
      <c r="B13" s="69">
        <v>2</v>
      </c>
      <c r="C13" s="153" t="s">
        <v>145</v>
      </c>
      <c r="D13" s="2" t="s">
        <v>98</v>
      </c>
      <c r="E13" s="421" t="s">
        <v>99</v>
      </c>
      <c r="F13" s="154" t="s">
        <v>68</v>
      </c>
      <c r="G13" s="154" t="s">
        <v>69</v>
      </c>
      <c r="H13" s="154" t="s">
        <v>140</v>
      </c>
      <c r="I13" s="423">
        <v>197</v>
      </c>
      <c r="J13" s="383"/>
    </row>
    <row r="14" spans="1:14" ht="16.8">
      <c r="A14" s="360" t="s">
        <v>222</v>
      </c>
      <c r="B14" s="69">
        <v>2</v>
      </c>
      <c r="C14" s="153" t="s">
        <v>145</v>
      </c>
      <c r="D14" s="2" t="s">
        <v>152</v>
      </c>
      <c r="E14" s="421" t="s">
        <v>99</v>
      </c>
      <c r="F14" s="154" t="s">
        <v>85</v>
      </c>
      <c r="G14" s="154" t="s">
        <v>223</v>
      </c>
      <c r="H14" s="154" t="s">
        <v>140</v>
      </c>
      <c r="I14" s="419">
        <v>267</v>
      </c>
      <c r="J14" s="383"/>
    </row>
    <row r="15" spans="1:14" ht="17.399999999999999" thickBot="1">
      <c r="A15" s="363" t="s">
        <v>139</v>
      </c>
      <c r="B15" s="182">
        <v>2</v>
      </c>
      <c r="C15" s="302" t="s">
        <v>146</v>
      </c>
      <c r="D15" s="303" t="s">
        <v>98</v>
      </c>
      <c r="E15" s="304" t="s">
        <v>99</v>
      </c>
      <c r="F15" s="304" t="s">
        <v>85</v>
      </c>
      <c r="G15" s="304" t="s">
        <v>66</v>
      </c>
      <c r="H15" s="304" t="s">
        <v>140</v>
      </c>
      <c r="I15" s="309">
        <v>279</v>
      </c>
      <c r="J15" s="383"/>
    </row>
    <row r="16" spans="1:14" ht="16.2" thickTop="1"/>
  </sheetData>
  <sortState xmlns:xlrd2="http://schemas.microsoft.com/office/spreadsheetml/2017/richdata2" ref="A3:H125">
    <sortCondition ref="B3:B125"/>
    <sortCondition ref="A3:A12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workbookViewId="0"/>
  </sheetViews>
  <sheetFormatPr defaultColWidth="11.3984375" defaultRowHeight="16.8"/>
  <cols>
    <col min="1" max="1" width="26.796875" style="184" bestFit="1" customWidth="1"/>
    <col min="2" max="2" width="1.8984375" style="183" customWidth="1"/>
    <col min="3" max="3" width="14.69921875" style="161" bestFit="1" customWidth="1"/>
    <col min="4" max="11" width="3.19921875" style="161" customWidth="1"/>
    <col min="12" max="16384" width="11.3984375" style="161"/>
  </cols>
  <sheetData>
    <row r="1" spans="1:11" ht="24" thickTop="1" thickBot="1">
      <c r="A1" s="332" t="s">
        <v>108</v>
      </c>
      <c r="B1" s="161"/>
      <c r="C1" s="162"/>
      <c r="D1" s="382" t="s">
        <v>105</v>
      </c>
      <c r="E1" s="163"/>
      <c r="F1" s="163"/>
      <c r="G1" s="164"/>
      <c r="H1" s="163"/>
      <c r="I1" s="163"/>
      <c r="J1" s="163"/>
      <c r="K1" s="164"/>
    </row>
    <row r="2" spans="1:11" ht="17.399999999999999" thickTop="1">
      <c r="A2" s="305" t="s">
        <v>202</v>
      </c>
      <c r="B2" s="161"/>
      <c r="C2" s="162"/>
      <c r="D2" s="165" t="s">
        <v>106</v>
      </c>
      <c r="E2" s="166"/>
      <c r="F2" s="166"/>
      <c r="G2" s="166"/>
      <c r="H2" s="166"/>
      <c r="I2" s="166"/>
      <c r="J2" s="166"/>
      <c r="K2" s="167"/>
    </row>
    <row r="3" spans="1:11" ht="17.399999999999999" thickBot="1">
      <c r="A3" s="335" t="s">
        <v>203</v>
      </c>
      <c r="B3" s="161"/>
      <c r="C3" s="162"/>
      <c r="D3" s="168">
        <v>0</v>
      </c>
      <c r="E3" s="169">
        <v>1</v>
      </c>
      <c r="F3" s="169">
        <v>2</v>
      </c>
      <c r="G3" s="169">
        <v>3</v>
      </c>
      <c r="H3" s="169">
        <v>4</v>
      </c>
      <c r="I3" s="169">
        <v>5</v>
      </c>
      <c r="J3" s="169">
        <v>6</v>
      </c>
      <c r="K3" s="170">
        <v>7</v>
      </c>
    </row>
    <row r="4" spans="1:11" ht="18" thickTop="1" thickBot="1">
      <c r="A4" s="416" t="s">
        <v>204</v>
      </c>
      <c r="B4" s="161"/>
      <c r="C4" s="171" t="s">
        <v>147</v>
      </c>
      <c r="D4" s="172">
        <v>3</v>
      </c>
      <c r="E4" s="173">
        <v>3</v>
      </c>
      <c r="F4" s="173">
        <v>1</v>
      </c>
      <c r="G4" s="174">
        <v>0</v>
      </c>
      <c r="H4" s="174">
        <v>0</v>
      </c>
      <c r="I4" s="174">
        <v>0</v>
      </c>
      <c r="J4" s="174">
        <v>0</v>
      </c>
      <c r="K4" s="175">
        <v>0</v>
      </c>
    </row>
    <row r="5" spans="1:11" ht="18" thickTop="1" thickBot="1">
      <c r="B5" s="161"/>
      <c r="C5" s="176" t="s">
        <v>131</v>
      </c>
      <c r="D5" s="177">
        <v>0</v>
      </c>
      <c r="E5" s="178">
        <v>1</v>
      </c>
      <c r="F5" s="178">
        <v>1</v>
      </c>
      <c r="G5" s="179">
        <v>0</v>
      </c>
      <c r="H5" s="179">
        <v>0</v>
      </c>
      <c r="I5" s="179">
        <v>0</v>
      </c>
      <c r="J5" s="179">
        <v>0</v>
      </c>
      <c r="K5" s="180">
        <v>0</v>
      </c>
    </row>
    <row r="6" spans="1:11" ht="22.2" thickTop="1" thickBot="1">
      <c r="A6" s="332" t="s">
        <v>89</v>
      </c>
      <c r="B6" s="161"/>
      <c r="C6" s="320" t="s">
        <v>107</v>
      </c>
      <c r="D6" s="380">
        <f t="shared" ref="D6:K6" si="0">SUM(D4:D5)</f>
        <v>3</v>
      </c>
      <c r="E6" s="381">
        <f t="shared" si="0"/>
        <v>4</v>
      </c>
      <c r="F6" s="381">
        <f t="shared" si="0"/>
        <v>2</v>
      </c>
      <c r="G6" s="321">
        <f t="shared" ref="G6:H6" si="1">SUM(G4:G5)</f>
        <v>0</v>
      </c>
      <c r="H6" s="321">
        <f t="shared" si="1"/>
        <v>0</v>
      </c>
      <c r="I6" s="321">
        <f t="shared" si="0"/>
        <v>0</v>
      </c>
      <c r="J6" s="321">
        <f t="shared" si="0"/>
        <v>0</v>
      </c>
      <c r="K6" s="322">
        <f t="shared" si="0"/>
        <v>0</v>
      </c>
    </row>
    <row r="7" spans="1:11">
      <c r="A7" s="185" t="str">
        <f>CONCATENATE("Bardic Knowledge 1d20",'Personal File'!C12)</f>
        <v>Bardic Knowledge 1d20+1</v>
      </c>
      <c r="B7" s="161"/>
      <c r="C7" s="315" t="s">
        <v>90</v>
      </c>
      <c r="D7" s="316">
        <f>10+D3+'Personal File'!$C$14</f>
        <v>15</v>
      </c>
      <c r="E7" s="317">
        <f>10+E3+'Personal File'!$C$14</f>
        <v>16</v>
      </c>
      <c r="F7" s="317">
        <f>10+F3+'Personal File'!$C$14</f>
        <v>17</v>
      </c>
      <c r="G7" s="318" t="s">
        <v>111</v>
      </c>
      <c r="H7" s="318" t="s">
        <v>111</v>
      </c>
      <c r="I7" s="318" t="s">
        <v>111</v>
      </c>
      <c r="J7" s="318" t="s">
        <v>111</v>
      </c>
      <c r="K7" s="319" t="s">
        <v>111</v>
      </c>
    </row>
    <row r="8" spans="1:11" ht="17.399999999999999" thickBot="1">
      <c r="A8" s="185" t="str">
        <f>CONCATENATE("Bardic Music ",'Personal File'!E3,"x/day")</f>
        <v>Bardic Music 5x/day</v>
      </c>
      <c r="B8" s="161"/>
      <c r="C8" s="181" t="s">
        <v>72</v>
      </c>
      <c r="D8" s="311">
        <v>0</v>
      </c>
      <c r="E8" s="312">
        <v>3</v>
      </c>
      <c r="F8" s="312">
        <v>0</v>
      </c>
      <c r="G8" s="313" t="s">
        <v>111</v>
      </c>
      <c r="H8" s="313" t="s">
        <v>111</v>
      </c>
      <c r="I8" s="313" t="s">
        <v>111</v>
      </c>
      <c r="J8" s="313" t="s">
        <v>111</v>
      </c>
      <c r="K8" s="314" t="s">
        <v>111</v>
      </c>
    </row>
    <row r="9" spans="1:11" ht="17.399999999999999" thickTop="1">
      <c r="A9" s="185" t="s">
        <v>135</v>
      </c>
      <c r="B9" s="161"/>
    </row>
    <row r="10" spans="1:11">
      <c r="A10" s="185" t="s">
        <v>136</v>
      </c>
      <c r="B10" s="161"/>
    </row>
    <row r="11" spans="1:11">
      <c r="A11" s="185" t="s">
        <v>220</v>
      </c>
      <c r="B11" s="161"/>
    </row>
    <row r="12" spans="1:11">
      <c r="A12" s="185" t="s">
        <v>137</v>
      </c>
    </row>
    <row r="13" spans="1:11" ht="17.399999999999999" thickBot="1">
      <c r="A13" s="425" t="s">
        <v>221</v>
      </c>
    </row>
    <row r="14" spans="1:11" ht="18" thickTop="1" thickBot="1"/>
    <row r="15" spans="1:11" ht="22.2" thickTop="1" thickBot="1">
      <c r="A15" s="334" t="s">
        <v>91</v>
      </c>
    </row>
    <row r="16" spans="1:11">
      <c r="A16" s="186" t="s">
        <v>92</v>
      </c>
    </row>
    <row r="17" spans="1:1" ht="17.399999999999999" thickBot="1">
      <c r="A17" s="187" t="s">
        <v>118</v>
      </c>
    </row>
    <row r="18" spans="1:1" ht="18" thickTop="1" thickBot="1"/>
    <row r="19" spans="1:1" ht="22.2" thickTop="1" thickBot="1">
      <c r="A19" s="333" t="s">
        <v>73</v>
      </c>
    </row>
    <row r="20" spans="1:1">
      <c r="A20" s="186" t="s">
        <v>201</v>
      </c>
    </row>
    <row r="21" spans="1:1" ht="17.399999999999999" thickBot="1">
      <c r="A21" s="188" t="s">
        <v>200</v>
      </c>
    </row>
    <row r="22" spans="1:1" ht="17.399999999999999" thickTop="1"/>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showGridLines="0" zoomScaleNormal="100" workbookViewId="0"/>
  </sheetViews>
  <sheetFormatPr defaultColWidth="13" defaultRowHeight="15.6"/>
  <cols>
    <col min="1" max="1" width="18" style="190" bestFit="1" customWidth="1"/>
    <col min="2" max="2" width="8.5" style="190" bestFit="1" customWidth="1"/>
    <col min="3" max="3" width="4.296875" style="190" bestFit="1" customWidth="1"/>
    <col min="4" max="4" width="6.296875" style="190" bestFit="1" customWidth="1"/>
    <col min="5" max="6" width="8.5" style="190" bestFit="1" customWidth="1"/>
    <col min="7" max="7" width="4.3984375" style="190" bestFit="1" customWidth="1"/>
    <col min="8" max="8" width="4.69921875" style="190" bestFit="1" customWidth="1"/>
    <col min="9" max="9" width="5.69921875" style="190" bestFit="1" customWidth="1"/>
    <col min="10" max="10" width="6.296875" style="190" bestFit="1" customWidth="1"/>
    <col min="11" max="11" width="14.5" style="190" bestFit="1" customWidth="1"/>
    <col min="12" max="12" width="2.69921875" style="17" customWidth="1"/>
    <col min="13" max="13" width="5.796875" style="17" bestFit="1" customWidth="1"/>
    <col min="14" max="16384" width="13" style="17"/>
  </cols>
  <sheetData>
    <row r="1" spans="1:13" ht="23.4" thickBot="1">
      <c r="A1" s="189" t="s">
        <v>15</v>
      </c>
      <c r="B1" s="189"/>
      <c r="C1" s="189"/>
      <c r="D1" s="189"/>
      <c r="E1" s="189"/>
      <c r="F1" s="189"/>
      <c r="G1" s="189"/>
      <c r="H1" s="189"/>
      <c r="I1" s="189"/>
      <c r="J1" s="189"/>
      <c r="K1" s="189"/>
      <c r="M1" s="189"/>
    </row>
    <row r="2" spans="1:13" ht="16.8" thickTop="1" thickBot="1">
      <c r="A2" s="191" t="s">
        <v>1</v>
      </c>
      <c r="B2" s="192" t="s">
        <v>2</v>
      </c>
      <c r="C2" s="192" t="s">
        <v>19</v>
      </c>
      <c r="D2" s="192" t="s">
        <v>20</v>
      </c>
      <c r="E2" s="193" t="s">
        <v>58</v>
      </c>
      <c r="F2" s="192" t="s">
        <v>16</v>
      </c>
      <c r="G2" s="192" t="s">
        <v>21</v>
      </c>
      <c r="H2" s="194" t="s">
        <v>93</v>
      </c>
      <c r="I2" s="195" t="s">
        <v>114</v>
      </c>
      <c r="J2" s="194" t="s">
        <v>81</v>
      </c>
      <c r="K2" s="196" t="s">
        <v>79</v>
      </c>
      <c r="M2" s="197" t="s">
        <v>120</v>
      </c>
    </row>
    <row r="3" spans="1:13">
      <c r="A3" s="351" t="s">
        <v>240</v>
      </c>
      <c r="B3" s="340" t="s">
        <v>133</v>
      </c>
      <c r="C3" s="341">
        <f>'Personal File'!$C$9</f>
        <v>-1</v>
      </c>
      <c r="D3" s="342" t="s">
        <v>56</v>
      </c>
      <c r="E3" s="343" t="s">
        <v>156</v>
      </c>
      <c r="F3" s="344" t="s">
        <v>157</v>
      </c>
      <c r="G3" s="345">
        <v>4</v>
      </c>
      <c r="H3" s="346" t="str">
        <f>CONCATENATE("+",'Personal File'!$B$7+'Personal File'!$C$9+D3)</f>
        <v>+2</v>
      </c>
      <c r="I3" s="488">
        <f t="shared" ref="I3:I4" ca="1" si="0">RANDBETWEEN(1,20)</f>
        <v>6</v>
      </c>
      <c r="J3" s="349">
        <f t="shared" ref="J3" ca="1" si="1">I3+H3</f>
        <v>8</v>
      </c>
      <c r="K3" s="350"/>
      <c r="M3" s="338">
        <v>15</v>
      </c>
    </row>
    <row r="4" spans="1:13">
      <c r="A4" s="478" t="s">
        <v>271</v>
      </c>
      <c r="B4" s="479" t="s">
        <v>272</v>
      </c>
      <c r="C4" s="480">
        <f>'Personal File'!$C$9</f>
        <v>-1</v>
      </c>
      <c r="D4" s="481" t="s">
        <v>56</v>
      </c>
      <c r="E4" s="481" t="s">
        <v>111</v>
      </c>
      <c r="F4" s="482" t="s">
        <v>273</v>
      </c>
      <c r="G4" s="483">
        <v>1</v>
      </c>
      <c r="H4" s="484" t="str">
        <f>CONCATENATE("+",'Personal File'!$B$7+'Personal File'!$C$9+D4)</f>
        <v>+2</v>
      </c>
      <c r="I4" s="489">
        <f t="shared" ca="1" si="0"/>
        <v>17</v>
      </c>
      <c r="J4" s="485">
        <f t="shared" ref="J4" ca="1" si="2">I4+H4</f>
        <v>19</v>
      </c>
      <c r="K4" s="486"/>
      <c r="M4" s="487">
        <v>15</v>
      </c>
    </row>
    <row r="5" spans="1:13" ht="16.2" thickBot="1">
      <c r="A5" s="394" t="s">
        <v>134</v>
      </c>
      <c r="B5" s="395" t="s">
        <v>148</v>
      </c>
      <c r="C5" s="396">
        <f>'Personal File'!$C$9</f>
        <v>-1</v>
      </c>
      <c r="D5" s="397" t="s">
        <v>56</v>
      </c>
      <c r="E5" s="398" t="s">
        <v>109</v>
      </c>
      <c r="F5" s="399" t="s">
        <v>110</v>
      </c>
      <c r="G5" s="443">
        <v>1</v>
      </c>
      <c r="H5" s="440" t="str">
        <f>CONCATENATE("+",'Personal File'!$B$7+'Personal File'!$C$9+D5)</f>
        <v>+2</v>
      </c>
      <c r="I5" s="490">
        <v>19</v>
      </c>
      <c r="J5" s="441">
        <v>19</v>
      </c>
      <c r="K5" s="400"/>
      <c r="M5" s="442" t="s">
        <v>111</v>
      </c>
    </row>
    <row r="6" spans="1:13" ht="16.8" thickTop="1" thickBot="1">
      <c r="M6" s="269"/>
    </row>
    <row r="7" spans="1:13" ht="16.8" thickTop="1" thickBot="1">
      <c r="A7" s="191" t="s">
        <v>4</v>
      </c>
      <c r="B7" s="192" t="s">
        <v>5</v>
      </c>
      <c r="C7" s="192" t="s">
        <v>19</v>
      </c>
      <c r="D7" s="192" t="s">
        <v>20</v>
      </c>
      <c r="E7" s="193" t="s">
        <v>58</v>
      </c>
      <c r="F7" s="192" t="s">
        <v>6</v>
      </c>
      <c r="G7" s="192" t="s">
        <v>21</v>
      </c>
      <c r="H7" s="194" t="s">
        <v>93</v>
      </c>
      <c r="I7" s="195" t="s">
        <v>114</v>
      </c>
      <c r="J7" s="194" t="s">
        <v>81</v>
      </c>
      <c r="K7" s="196" t="s">
        <v>79</v>
      </c>
      <c r="M7" s="337" t="s">
        <v>120</v>
      </c>
    </row>
    <row r="8" spans="1:13">
      <c r="A8" s="368" t="s">
        <v>241</v>
      </c>
      <c r="B8" s="369" t="s">
        <v>158</v>
      </c>
      <c r="C8" s="370">
        <f>'Personal File'!$C$9</f>
        <v>-1</v>
      </c>
      <c r="D8" s="371" t="s">
        <v>56</v>
      </c>
      <c r="E8" s="369" t="s">
        <v>242</v>
      </c>
      <c r="F8" s="371" t="s">
        <v>215</v>
      </c>
      <c r="G8" s="372">
        <v>2</v>
      </c>
      <c r="H8" s="346" t="str">
        <f>CONCATENATE("+",'Personal File'!$B$7+'Personal File'!$C$10+D8)</f>
        <v>+4</v>
      </c>
      <c r="I8" s="347">
        <f t="shared" ref="I8:I9" ca="1" si="3">RANDBETWEEN(1,20)</f>
        <v>18</v>
      </c>
      <c r="J8" s="373">
        <f t="shared" ref="J8" ca="1" si="4">I8+H8</f>
        <v>22</v>
      </c>
      <c r="K8" s="374"/>
      <c r="M8" s="338">
        <v>35</v>
      </c>
    </row>
    <row r="9" spans="1:13" ht="16.2" thickBot="1">
      <c r="A9" s="353" t="s">
        <v>123</v>
      </c>
      <c r="B9" s="354" t="s">
        <v>111</v>
      </c>
      <c r="C9" s="355" t="s">
        <v>111</v>
      </c>
      <c r="D9" s="355" t="s">
        <v>56</v>
      </c>
      <c r="E9" s="354" t="s">
        <v>111</v>
      </c>
      <c r="F9" s="355" t="s">
        <v>111</v>
      </c>
      <c r="G9" s="356" t="s">
        <v>111</v>
      </c>
      <c r="H9" s="357" t="str">
        <f>CONCATENATE("+",'Personal File'!$B$7+'Personal File'!$C$10+D9)</f>
        <v>+4</v>
      </c>
      <c r="I9" s="260">
        <f t="shared" ca="1" si="3"/>
        <v>1</v>
      </c>
      <c r="J9" s="357">
        <f t="shared" ref="J9" ca="1" si="5">I9+H9</f>
        <v>5</v>
      </c>
      <c r="K9" s="358"/>
      <c r="M9" s="352" t="s">
        <v>111</v>
      </c>
    </row>
    <row r="10" spans="1:13" ht="16.8" thickTop="1" thickBot="1">
      <c r="D10" s="198"/>
      <c r="E10" s="198"/>
      <c r="G10" s="199"/>
      <c r="H10" s="199"/>
      <c r="I10" s="199"/>
      <c r="J10" s="199"/>
      <c r="M10" s="269"/>
    </row>
    <row r="11" spans="1:13" ht="16.8" thickTop="1" thickBot="1">
      <c r="A11" s="191" t="s">
        <v>63</v>
      </c>
      <c r="B11" s="192" t="s">
        <v>9</v>
      </c>
      <c r="C11" s="192" t="s">
        <v>28</v>
      </c>
      <c r="D11" s="192" t="s">
        <v>81</v>
      </c>
      <c r="E11" s="192" t="s">
        <v>82</v>
      </c>
      <c r="F11" s="192" t="s">
        <v>83</v>
      </c>
      <c r="G11" s="192" t="s">
        <v>21</v>
      </c>
      <c r="H11" s="200" t="s">
        <v>79</v>
      </c>
      <c r="I11" s="201"/>
      <c r="J11" s="201"/>
      <c r="K11" s="202"/>
      <c r="M11" s="337" t="s">
        <v>120</v>
      </c>
    </row>
    <row r="12" spans="1:13">
      <c r="A12" s="385" t="s">
        <v>245</v>
      </c>
      <c r="B12" s="3">
        <v>6</v>
      </c>
      <c r="C12" s="203">
        <v>6</v>
      </c>
      <c r="D12" s="3">
        <v>0</v>
      </c>
      <c r="E12" s="204">
        <v>0.1</v>
      </c>
      <c r="F12" s="378" t="str">
        <f>'Personal File'!E7</f>
        <v>30’</v>
      </c>
      <c r="G12" s="4">
        <v>12.5</v>
      </c>
      <c r="H12" s="205" t="s">
        <v>159</v>
      </c>
      <c r="I12" s="206"/>
      <c r="J12" s="206"/>
      <c r="K12" s="207"/>
      <c r="M12" s="348">
        <v>2100</v>
      </c>
    </row>
    <row r="13" spans="1:13" ht="16.2" thickBot="1">
      <c r="A13" s="276"/>
      <c r="B13" s="280"/>
      <c r="C13" s="281"/>
      <c r="D13" s="280"/>
      <c r="E13" s="282"/>
      <c r="F13" s="280"/>
      <c r="G13" s="220"/>
      <c r="H13" s="277"/>
      <c r="I13" s="278"/>
      <c r="J13" s="278"/>
      <c r="K13" s="279"/>
      <c r="M13" s="336"/>
    </row>
    <row r="14" spans="1:13" ht="16.8" thickTop="1" thickBot="1">
      <c r="M14" s="269"/>
    </row>
    <row r="15" spans="1:13" ht="16.8" thickTop="1" thickBot="1">
      <c r="D15" s="208" t="s">
        <v>64</v>
      </c>
      <c r="E15" s="209"/>
      <c r="F15" s="200" t="s">
        <v>3</v>
      </c>
      <c r="G15" s="192" t="s">
        <v>21</v>
      </c>
      <c r="H15" s="194" t="s">
        <v>93</v>
      </c>
      <c r="I15" s="200" t="s">
        <v>79</v>
      </c>
      <c r="J15" s="201"/>
      <c r="K15" s="202"/>
      <c r="M15" s="337" t="s">
        <v>120</v>
      </c>
    </row>
    <row r="16" spans="1:13">
      <c r="D16" s="210" t="s">
        <v>243</v>
      </c>
      <c r="E16" s="211"/>
      <c r="F16" s="212">
        <v>20</v>
      </c>
      <c r="G16" s="4">
        <f>F16*3/20</f>
        <v>3</v>
      </c>
      <c r="H16" s="213" t="s">
        <v>56</v>
      </c>
      <c r="I16" s="214"/>
      <c r="J16" s="215"/>
      <c r="K16" s="216"/>
      <c r="M16" s="348">
        <f>F16/20</f>
        <v>1</v>
      </c>
    </row>
    <row r="17" spans="1:13" ht="16.2" thickBot="1">
      <c r="D17" s="217"/>
      <c r="E17" s="218"/>
      <c r="F17" s="219"/>
      <c r="G17" s="220"/>
      <c r="H17" s="221"/>
      <c r="I17" s="222"/>
      <c r="J17" s="223"/>
      <c r="K17" s="224"/>
      <c r="M17" s="336"/>
    </row>
    <row r="18" spans="1:13" ht="16.8" thickTop="1" thickBot="1">
      <c r="M18" s="269"/>
    </row>
    <row r="19" spans="1:13" ht="16.8" thickTop="1" thickBot="1">
      <c r="D19" s="208" t="s">
        <v>121</v>
      </c>
      <c r="E19" s="201"/>
      <c r="F19" s="201"/>
      <c r="G19" s="201"/>
      <c r="H19" s="226" t="s">
        <v>3</v>
      </c>
      <c r="I19" s="226" t="s">
        <v>0</v>
      </c>
      <c r="J19" s="226" t="s">
        <v>122</v>
      </c>
      <c r="K19" s="202" t="s">
        <v>79</v>
      </c>
      <c r="L19" s="160"/>
      <c r="M19" s="337" t="s">
        <v>120</v>
      </c>
    </row>
    <row r="20" spans="1:13">
      <c r="D20" s="261" t="s">
        <v>162</v>
      </c>
      <c r="E20" s="262"/>
      <c r="F20" s="262"/>
      <c r="G20" s="263"/>
      <c r="H20" s="264">
        <v>8</v>
      </c>
      <c r="I20" s="264">
        <v>1</v>
      </c>
      <c r="J20" s="264">
        <v>1</v>
      </c>
      <c r="K20" s="265"/>
      <c r="L20" s="160"/>
      <c r="M20" s="392">
        <f>25*H20*I20*J20</f>
        <v>200</v>
      </c>
    </row>
    <row r="21" spans="1:13">
      <c r="D21" s="261" t="s">
        <v>163</v>
      </c>
      <c r="E21" s="262"/>
      <c r="F21" s="262"/>
      <c r="G21" s="263"/>
      <c r="H21" s="264">
        <v>2</v>
      </c>
      <c r="I21" s="264">
        <v>1</v>
      </c>
      <c r="J21" s="264">
        <v>1</v>
      </c>
      <c r="K21" s="265"/>
      <c r="L21" s="160"/>
      <c r="M21" s="339">
        <f>25*H21*I21*J21</f>
        <v>50</v>
      </c>
    </row>
    <row r="22" spans="1:13" ht="16.2" thickBot="1">
      <c r="D22" s="228" t="s">
        <v>249</v>
      </c>
      <c r="E22" s="266"/>
      <c r="F22" s="266"/>
      <c r="G22" s="267"/>
      <c r="H22" s="268">
        <v>1</v>
      </c>
      <c r="I22" s="268">
        <v>1</v>
      </c>
      <c r="J22" s="268">
        <v>1</v>
      </c>
      <c r="K22" s="229" t="s">
        <v>250</v>
      </c>
      <c r="L22" s="160"/>
      <c r="M22" s="393">
        <f>25*H22*I22*J22*LEFT(K22,2)</f>
        <v>1250</v>
      </c>
    </row>
    <row r="23" spans="1:13" ht="18.600000000000001" thickTop="1">
      <c r="A23" s="225"/>
      <c r="B23" s="227"/>
    </row>
    <row r="24" spans="1:13" ht="18">
      <c r="A24" s="225"/>
      <c r="B24" s="227"/>
    </row>
    <row r="25" spans="1:13" ht="18">
      <c r="A25" s="225"/>
      <c r="B25" s="227"/>
    </row>
    <row r="26" spans="1:13" ht="18">
      <c r="A26" s="225"/>
      <c r="B26" s="227"/>
    </row>
    <row r="27" spans="1:13" ht="18">
      <c r="A27" s="225"/>
      <c r="B27" s="227"/>
    </row>
    <row r="28" spans="1:13" ht="18">
      <c r="A28" s="225"/>
      <c r="B28" s="227"/>
    </row>
    <row r="29" spans="1:13" ht="18">
      <c r="A29" s="225"/>
      <c r="B29" s="227"/>
    </row>
  </sheetData>
  <sortState xmlns:xlrd2="http://schemas.microsoft.com/office/spreadsheetml/2017/richdata2" ref="D19:M21">
    <sortCondition ref="D19:D21"/>
  </sortState>
  <phoneticPr fontId="0" type="noConversion"/>
  <conditionalFormatting sqref="B13">
    <cfRule type="cellIs" dxfId="12" priority="22" operator="equal">
      <formula>2</formula>
    </cfRule>
  </conditionalFormatting>
  <conditionalFormatting sqref="I3">
    <cfRule type="cellIs" dxfId="11" priority="18" operator="greaterThan">
      <formula>18</formula>
    </cfRule>
    <cfRule type="cellIs" dxfId="10" priority="19" operator="equal">
      <formula>1</formula>
    </cfRule>
  </conditionalFormatting>
  <conditionalFormatting sqref="I8">
    <cfRule type="cellIs" dxfId="9" priority="14" operator="greaterThan">
      <formula>19</formula>
    </cfRule>
    <cfRule type="cellIs" dxfId="8" priority="15" operator="equal">
      <formula>1</formula>
    </cfRule>
  </conditionalFormatting>
  <conditionalFormatting sqref="I5">
    <cfRule type="cellIs" dxfId="7" priority="9" operator="greaterThan">
      <formula>18</formula>
    </cfRule>
    <cfRule type="cellIs" dxfId="6" priority="10" operator="equal">
      <formula>1</formula>
    </cfRule>
  </conditionalFormatting>
  <conditionalFormatting sqref="I9">
    <cfRule type="cellIs" dxfId="5" priority="5" operator="greaterThan">
      <formula>19</formula>
    </cfRule>
    <cfRule type="cellIs" dxfId="4" priority="6" operator="equal">
      <formula>1</formula>
    </cfRule>
  </conditionalFormatting>
  <conditionalFormatting sqref="I4">
    <cfRule type="cellIs" dxfId="3" priority="1" operator="greaterThan">
      <formula>19</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2"/>
  <sheetViews>
    <sheetView showGridLines="0" workbookViewId="0"/>
  </sheetViews>
  <sheetFormatPr defaultColWidth="13" defaultRowHeight="15.6"/>
  <cols>
    <col min="1" max="1" width="18.5" style="190" bestFit="1" customWidth="1"/>
    <col min="2" max="2" width="4.69921875" style="190" bestFit="1" customWidth="1"/>
    <col min="3" max="3" width="4.3984375" style="199" bestFit="1" customWidth="1"/>
    <col min="4" max="5" width="26.59765625" style="17" customWidth="1"/>
    <col min="6" max="6" width="2.8984375" style="190" customWidth="1"/>
    <col min="7" max="7" width="7" style="269" bestFit="1" customWidth="1"/>
    <col min="8" max="16384" width="13" style="17"/>
  </cols>
  <sheetData>
    <row r="1" spans="1:8" ht="23.4" thickBot="1">
      <c r="A1" s="189" t="s">
        <v>76</v>
      </c>
      <c r="B1" s="189"/>
      <c r="C1" s="230"/>
      <c r="D1" s="189"/>
      <c r="E1" s="189"/>
    </row>
    <row r="2" spans="1:8" s="190" customFormat="1" ht="16.8" thickTop="1" thickBot="1">
      <c r="A2" s="231" t="s">
        <v>77</v>
      </c>
      <c r="B2" s="231" t="s">
        <v>3</v>
      </c>
      <c r="C2" s="232" t="s">
        <v>21</v>
      </c>
      <c r="D2" s="233" t="s">
        <v>78</v>
      </c>
      <c r="E2" s="234" t="s">
        <v>79</v>
      </c>
      <c r="G2" s="270" t="s">
        <v>120</v>
      </c>
    </row>
    <row r="3" spans="1:8">
      <c r="A3" s="239" t="s">
        <v>129</v>
      </c>
      <c r="B3" s="240">
        <v>1</v>
      </c>
      <c r="C3" s="241">
        <v>0.5</v>
      </c>
      <c r="D3" s="242"/>
      <c r="E3" s="243"/>
      <c r="G3" s="273">
        <v>1</v>
      </c>
      <c r="H3" s="160"/>
    </row>
    <row r="4" spans="1:8">
      <c r="A4" s="239" t="s">
        <v>113</v>
      </c>
      <c r="B4" s="245">
        <v>1</v>
      </c>
      <c r="C4" s="241">
        <v>1</v>
      </c>
      <c r="D4" s="242"/>
      <c r="E4" s="243"/>
      <c r="G4" s="273">
        <v>2</v>
      </c>
      <c r="H4" s="160"/>
    </row>
    <row r="5" spans="1:8">
      <c r="A5" s="294" t="s">
        <v>270</v>
      </c>
      <c r="B5" s="295">
        <v>1</v>
      </c>
      <c r="C5" s="296">
        <v>1</v>
      </c>
      <c r="D5" s="297"/>
      <c r="E5" s="298"/>
      <c r="G5" s="273">
        <v>4000</v>
      </c>
      <c r="H5" s="160"/>
    </row>
    <row r="6" spans="1:8">
      <c r="A6" s="244" t="s">
        <v>264</v>
      </c>
      <c r="B6" s="245">
        <v>1</v>
      </c>
      <c r="C6" s="296">
        <v>0.5</v>
      </c>
      <c r="D6" s="297"/>
      <c r="E6" s="298"/>
      <c r="G6" s="273">
        <v>1</v>
      </c>
      <c r="H6" s="160"/>
    </row>
    <row r="7" spans="1:8">
      <c r="A7" s="300" t="s">
        <v>129</v>
      </c>
      <c r="B7" s="240">
        <v>1</v>
      </c>
      <c r="C7" s="296">
        <v>0</v>
      </c>
      <c r="D7" s="297"/>
      <c r="E7" s="298"/>
      <c r="G7" s="391">
        <v>1</v>
      </c>
      <c r="H7" s="160"/>
    </row>
    <row r="8" spans="1:8" ht="16.2" thickBot="1">
      <c r="A8" s="246" t="s">
        <v>119</v>
      </c>
      <c r="B8" s="247">
        <v>1</v>
      </c>
      <c r="C8" s="248" t="s">
        <v>116</v>
      </c>
      <c r="D8" s="249"/>
      <c r="E8" s="250"/>
      <c r="G8" s="271" t="s">
        <v>265</v>
      </c>
    </row>
    <row r="9" spans="1:8" ht="24" thickTop="1" thickBot="1">
      <c r="A9" s="189" t="s">
        <v>80</v>
      </c>
      <c r="B9" s="189"/>
      <c r="C9" s="251"/>
      <c r="D9" s="189"/>
      <c r="E9" s="252"/>
      <c r="G9" s="272"/>
    </row>
    <row r="10" spans="1:8" ht="16.8" thickTop="1" thickBot="1">
      <c r="A10" s="231" t="s">
        <v>77</v>
      </c>
      <c r="B10" s="231" t="s">
        <v>3</v>
      </c>
      <c r="C10" s="232" t="s">
        <v>21</v>
      </c>
      <c r="D10" s="233" t="s">
        <v>78</v>
      </c>
      <c r="E10" s="234" t="s">
        <v>79</v>
      </c>
      <c r="G10" s="270" t="s">
        <v>120</v>
      </c>
    </row>
    <row r="11" spans="1:8">
      <c r="A11" s="299" t="s">
        <v>95</v>
      </c>
      <c r="B11" s="254">
        <v>1</v>
      </c>
      <c r="C11" s="301">
        <v>4</v>
      </c>
      <c r="D11" s="236"/>
      <c r="E11" s="237"/>
      <c r="F11" s="238"/>
      <c r="G11" s="467">
        <v>1</v>
      </c>
      <c r="H11" s="160"/>
    </row>
    <row r="12" spans="1:8">
      <c r="A12" s="300" t="s">
        <v>263</v>
      </c>
      <c r="B12" s="240">
        <v>1</v>
      </c>
      <c r="C12" s="241">
        <v>0</v>
      </c>
      <c r="D12" s="242"/>
      <c r="E12" s="243"/>
      <c r="F12" s="238"/>
      <c r="G12" s="475">
        <v>0.4</v>
      </c>
      <c r="H12" s="160"/>
    </row>
    <row r="13" spans="1:8" ht="16.2" thickBot="1">
      <c r="A13" s="246"/>
      <c r="B13" s="247"/>
      <c r="C13" s="255"/>
      <c r="D13" s="256"/>
      <c r="E13" s="250"/>
      <c r="F13" s="238"/>
      <c r="G13" s="469"/>
    </row>
    <row r="14" spans="1:8" ht="22.8" thickTop="1" thickBot="1">
      <c r="A14" s="453"/>
      <c r="B14" s="453"/>
      <c r="C14" s="453"/>
      <c r="D14" s="454" t="s">
        <v>248</v>
      </c>
      <c r="E14" s="455"/>
      <c r="F14" s="430"/>
      <c r="G14" s="430">
        <v>2000</v>
      </c>
    </row>
    <row r="15" spans="1:8" ht="16.8" thickTop="1" thickBot="1">
      <c r="A15" s="231" t="s">
        <v>77</v>
      </c>
      <c r="B15" s="231" t="s">
        <v>3</v>
      </c>
      <c r="C15" s="232" t="s">
        <v>21</v>
      </c>
      <c r="D15" s="233" t="s">
        <v>78</v>
      </c>
      <c r="E15" s="234" t="s">
        <v>79</v>
      </c>
      <c r="F15" s="430"/>
      <c r="G15" s="456" t="s">
        <v>120</v>
      </c>
    </row>
    <row r="16" spans="1:8">
      <c r="A16" s="300" t="s">
        <v>112</v>
      </c>
      <c r="B16" s="457">
        <v>1</v>
      </c>
      <c r="C16" s="384">
        <v>5</v>
      </c>
      <c r="D16" s="458"/>
      <c r="E16" s="390"/>
      <c r="F16"/>
      <c r="G16" s="476">
        <v>0.05</v>
      </c>
    </row>
    <row r="17" spans="1:7">
      <c r="A17" s="300" t="s">
        <v>253</v>
      </c>
      <c r="B17" s="457">
        <v>1</v>
      </c>
      <c r="C17" s="384">
        <v>0</v>
      </c>
      <c r="D17" s="458"/>
      <c r="E17" s="390"/>
      <c r="F17"/>
      <c r="G17" s="459">
        <v>1</v>
      </c>
    </row>
    <row r="18" spans="1:7">
      <c r="A18" s="300" t="s">
        <v>94</v>
      </c>
      <c r="B18" s="457">
        <v>1</v>
      </c>
      <c r="C18" s="384">
        <v>0</v>
      </c>
      <c r="D18" s="458"/>
      <c r="E18" s="390"/>
      <c r="F18"/>
      <c r="G18" s="459">
        <v>1</v>
      </c>
    </row>
    <row r="19" spans="1:7">
      <c r="A19" s="300" t="s">
        <v>254</v>
      </c>
      <c r="B19" s="457">
        <v>1</v>
      </c>
      <c r="C19" s="384">
        <v>0</v>
      </c>
      <c r="D19" s="458"/>
      <c r="E19" s="390"/>
      <c r="F19"/>
      <c r="G19" s="476">
        <v>0.01</v>
      </c>
    </row>
    <row r="20" spans="1:7">
      <c r="A20" s="471" t="s">
        <v>255</v>
      </c>
      <c r="B20" s="472">
        <v>1</v>
      </c>
      <c r="C20" s="376">
        <v>0.5</v>
      </c>
      <c r="D20" s="473"/>
      <c r="E20" s="377"/>
      <c r="F20"/>
      <c r="G20" s="474">
        <v>10</v>
      </c>
    </row>
    <row r="21" spans="1:7">
      <c r="A21" s="471" t="s">
        <v>266</v>
      </c>
      <c r="B21" s="472">
        <v>2</v>
      </c>
      <c r="C21" s="376">
        <v>0</v>
      </c>
      <c r="D21" s="473"/>
      <c r="E21" s="377"/>
      <c r="F21"/>
      <c r="G21" s="476">
        <v>0.01</v>
      </c>
    </row>
    <row r="22" spans="1:7">
      <c r="A22" s="471" t="s">
        <v>251</v>
      </c>
      <c r="B22" s="472">
        <v>1</v>
      </c>
      <c r="C22" s="376">
        <v>6</v>
      </c>
      <c r="D22" s="473" t="s">
        <v>252</v>
      </c>
      <c r="E22" s="377"/>
      <c r="F22"/>
      <c r="G22" s="474">
        <v>100</v>
      </c>
    </row>
    <row r="23" spans="1:7">
      <c r="A23" s="471" t="s">
        <v>257</v>
      </c>
      <c r="B23" s="472">
        <v>1</v>
      </c>
      <c r="C23" s="376">
        <v>5</v>
      </c>
      <c r="D23" s="473" t="s">
        <v>258</v>
      </c>
      <c r="E23" s="377"/>
      <c r="F23"/>
      <c r="G23" s="474">
        <v>10</v>
      </c>
    </row>
    <row r="24" spans="1:7">
      <c r="A24" s="471" t="s">
        <v>130</v>
      </c>
      <c r="B24" s="472">
        <v>1</v>
      </c>
      <c r="C24" s="376">
        <v>0</v>
      </c>
      <c r="D24" s="473"/>
      <c r="E24" s="377"/>
      <c r="F24"/>
      <c r="G24" s="474">
        <v>8</v>
      </c>
    </row>
    <row r="25" spans="1:7">
      <c r="A25" s="471" t="s">
        <v>132</v>
      </c>
      <c r="B25" s="472">
        <v>15</v>
      </c>
      <c r="C25" s="376">
        <v>0</v>
      </c>
      <c r="D25" s="473"/>
      <c r="E25" s="377"/>
      <c r="F25"/>
      <c r="G25" s="476">
        <v>0.02</v>
      </c>
    </row>
    <row r="26" spans="1:7">
      <c r="A26" s="471" t="s">
        <v>260</v>
      </c>
      <c r="B26" s="472">
        <v>1</v>
      </c>
      <c r="C26" s="376">
        <v>8</v>
      </c>
      <c r="D26" s="473"/>
      <c r="E26" s="377"/>
      <c r="F26"/>
      <c r="G26" s="474">
        <v>2</v>
      </c>
    </row>
    <row r="27" spans="1:7">
      <c r="A27" s="471" t="s">
        <v>261</v>
      </c>
      <c r="B27" s="472">
        <v>1</v>
      </c>
      <c r="C27" s="376">
        <v>2</v>
      </c>
      <c r="D27" s="473"/>
      <c r="E27" s="377"/>
      <c r="F27"/>
      <c r="G27" s="476">
        <v>0.25</v>
      </c>
    </row>
    <row r="28" spans="1:7">
      <c r="A28" s="471" t="s">
        <v>262</v>
      </c>
      <c r="B28" s="472">
        <v>1</v>
      </c>
      <c r="C28" s="376">
        <v>5</v>
      </c>
      <c r="D28" s="473"/>
      <c r="E28" s="377"/>
      <c r="F28"/>
      <c r="G28" s="474">
        <v>2</v>
      </c>
    </row>
    <row r="29" spans="1:7">
      <c r="A29" s="471" t="s">
        <v>259</v>
      </c>
      <c r="B29" s="472">
        <v>1</v>
      </c>
      <c r="C29" s="376">
        <v>20</v>
      </c>
      <c r="D29" s="473"/>
      <c r="E29" s="377"/>
      <c r="F29"/>
      <c r="G29" s="474">
        <v>10</v>
      </c>
    </row>
    <row r="30" spans="1:7">
      <c r="A30" s="471" t="s">
        <v>267</v>
      </c>
      <c r="B30" s="472">
        <v>1</v>
      </c>
      <c r="C30" s="376">
        <v>1</v>
      </c>
      <c r="D30" s="473"/>
      <c r="E30" s="377"/>
      <c r="F30"/>
      <c r="G30" s="474">
        <v>1</v>
      </c>
    </row>
    <row r="31" spans="1:7">
      <c r="A31" s="471" t="s">
        <v>268</v>
      </c>
      <c r="B31" s="472">
        <v>1</v>
      </c>
      <c r="C31" s="376">
        <v>0</v>
      </c>
      <c r="D31" s="473"/>
      <c r="E31" s="377"/>
      <c r="F31"/>
      <c r="G31" s="474">
        <v>5</v>
      </c>
    </row>
    <row r="32" spans="1:7" ht="16.2" thickBot="1">
      <c r="A32" s="460" t="s">
        <v>256</v>
      </c>
      <c r="B32" s="461">
        <v>1</v>
      </c>
      <c r="C32" s="248">
        <v>3</v>
      </c>
      <c r="D32" s="462"/>
      <c r="E32" s="463"/>
      <c r="F32" s="430"/>
      <c r="G32" s="275">
        <v>12</v>
      </c>
    </row>
    <row r="33" spans="1:7" ht="24" thickTop="1" thickBot="1">
      <c r="A33" s="426" t="s">
        <v>247</v>
      </c>
      <c r="B33" s="464">
        <f>C33/500</f>
        <v>0.111</v>
      </c>
      <c r="C33" s="465">
        <f>SUM(C16:C32)</f>
        <v>55.5</v>
      </c>
      <c r="D33" s="466" t="s">
        <v>246</v>
      </c>
      <c r="E33" s="189"/>
      <c r="G33" s="470"/>
    </row>
    <row r="34" spans="1:7" s="190" customFormat="1" ht="16.8" thickTop="1" thickBot="1">
      <c r="A34" s="231" t="s">
        <v>77</v>
      </c>
      <c r="B34" s="231" t="s">
        <v>3</v>
      </c>
      <c r="C34" s="232" t="s">
        <v>21</v>
      </c>
      <c r="D34" s="231" t="s">
        <v>165</v>
      </c>
      <c r="E34" s="234" t="s">
        <v>79</v>
      </c>
      <c r="G34" s="270" t="s">
        <v>120</v>
      </c>
    </row>
    <row r="35" spans="1:7">
      <c r="A35" s="253"/>
      <c r="B35" s="254"/>
      <c r="C35" s="235"/>
      <c r="D35" s="389"/>
      <c r="E35" s="390"/>
      <c r="G35" s="274">
        <f>B35</f>
        <v>0</v>
      </c>
    </row>
    <row r="36" spans="1:7">
      <c r="A36" s="239"/>
      <c r="B36" s="240"/>
      <c r="C36" s="241"/>
      <c r="D36" s="389"/>
      <c r="E36" s="390"/>
      <c r="G36" s="468"/>
    </row>
    <row r="37" spans="1:7">
      <c r="A37" s="239"/>
      <c r="B37" s="240"/>
      <c r="C37" s="241"/>
      <c r="D37" s="389"/>
      <c r="E37" s="390"/>
      <c r="G37" s="468"/>
    </row>
    <row r="38" spans="1:7">
      <c r="A38" s="239"/>
      <c r="B38" s="240"/>
      <c r="C38" s="241"/>
      <c r="D38" s="259"/>
      <c r="E38" s="243"/>
      <c r="G38" s="468"/>
    </row>
    <row r="39" spans="1:7">
      <c r="A39" s="244"/>
      <c r="B39" s="245"/>
      <c r="C39" s="241"/>
      <c r="D39" s="242"/>
      <c r="E39" s="243"/>
      <c r="G39" s="273"/>
    </row>
    <row r="40" spans="1:7" ht="16.2" thickBot="1">
      <c r="A40" s="257"/>
      <c r="B40" s="258"/>
      <c r="C40" s="255"/>
      <c r="D40" s="249"/>
      <c r="E40" s="250"/>
      <c r="G40" s="275"/>
    </row>
    <row r="41" spans="1:7" ht="16.2" thickTop="1"/>
    <row r="42" spans="1:7">
      <c r="E42" s="60" t="s">
        <v>153</v>
      </c>
      <c r="F42" s="160"/>
      <c r="G42" s="327">
        <f>SUM(Martial!M3:M22,Equipment!G3:G40)</f>
        <v>9834.74</v>
      </c>
    </row>
  </sheetData>
  <sortState xmlns:xlrd2="http://schemas.microsoft.com/office/spreadsheetml/2017/richdata2" ref="A7:G12">
    <sortCondition ref="A7:A12"/>
  </sortState>
  <phoneticPr fontId="0" type="noConversion"/>
  <conditionalFormatting sqref="G42">
    <cfRule type="cellIs" dxfId="1" priority="2" operator="lessThan">
      <formula>0</formula>
    </cfRule>
  </conditionalFormatting>
  <conditionalFormatting sqref="B33">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909E-0B0F-4840-AFF5-01864C8A691A}">
  <dimension ref="A1:C17"/>
  <sheetViews>
    <sheetView showGridLines="0" workbookViewId="0"/>
  </sheetViews>
  <sheetFormatPr defaultColWidth="9" defaultRowHeight="15.6"/>
  <cols>
    <col min="1" max="1" width="62.796875" style="22" bestFit="1" customWidth="1"/>
    <col min="2" max="2" width="9.5" style="438" customWidth="1"/>
    <col min="3" max="3" width="6.3984375" style="22" customWidth="1"/>
    <col min="4" max="16384" width="9" style="22"/>
  </cols>
  <sheetData>
    <row r="1" spans="1:3">
      <c r="A1" s="426" t="s">
        <v>226</v>
      </c>
      <c r="B1" s="427" t="str">
        <f>'Personal File'!A1</f>
        <v>Luran</v>
      </c>
      <c r="C1" s="428" t="s">
        <v>227</v>
      </c>
    </row>
    <row r="2" spans="1:3">
      <c r="A2" s="429" t="s">
        <v>269</v>
      </c>
      <c r="B2" s="430" t="s">
        <v>230</v>
      </c>
      <c r="C2" s="431">
        <v>0.2</v>
      </c>
    </row>
    <row r="3" spans="1:3">
      <c r="A3" s="429" t="s">
        <v>228</v>
      </c>
      <c r="B3" s="430" t="s">
        <v>230</v>
      </c>
      <c r="C3" s="431">
        <v>0.2</v>
      </c>
    </row>
    <row r="4" spans="1:3">
      <c r="A4" s="429" t="s">
        <v>229</v>
      </c>
      <c r="B4" s="430" t="s">
        <v>230</v>
      </c>
      <c r="C4" s="431">
        <v>0.2</v>
      </c>
    </row>
    <row r="5" spans="1:3">
      <c r="A5" s="429" t="s">
        <v>231</v>
      </c>
      <c r="B5" s="430" t="s">
        <v>276</v>
      </c>
      <c r="C5" s="431">
        <v>0.16</v>
      </c>
    </row>
    <row r="6" spans="1:3">
      <c r="A6" s="429" t="s">
        <v>232</v>
      </c>
      <c r="B6" s="430" t="s">
        <v>230</v>
      </c>
      <c r="C6" s="431">
        <v>0.2</v>
      </c>
    </row>
    <row r="7" spans="1:3">
      <c r="A7" s="426" t="s">
        <v>57</v>
      </c>
      <c r="B7" s="427"/>
      <c r="C7" s="428">
        <f>SUM(C2:C6)</f>
        <v>0.96000000000000019</v>
      </c>
    </row>
    <row r="8" spans="1:3">
      <c r="A8" s="426"/>
      <c r="B8" s="427"/>
      <c r="C8" s="428"/>
    </row>
    <row r="9" spans="1:3">
      <c r="A9" s="426" t="s">
        <v>233</v>
      </c>
      <c r="B9" s="432">
        <v>0</v>
      </c>
      <c r="C9" s="433"/>
    </row>
    <row r="10" spans="1:3">
      <c r="A10" s="426" t="s">
        <v>234</v>
      </c>
      <c r="B10" s="432">
        <v>3000</v>
      </c>
      <c r="C10" s="433"/>
    </row>
    <row r="11" spans="1:3">
      <c r="A11" s="426" t="s">
        <v>235</v>
      </c>
      <c r="B11" s="432">
        <f>IF(B9=0,B10*C7,(B10*C7*(1-(B9/4))))</f>
        <v>2880.0000000000005</v>
      </c>
      <c r="C11" s="433"/>
    </row>
    <row r="12" spans="1:3">
      <c r="A12" s="426" t="s">
        <v>236</v>
      </c>
      <c r="B12" s="434">
        <v>500</v>
      </c>
      <c r="C12" s="435" t="s">
        <v>275</v>
      </c>
    </row>
    <row r="13" spans="1:3">
      <c r="A13" s="426" t="s">
        <v>57</v>
      </c>
      <c r="B13" s="436">
        <f>SUM(B11:B12)</f>
        <v>3380.0000000000005</v>
      </c>
      <c r="C13" s="433"/>
    </row>
    <row r="14" spans="1:3">
      <c r="A14" s="426" t="s">
        <v>237</v>
      </c>
      <c r="B14" s="432">
        <v>15999</v>
      </c>
      <c r="C14" s="433"/>
    </row>
    <row r="15" spans="1:3">
      <c r="A15" s="426" t="s">
        <v>238</v>
      </c>
      <c r="B15" s="436">
        <f>SUM(B13:B14)</f>
        <v>19379</v>
      </c>
      <c r="C15" s="433"/>
    </row>
    <row r="17" spans="1:1">
      <c r="A17" s="437"/>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2020-07-26T21:33:55Z</cp:lastPrinted>
  <dcterms:created xsi:type="dcterms:W3CDTF">2000-10-24T15:39:59Z</dcterms:created>
  <dcterms:modified xsi:type="dcterms:W3CDTF">2020-09-14T23:18:14Z</dcterms:modified>
</cp:coreProperties>
</file>