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A\Jue\FoL\PCs\"/>
    </mc:Choice>
  </mc:AlternateContent>
  <xr:revisionPtr revIDLastSave="0" documentId="13_ncr:1_{DA3ACE6D-A5D4-4193-87BF-759F87C58D42}" xr6:coauthVersionLast="46" xr6:coauthVersionMax="46"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 name="XP Awards" sheetId="21" r:id="rId7"/>
  </sheets>
  <externalReferences>
    <externalReference r:id="rId8"/>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File'!$A$1:$H$48</definedName>
    <definedName name="_xlnm.Print_Area" localSheetId="1">Skills!$A$1:$K$30</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 l="1"/>
  <c r="B8" i="4"/>
  <c r="D7" i="20" l="1"/>
  <c r="E7" i="20"/>
  <c r="F7" i="20"/>
  <c r="G7" i="20"/>
  <c r="A8" i="20"/>
  <c r="B4" i="15"/>
  <c r="G8" i="20" l="1"/>
  <c r="D11" i="20"/>
  <c r="B48" i="15" l="1"/>
  <c r="B3" i="15"/>
  <c r="B5" i="15"/>
  <c r="B25" i="15"/>
  <c r="F13" i="15" l="1"/>
  <c r="F22" i="15"/>
  <c r="E55" i="15" l="1"/>
  <c r="E48" i="15" s="1"/>
  <c r="H27" i="15"/>
  <c r="D27" i="15"/>
  <c r="G27" i="15" s="1"/>
  <c r="H25" i="15"/>
  <c r="G25" i="15"/>
  <c r="E25" i="15"/>
  <c r="D25" i="15"/>
  <c r="H26" i="15"/>
  <c r="G26" i="15"/>
  <c r="E26" i="15"/>
  <c r="D26" i="15"/>
  <c r="E54" i="15"/>
  <c r="E12" i="4"/>
  <c r="H40" i="15"/>
  <c r="H39" i="15"/>
  <c r="I26" i="15" l="1"/>
  <c r="I27" i="15"/>
  <c r="I25" i="15"/>
  <c r="E27" i="15"/>
  <c r="D5" i="6"/>
  <c r="M18" i="6" l="1"/>
  <c r="G17" i="6"/>
  <c r="G18" i="6"/>
  <c r="G9" i="6" l="1"/>
  <c r="M24" i="6" l="1"/>
  <c r="M23" i="6"/>
  <c r="G19" i="6" l="1"/>
  <c r="M19" i="6"/>
  <c r="M17" i="6"/>
  <c r="G22" i="19" l="1"/>
  <c r="C22" i="19"/>
  <c r="G19" i="19" l="1"/>
  <c r="C19" i="19"/>
  <c r="C21" i="19"/>
  <c r="M9" i="6"/>
  <c r="I9" i="6"/>
  <c r="F46" i="15" l="1"/>
  <c r="F41" i="15"/>
  <c r="H45" i="15"/>
  <c r="H16" i="15" l="1"/>
  <c r="I4" i="6" l="1"/>
  <c r="B15" i="4" l="1"/>
  <c r="M22" i="6" l="1"/>
  <c r="M25" i="6"/>
  <c r="C38" i="19" l="1"/>
  <c r="B38" i="19" s="1"/>
  <c r="H38" i="15" l="1"/>
  <c r="I10" i="6" l="1"/>
  <c r="B1" i="21" l="1"/>
  <c r="C7" i="21"/>
  <c r="B11" i="21" s="1"/>
  <c r="B13" i="21" s="1"/>
  <c r="B15" i="21" s="1"/>
  <c r="H32" i="15" l="1"/>
  <c r="H33" i="15"/>
  <c r="H29" i="15"/>
  <c r="H24" i="15"/>
  <c r="H23" i="15"/>
  <c r="H22" i="15"/>
  <c r="H21" i="15"/>
  <c r="H20" i="15"/>
  <c r="H46" i="15" l="1"/>
  <c r="H44" i="15"/>
  <c r="H43" i="15"/>
  <c r="H42" i="15"/>
  <c r="H41" i="15"/>
  <c r="H37" i="15"/>
  <c r="H36" i="15"/>
  <c r="H35" i="15"/>
  <c r="H34" i="15"/>
  <c r="H31" i="15"/>
  <c r="H30" i="15"/>
  <c r="H28" i="15"/>
  <c r="H19" i="15"/>
  <c r="H18" i="15"/>
  <c r="H17" i="15"/>
  <c r="H15" i="15"/>
  <c r="H14" i="15"/>
  <c r="H13" i="15"/>
  <c r="H12" i="15"/>
  <c r="H11" i="15"/>
  <c r="H10" i="15"/>
  <c r="H9" i="15"/>
  <c r="H8" i="15"/>
  <c r="H7" i="15"/>
  <c r="B14" i="4" l="1"/>
  <c r="B13" i="4"/>
  <c r="B12" i="4"/>
  <c r="B11" i="4"/>
  <c r="B10" i="4"/>
  <c r="H3" i="15" l="1"/>
  <c r="H4" i="15"/>
  <c r="H5" i="15"/>
  <c r="M26" i="6" l="1"/>
  <c r="F13" i="6" l="1"/>
  <c r="I8" i="6" l="1"/>
  <c r="G40" i="19" l="1"/>
  <c r="I3" i="6" l="1"/>
  <c r="C14" i="4" l="1"/>
  <c r="D5" i="15" s="1"/>
  <c r="C15" i="4"/>
  <c r="D32" i="15" l="1"/>
  <c r="D33" i="15"/>
  <c r="E5" i="15"/>
  <c r="G5" i="15"/>
  <c r="I5" i="15" s="1"/>
  <c r="E33" i="15" l="1"/>
  <c r="G33" i="15"/>
  <c r="I33" i="15" s="1"/>
  <c r="G32" i="15"/>
  <c r="I32" i="15" s="1"/>
  <c r="E32" i="15"/>
  <c r="G47" i="19"/>
  <c r="D8" i="20" l="1"/>
  <c r="E8" i="20"/>
  <c r="F8" i="20"/>
  <c r="F7" i="15" l="1"/>
  <c r="F9" i="15"/>
  <c r="F16" i="15"/>
  <c r="F21" i="15"/>
  <c r="F23" i="15"/>
  <c r="F29" i="15"/>
  <c r="F45" i="15"/>
  <c r="E11" i="4" l="1"/>
  <c r="C13" i="4" l="1"/>
  <c r="C12" i="4"/>
  <c r="D3" i="15" s="1"/>
  <c r="C11" i="4"/>
  <c r="C10" i="4"/>
  <c r="H9" i="6" l="1"/>
  <c r="J9" i="6" s="1"/>
  <c r="H8" i="6"/>
  <c r="H4" i="6"/>
  <c r="J4" i="6" s="1"/>
  <c r="C4" i="6"/>
  <c r="A7" i="20"/>
  <c r="D40" i="15"/>
  <c r="C3" i="6"/>
  <c r="C5" i="6"/>
  <c r="H5" i="6"/>
  <c r="H3" i="6"/>
  <c r="B9" i="4"/>
  <c r="H10" i="6"/>
  <c r="J10" i="6" s="1"/>
  <c r="D4" i="15"/>
  <c r="E15" i="4"/>
  <c r="E14" i="4" s="1"/>
  <c r="E3" i="15"/>
  <c r="G3" i="15"/>
  <c r="I3" i="15" s="1"/>
  <c r="E51" i="15"/>
  <c r="E49" i="15"/>
  <c r="E52" i="15"/>
  <c r="E53" i="15"/>
  <c r="E50" i="15"/>
  <c r="H47" i="15"/>
  <c r="H6" i="15"/>
  <c r="G40" i="15" l="1"/>
  <c r="I40" i="15" s="1"/>
  <c r="E40" i="15"/>
  <c r="E4" i="15"/>
  <c r="G4" i="15"/>
  <c r="I4" i="15" s="1"/>
  <c r="J8" i="6"/>
  <c r="J3" i="6"/>
  <c r="D24" i="15" l="1"/>
  <c r="E24" i="15" l="1"/>
  <c r="G24" i="15"/>
  <c r="I24" i="15" l="1"/>
  <c r="D34" i="15"/>
  <c r="E34" i="15" l="1"/>
  <c r="G34" i="15"/>
  <c r="D41" i="15"/>
  <c r="D19" i="15"/>
  <c r="D43" i="15"/>
  <c r="D39" i="15"/>
  <c r="D45" i="15"/>
  <c r="D42" i="15"/>
  <c r="D44" i="15"/>
  <c r="D36" i="15"/>
  <c r="D46" i="15"/>
  <c r="D30" i="15"/>
  <c r="D38" i="15"/>
  <c r="D14" i="15"/>
  <c r="D12" i="15"/>
  <c r="D47" i="15"/>
  <c r="D37" i="15"/>
  <c r="D35" i="15"/>
  <c r="D31" i="15"/>
  <c r="D29" i="15"/>
  <c r="D28" i="15"/>
  <c r="D23" i="15"/>
  <c r="D22" i="15"/>
  <c r="D21" i="15"/>
  <c r="D20" i="15"/>
  <c r="D18" i="15"/>
  <c r="D17" i="15"/>
  <c r="D16" i="15"/>
  <c r="D15" i="15"/>
  <c r="D13" i="15"/>
  <c r="D11" i="15"/>
  <c r="D10" i="15"/>
  <c r="D9" i="15"/>
  <c r="D8" i="15"/>
  <c r="D7" i="15"/>
  <c r="D6" i="15"/>
  <c r="E7" i="15" l="1"/>
  <c r="G7" i="15"/>
  <c r="E11" i="15"/>
  <c r="G11" i="15"/>
  <c r="I11" i="15" s="1"/>
  <c r="E17" i="15"/>
  <c r="G17" i="15"/>
  <c r="E22" i="15"/>
  <c r="G22" i="15"/>
  <c r="E28" i="15"/>
  <c r="G28" i="15"/>
  <c r="E31" i="15"/>
  <c r="I34" i="15" s="1"/>
  <c r="G31" i="15"/>
  <c r="E37" i="15"/>
  <c r="G37" i="15"/>
  <c r="I37" i="15" s="1"/>
  <c r="E12" i="15"/>
  <c r="G12" i="15"/>
  <c r="E38" i="15"/>
  <c r="G38" i="15"/>
  <c r="E46" i="15"/>
  <c r="G46" i="15"/>
  <c r="E44" i="15"/>
  <c r="G44" i="15"/>
  <c r="I44" i="15" s="1"/>
  <c r="E45" i="15"/>
  <c r="G45" i="15"/>
  <c r="E39" i="15"/>
  <c r="G39"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9" i="15"/>
  <c r="G29" i="15"/>
  <c r="I29" i="15" s="1"/>
  <c r="E35" i="15"/>
  <c r="G35" i="15"/>
  <c r="E47" i="15"/>
  <c r="G47" i="15"/>
  <c r="E14" i="15"/>
  <c r="G14" i="15"/>
  <c r="E30" i="15"/>
  <c r="G30" i="15"/>
  <c r="I30" i="15" s="1"/>
  <c r="E36" i="15"/>
  <c r="G36" i="15"/>
  <c r="E42" i="15"/>
  <c r="G42" i="15"/>
  <c r="E43" i="15"/>
  <c r="G43" i="15"/>
  <c r="E41" i="15"/>
  <c r="G41" i="15"/>
  <c r="I31" i="15" l="1"/>
  <c r="I41" i="15"/>
  <c r="I42" i="15"/>
  <c r="I47" i="15"/>
  <c r="I21" i="15"/>
  <c r="I16" i="15"/>
  <c r="I10" i="15"/>
  <c r="I15" i="15"/>
  <c r="I19" i="15"/>
  <c r="I46" i="15"/>
  <c r="I22" i="15"/>
  <c r="I43" i="15"/>
  <c r="I36" i="15"/>
  <c r="I35" i="15"/>
  <c r="I23" i="15"/>
  <c r="I18" i="15"/>
  <c r="I8" i="15"/>
  <c r="I20" i="15"/>
  <c r="I9" i="15"/>
  <c r="I45" i="15"/>
  <c r="I28" i="15"/>
  <c r="I17" i="15"/>
  <c r="I7" i="15"/>
  <c r="I14" i="15"/>
  <c r="I39" i="15"/>
  <c r="I38"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1AA10AB7-6E07-4390-BE93-A195CC09232C}">
      <text>
        <r>
          <rPr>
            <i/>
            <sz val="12"/>
            <color indexed="81"/>
            <rFont val="Times New Roman"/>
            <family val="1"/>
          </rPr>
          <t>aid +1     bless +1
haste +1
inspire courage +2</t>
        </r>
      </text>
    </comment>
    <comment ref="E9" authorId="0" shapeId="0" xr:uid="{D9E6032A-A505-4A39-A752-533817F5C924}">
      <text>
        <r>
          <rPr>
            <sz val="12"/>
            <color indexed="81"/>
            <rFont val="Times New Roman"/>
            <family val="1"/>
          </rPr>
          <t>Next level at 36,000 XPs</t>
        </r>
      </text>
    </comment>
    <comment ref="E10" authorId="0" shapeId="0" xr:uid="{A4B5D5A7-9ECF-4212-8A11-2732C0E2F9AC}">
      <text>
        <r>
          <rPr>
            <sz val="12"/>
            <color indexed="81"/>
            <rFont val="Times New Roman"/>
            <family val="1"/>
          </rPr>
          <t>See PHB 162</t>
        </r>
      </text>
    </comment>
    <comment ref="B11" authorId="0" shapeId="0" xr:uid="{00000000-0006-0000-0000-000004000000}">
      <text>
        <r>
          <rPr>
            <i/>
            <sz val="12"/>
            <color indexed="81"/>
            <rFont val="Times New Roman"/>
            <family val="1"/>
          </rPr>
          <t>cat’s grace +4</t>
        </r>
      </text>
    </comment>
    <comment ref="E12" authorId="0" shapeId="0" xr:uid="{00000000-0006-0000-0000-000005000000}">
      <text>
        <r>
          <rPr>
            <sz val="12"/>
            <color indexed="81"/>
            <rFont val="Times New Roman"/>
            <family val="1"/>
          </rPr>
          <t>[(6 * 8 Bard) * 75%]
+ [(1 * 6 Thaumaturge ) * 75%] 
+ (7 * 1 Con)</t>
        </r>
      </text>
    </comment>
    <comment ref="E13" authorId="0" shapeId="0" xr:uid="{4A909317-B8FA-4A38-8401-C509357BE64C}">
      <text>
        <r>
          <rPr>
            <i/>
            <sz val="12"/>
            <color indexed="81"/>
            <rFont val="Times New Roman"/>
            <family val="1"/>
          </rPr>
          <t>haste +1</t>
        </r>
      </text>
    </comment>
    <comment ref="B15" authorId="0" shapeId="0" xr:uid="{00000000-0006-0000-0000-000007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E15A02CF-A28F-429E-99BF-D8653F1D64A8}">
      <text>
        <r>
          <rPr>
            <sz val="12"/>
            <color indexed="81"/>
            <rFont val="Times New Roman"/>
            <family val="1"/>
          </rPr>
          <t>Iron Will +2</t>
        </r>
      </text>
    </comment>
    <comment ref="F7" authorId="0" shapeId="0" xr:uid="{00000000-0006-0000-0100-000004000000}">
      <text>
        <r>
          <rPr>
            <sz val="12"/>
            <color indexed="81"/>
            <rFont val="Times New Roman"/>
            <family val="1"/>
          </rPr>
          <t>No armor penalties</t>
        </r>
      </text>
    </comment>
    <comment ref="F8" authorId="0" shapeId="0" xr:uid="{011E8A2C-85F4-4FA7-AC48-15DFE85A5202}">
      <text>
        <r>
          <rPr>
            <sz val="12"/>
            <color indexed="81"/>
            <rFont val="Times New Roman"/>
            <family val="1"/>
          </rPr>
          <t>Amulet of Wordtwisting +2</t>
        </r>
      </text>
    </comment>
    <comment ref="F9" authorId="0" shapeId="0" xr:uid="{00000000-0006-0000-0100-000006000000}">
      <text>
        <r>
          <rPr>
            <sz val="12"/>
            <color indexed="81"/>
            <rFont val="Times New Roman"/>
            <family val="1"/>
          </rPr>
          <t>No armor penalties</t>
        </r>
      </text>
    </comment>
    <comment ref="F13" authorId="0" shapeId="0" xr:uid="{48B86FC7-8364-41A5-AA97-AC7CD6AC4E9E}">
      <text>
        <r>
          <rPr>
            <sz val="12"/>
            <color indexed="81"/>
            <rFont val="Times New Roman"/>
            <family val="1"/>
          </rPr>
          <t>Half-elf +2
Amulet of Wordtwisting +2</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18" authorId="0" shapeId="0" xr:uid="{74CF5046-FB95-4278-A4EB-B22A7025D366}">
      <text>
        <r>
          <rPr>
            <sz val="12"/>
            <color indexed="81"/>
            <rFont val="Times New Roman"/>
            <family val="1"/>
          </rPr>
          <t>Half-elf +2</t>
        </r>
      </text>
    </comment>
    <comment ref="F21" authorId="0" shapeId="0" xr:uid="{00000000-0006-0000-0100-00000C000000}">
      <text>
        <r>
          <rPr>
            <sz val="12"/>
            <color indexed="81"/>
            <rFont val="Times New Roman"/>
            <family val="1"/>
          </rPr>
          <t>No armor penalties</t>
        </r>
      </text>
    </comment>
    <comment ref="F22" authorId="0" shapeId="0" xr:uid="{28B6663B-2043-467E-A34E-B9BEE696CA25}">
      <text>
        <r>
          <rPr>
            <sz val="12"/>
            <color indexed="81"/>
            <rFont val="Times New Roman"/>
            <family val="1"/>
          </rPr>
          <t>Bluff synergy +2
Amulet of Wordtwisting +2</t>
        </r>
      </text>
    </comment>
    <comment ref="F23" authorId="0" shapeId="0" xr:uid="{00000000-0006-0000-0100-00000E000000}">
      <text>
        <r>
          <rPr>
            <sz val="12"/>
            <color indexed="81"/>
            <rFont val="Times New Roman"/>
            <family val="1"/>
          </rPr>
          <t>No armor penalties</t>
        </r>
      </text>
    </comment>
    <comment ref="F28" authorId="0" shapeId="0" xr:uid="{8977E83D-EFC4-4168-96E9-6352961B19E7}">
      <text>
        <r>
          <rPr>
            <sz val="12"/>
            <color indexed="81"/>
            <rFont val="Times New Roman"/>
            <family val="1"/>
          </rPr>
          <t>Half-elf +1</t>
        </r>
      </text>
    </comment>
    <comment ref="F29" authorId="0" shapeId="0" xr:uid="{00000000-0006-0000-0100-00000F000000}">
      <text>
        <r>
          <rPr>
            <sz val="12"/>
            <color indexed="81"/>
            <rFont val="Times New Roman"/>
            <family val="1"/>
          </rPr>
          <t>No armor penalties</t>
        </r>
      </text>
    </comment>
    <comment ref="F36" authorId="0" shapeId="0" xr:uid="{41CDA9E1-BE6A-49F0-B9DD-41118EDAA464}">
      <text>
        <r>
          <rPr>
            <sz val="12"/>
            <color indexed="81"/>
            <rFont val="Times New Roman"/>
            <family val="1"/>
          </rPr>
          <t>Half-elf +1</t>
        </r>
      </text>
    </comment>
    <comment ref="F37" authorId="0" shapeId="0" xr:uid="{003F5525-F1EF-4BDD-B8F9-2577D6E56CBA}">
      <text>
        <r>
          <rPr>
            <sz val="12"/>
            <color indexed="81"/>
            <rFont val="Times New Roman"/>
            <family val="1"/>
          </rPr>
          <t>Amulet of Wordtwisting +2</t>
        </r>
      </text>
    </comment>
    <comment ref="F38" authorId="0" shapeId="0" xr:uid="{170F37B3-09ED-4279-83B9-97ACC14BD8F7}">
      <text>
        <r>
          <rPr>
            <sz val="12"/>
            <color indexed="81"/>
            <rFont val="Times New Roman"/>
            <family val="1"/>
          </rPr>
          <t>Bluff synergy +2</t>
        </r>
      </text>
    </comment>
    <comment ref="F41" authorId="0" shapeId="0" xr:uid="{BC3B1C79-A85A-4B37-89F0-2ED10D43CE1F}">
      <text>
        <r>
          <rPr>
            <sz val="12"/>
            <color indexed="81"/>
            <rFont val="Times New Roman"/>
            <family val="1"/>
          </rPr>
          <t>Synergy ~ Know Arcana +2
Magical Aptitude +2</t>
        </r>
      </text>
    </comment>
    <comment ref="F42" authorId="0" shapeId="0" xr:uid="{50835D1A-DF76-42AA-8452-AF11F797307C}">
      <text>
        <r>
          <rPr>
            <sz val="12"/>
            <color indexed="81"/>
            <rFont val="Times New Roman"/>
            <family val="1"/>
          </rPr>
          <t>Half-elf +1</t>
        </r>
      </text>
    </comment>
    <comment ref="F45" authorId="0" shapeId="0" xr:uid="{00000000-0006-0000-0100-000015000000}">
      <text>
        <r>
          <rPr>
            <sz val="12"/>
            <color indexed="81"/>
            <rFont val="Times New Roman"/>
            <family val="1"/>
          </rPr>
          <t>No armor penalties</t>
        </r>
      </text>
    </comment>
    <comment ref="F46" authorId="0" shapeId="0" xr:uid="{E3B14000-9BA8-44A8-8B3E-5AC6B33CCB25}">
      <text>
        <r>
          <rPr>
            <sz val="12"/>
            <color indexed="81"/>
            <rFont val="Times New Roman"/>
            <family val="1"/>
          </rPr>
          <t>Magical Aptitude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BDCF5C67-02BF-478B-94B7-EED28A93E551}">
      <text>
        <r>
          <rPr>
            <sz val="12"/>
            <color indexed="81"/>
            <rFont val="Times New Roman"/>
            <family val="1"/>
          </rPr>
          <t>Copper wire</t>
        </r>
      </text>
    </comment>
    <comment ref="D7" authorId="0" shapeId="0" xr:uid="{00000000-0006-0000-0200-000001000000}">
      <text>
        <r>
          <rPr>
            <sz val="12"/>
            <color indexed="81"/>
            <rFont val="Times New Roman"/>
            <family val="1"/>
          </rPr>
          <t>Prism, lens, or monocle</t>
        </r>
      </text>
    </comment>
    <comment ref="D8" authorId="0" shapeId="0" xr:uid="{00000000-0006-0000-0200-000002000000}">
      <text>
        <r>
          <rPr>
            <sz val="12"/>
            <color indexed="81"/>
            <rFont val="Times New Roman"/>
            <family val="1"/>
          </rPr>
          <t>Caster's musical instrument</t>
        </r>
      </text>
    </comment>
    <comment ref="D10" authorId="0" shapeId="0" xr:uid="{00000000-0006-0000-0200-000004000000}">
      <text>
        <r>
          <rPr>
            <sz val="12"/>
            <color indexed="81"/>
            <rFont val="Times New Roman"/>
            <family val="1"/>
          </rPr>
          <t>Pork rind or butter</t>
        </r>
      </text>
    </comment>
    <comment ref="D12" authorId="0" shapeId="0" xr:uid="{00000000-0006-0000-0200-000005000000}">
      <text>
        <r>
          <rPr>
            <sz val="12"/>
            <color indexed="81"/>
            <rFont val="Times New Roman"/>
            <family val="1"/>
          </rPr>
          <t>Tiny tart and feather</t>
        </r>
      </text>
    </comment>
    <comment ref="D14" authorId="0" shapeId="0" xr:uid="{55F7F033-52B2-4B98-A861-EE28D581C59D}">
      <text>
        <r>
          <rPr>
            <sz val="12"/>
            <color indexed="81"/>
            <rFont val="Times New Roman"/>
            <family val="1"/>
          </rPr>
          <t>Salt</t>
        </r>
      </text>
    </comment>
    <comment ref="D15" authorId="0" shapeId="0" xr:uid="{FA1BC62C-9EC9-4090-94AA-C8C46BAB3CD4}">
      <text>
        <r>
          <rPr>
            <sz val="12"/>
            <color indexed="81"/>
            <rFont val="Times New Roman"/>
            <family val="1"/>
          </rPr>
          <t>Pendulum</t>
        </r>
      </text>
    </comment>
    <comment ref="D16" authorId="0" shapeId="0" xr:uid="{00000000-0006-0000-0000-000075000000}">
      <text>
        <r>
          <rPr>
            <sz val="12"/>
            <color indexed="81"/>
            <rFont val="Times New Roman"/>
            <family val="1"/>
          </rPr>
          <t>Fire source</t>
        </r>
      </text>
    </comment>
    <comment ref="D17" authorId="0" shapeId="0" xr:uid="{CED62351-E141-4C93-91DB-E47E7A638A20}">
      <text>
        <r>
          <rPr>
            <sz val="12"/>
            <color indexed="81"/>
            <rFont val="Times New Roman"/>
            <family val="1"/>
          </rPr>
          <t>Vial of tears</t>
        </r>
      </text>
    </comment>
    <comment ref="D18" authorId="0" shapeId="0" xr:uid="{B416B9E1-0C87-430A-94B5-506AE157317F}">
      <text>
        <r>
          <rPr>
            <sz val="12"/>
            <color indexed="81"/>
            <rFont val="Times New Roman"/>
            <family val="1"/>
          </rPr>
          <t>Roots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FDFDDE4-E4CC-4B3F-894F-46406EBDA676}">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A3" authorId="0" shapeId="0" xr:uid="{B79BCA3C-16E5-43A3-886B-6F387F0BD2EC}">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 ref="A4" authorId="0" shapeId="0" xr:uid="{C924F023-A395-46E6-A7DF-B52E5BF225F8}">
      <text>
        <r>
          <rPr>
            <sz val="12"/>
            <color indexed="81"/>
            <rFont val="Times New Roman"/>
            <family val="1"/>
          </rPr>
          <t xml:space="preserve">You have a knack for magical endeavors.
</t>
        </r>
        <r>
          <rPr>
            <b/>
            <sz val="12"/>
            <color indexed="81"/>
            <rFont val="Times New Roman"/>
            <family val="1"/>
          </rPr>
          <t xml:space="preserve">Benefit:  </t>
        </r>
        <r>
          <rPr>
            <sz val="12"/>
            <color indexed="81"/>
            <rFont val="Times New Roman"/>
            <family val="1"/>
          </rPr>
          <t>You get a +2 bonus on all Spellcraft checks and Use Magic Device checks.
PHB 97</t>
        </r>
      </text>
    </comment>
    <comment ref="I5" authorId="0" shapeId="0" xr:uid="{3CA8040D-9B31-4803-8617-FA73AC8C81A8}">
      <text>
        <r>
          <rPr>
            <sz val="12"/>
            <color indexed="81"/>
            <rFont val="Times New Roman"/>
            <family val="1"/>
          </rPr>
          <t>From item-dependent Charisma bonus.</t>
        </r>
      </text>
    </comment>
    <comment ref="A7"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8"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9"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0"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1"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2"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3" authorId="0" shapeId="0" xr:uid="{898A62F2-AE19-478B-9E76-A693F1002B8A}">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6252548B-DC21-4D6A-9806-58DDC53DE77C}">
      <text>
        <r>
          <rPr>
            <sz val="12"/>
            <color indexed="81"/>
            <rFont val="Times New Roman"/>
            <family val="1"/>
          </rPr>
          <t>Inspire Courage +2</t>
        </r>
      </text>
    </comment>
    <comment ref="D4" authorId="0" shapeId="0" xr:uid="{7C26AA54-C59B-4D7A-918A-EDC3A45A161F}">
      <text>
        <r>
          <rPr>
            <sz val="12"/>
            <color indexed="81"/>
            <rFont val="Times New Roman"/>
            <family val="1"/>
          </rPr>
          <t>Inspire Courage +2</t>
        </r>
      </text>
    </comment>
    <comment ref="D5" authorId="0" shapeId="0" xr:uid="{59A67DB1-444B-4BDE-9EFF-F86619F6AE79}">
      <text>
        <r>
          <rPr>
            <sz val="12"/>
            <color indexed="81"/>
            <rFont val="Times New Roman"/>
            <family val="1"/>
          </rPr>
          <t>Inspire Courage +2</t>
        </r>
      </text>
    </comment>
    <comment ref="D12" authorId="0" shapeId="0" xr:uid="{00000000-0006-0000-0400-000002000000}">
      <text>
        <r>
          <rPr>
            <sz val="12"/>
            <color indexed="81"/>
            <rFont val="Times New Roman"/>
            <family val="1"/>
          </rPr>
          <t>Balance, Climb, Escape Artist, Hide, Jump, Move Silently, Sleight of Hand, Tumble.</t>
        </r>
      </text>
    </comment>
    <comment ref="K13" authorId="0" shapeId="0" xr:uid="{00000000-0006-0000-04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B3BF3035-CA7E-4C2F-A4A9-0482448452A9}">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Strips of torn and knotted scrolls seem to make up this amulet.  You can discern a few letters in red ink on the tightly rolled parchment, but these symbols are warped and meaningless. 
An amulet of wordtwisting grants you a +2 insight bonus on Bluff, Diplomacy, Intimidate, and Sense Motive checks.
This is a continuous effect and requires no activation.
If you are an orc wearing an amulet of wordtwisting, you instead gain a +4 insight bonus on the indicated skill checks.  In addition, once per day, you can activate a tongues effect on yourself (as the spell).
MIC 71</t>
        </r>
      </text>
    </comment>
    <comment ref="A15"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<sst xmlns="http://schemas.openxmlformats.org/spreadsheetml/2006/main" count="518" uniqueCount="306">
  <si>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</si>
  <si>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</si>
  <si>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</si>
  <si>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</si>
  <si>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</si>
  <si>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</si>
  <si>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</si>
  <si>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</si>
  <si>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</si>
  <si>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</si>
  <si>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</si>
  <si>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</si>
  <si>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</si>
  <si>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</si>
  <si>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</si>
  <si>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</si>
  <si>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</si>
  <si>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</si>
  <si>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</si>
  <si>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</si>
  <si>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</si>
  <si>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</si>
  <si>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</si>
  <si>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</si>
  <si>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</si>
  <si>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</si>
  <si>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</si>
  <si>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</si>
  <si>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</si>
  <si>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</si>
  <si>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</si>
  <si>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</si>
  <si>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</si>
  <si>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</si>
  <si>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</si>
  <si>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</si>
  <si>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</si>
  <si>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</si>
  <si>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</si>
  <si>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</si>
  <si>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</si>
  <si>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</si>
  <si>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</si>
  <si>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</si>
  <si>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</si>
  <si>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</si>
  <si>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</si>
  <si>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</si>
  <si>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</si>
  <si>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</si>
  <si>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</si>
  <si>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</si>
  <si>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</si>
  <si>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</si>
  <si>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</si>
  <si>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</si>
  <si>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</si>
  <si>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</si>
  <si>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</si>
  <si>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</si>
  <si>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</si>
  <si>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</si>
  <si>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</si>
  <si>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</si>
  <si>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</si>
  <si>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Universal</t>
  </si>
  <si>
    <t>1 min/lvl</t>
  </si>
  <si>
    <t>Instant</t>
  </si>
  <si>
    <t>Personal</t>
  </si>
  <si>
    <t>10 min/lvl</t>
  </si>
  <si>
    <t>1 rnd/lvl</t>
  </si>
  <si>
    <t>Spell</t>
  </si>
  <si>
    <t>Cast?</t>
  </si>
  <si>
    <t>Languages</t>
  </si>
  <si>
    <t>School</t>
  </si>
  <si>
    <t>10’</t>
  </si>
  <si>
    <t>Equipment Worn</t>
  </si>
  <si>
    <t>Item</t>
  </si>
  <si>
    <t>Effects/</t>
  </si>
  <si>
    <t>Notes</t>
  </si>
  <si>
    <t>Equipment Carried</t>
  </si>
  <si>
    <t>Check</t>
  </si>
  <si>
    <t>Arcane</t>
  </si>
  <si>
    <t>Speed</t>
  </si>
  <si>
    <t>25’ + 2½’/lvl</t>
  </si>
  <si>
    <t>400’ + 40’/lvl</t>
  </si>
  <si>
    <t>Sleight of Hand</t>
  </si>
  <si>
    <t>Survival</t>
  </si>
  <si>
    <t>Craft:  (type)</t>
  </si>
  <si>
    <t>Class Features</t>
  </si>
  <si>
    <t>DC</t>
  </si>
  <si>
    <t>Weapon Proficiencies</t>
  </si>
  <si>
    <t>Shields (not tower)</t>
  </si>
  <si>
    <t>Atk</t>
  </si>
  <si>
    <t>Flint &amp; Steel</t>
  </si>
  <si>
    <t>Waterskin</t>
  </si>
  <si>
    <t>Components</t>
  </si>
  <si>
    <t>Casting</t>
  </si>
  <si>
    <t>V S</t>
  </si>
  <si>
    <t>1 SA</t>
  </si>
  <si>
    <t>100’ + 10’/lvl</t>
  </si>
  <si>
    <t>V S F</t>
  </si>
  <si>
    <t>1 hour</t>
  </si>
  <si>
    <t>Read Magic</t>
  </si>
  <si>
    <t>1</t>
  </si>
  <si>
    <t>Spells per Day</t>
  </si>
  <si>
    <t>Spell Level</t>
  </si>
  <si>
    <t>Total Divine</t>
  </si>
  <si>
    <t>Feats</t>
  </si>
  <si>
    <t>19-20, x2</t>
  </si>
  <si>
    <t>Prcg/Slsh</t>
  </si>
  <si>
    <t>-</t>
  </si>
  <si>
    <t>Bedroll</t>
  </si>
  <si>
    <t>Component Pouch</t>
  </si>
  <si>
    <t>Roll</t>
  </si>
  <si>
    <t>Skill/Save</t>
  </si>
  <si>
    <t>five</t>
  </si>
  <si>
    <t>30’</t>
  </si>
  <si>
    <t>Light &amp; Medium Armor</t>
  </si>
  <si>
    <t>Traveler’s Outfit</t>
  </si>
  <si>
    <t>Value</t>
  </si>
  <si>
    <t>Scrolls and Potions</t>
  </si>
  <si>
    <t>CLev</t>
  </si>
  <si>
    <t>Ranged Touch Attack</t>
  </si>
  <si>
    <t>Bard</t>
  </si>
  <si>
    <t>Bard 1</t>
  </si>
  <si>
    <t>Bard 2</t>
  </si>
  <si>
    <t>Bard 3</t>
  </si>
  <si>
    <t>Bard 4</t>
  </si>
  <si>
    <t>Belt Pouch</t>
  </si>
  <si>
    <t>Ink &amp; Pen</t>
  </si>
  <si>
    <t>Charisma Bonus</t>
  </si>
  <si>
    <t>Parchment</t>
  </si>
  <si>
    <t>1d8</t>
  </si>
  <si>
    <t>Countersong</t>
  </si>
  <si>
    <t>Fascinate</t>
  </si>
  <si>
    <t>Inspire Competence</t>
  </si>
  <si>
    <t>Prestidigitation</t>
  </si>
  <si>
    <t>PHB</t>
  </si>
  <si>
    <t>Reference</t>
  </si>
  <si>
    <t>Page</t>
  </si>
  <si>
    <t>Enchantment</t>
  </si>
  <si>
    <t>Song &amp; Silence</t>
  </si>
  <si>
    <t>Transmutation</t>
  </si>
  <si>
    <t>Illusion</t>
  </si>
  <si>
    <t>Bard Spells</t>
  </si>
  <si>
    <t>1d4</t>
  </si>
  <si>
    <t>Mage Hand</t>
  </si>
  <si>
    <t>Grease</t>
  </si>
  <si>
    <t>Conjuration</t>
  </si>
  <si>
    <t>V S M</t>
  </si>
  <si>
    <t>Total Equity:</t>
  </si>
  <si>
    <t>Bard 5</t>
  </si>
  <si>
    <t>Bard 6</t>
  </si>
  <si>
    <t>19-20/x2</t>
  </si>
  <si>
    <t>Slashing</t>
  </si>
  <si>
    <t>1d6</t>
  </si>
  <si>
    <t>Treated as light armor</t>
  </si>
  <si>
    <t>Spells Known</t>
  </si>
  <si>
    <t>ü</t>
  </si>
  <si>
    <r>
      <t xml:space="preserve">Potion of </t>
    </r>
    <r>
      <rPr>
        <i/>
        <sz val="12"/>
        <rFont val="Times New Roman"/>
        <family val="1"/>
      </rPr>
      <t>Cure Light Wounds</t>
    </r>
  </si>
  <si>
    <r>
      <t xml:space="preserve">Scroll of </t>
    </r>
    <r>
      <rPr>
        <i/>
        <sz val="12"/>
        <rFont val="Times New Roman"/>
        <family val="1"/>
      </rPr>
      <t>Cure Moderate Wounds</t>
    </r>
  </si>
  <si>
    <t>Touch</t>
  </si>
  <si>
    <t>Exact Location</t>
  </si>
  <si>
    <t>Race</t>
  </si>
  <si>
    <t>Class</t>
  </si>
  <si>
    <t>Sex</t>
  </si>
  <si>
    <t>Age</t>
  </si>
  <si>
    <t>Alignment</t>
  </si>
  <si>
    <t>Strength</t>
  </si>
  <si>
    <t>Dexterity</t>
  </si>
  <si>
    <t>Constitution</t>
  </si>
  <si>
    <t>Intelligence</t>
  </si>
  <si>
    <t>Wisdom</t>
  </si>
  <si>
    <t>Charisma</t>
  </si>
  <si>
    <t>AC</t>
  </si>
  <si>
    <t>special</t>
  </si>
  <si>
    <t>Deity</t>
  </si>
  <si>
    <t>Region</t>
  </si>
  <si>
    <t>Height</t>
  </si>
  <si>
    <t>Weight</t>
  </si>
  <si>
    <t>Initiative</t>
  </si>
  <si>
    <t>Attack Bonus</t>
  </si>
  <si>
    <t>Lb. Capacity</t>
  </si>
  <si>
    <t>Lb. Carried</t>
  </si>
  <si>
    <t>Hit Points</t>
  </si>
  <si>
    <t>Touch AC</t>
  </si>
  <si>
    <t>FF AC</t>
  </si>
  <si>
    <t>Luran</t>
  </si>
  <si>
    <t>Male</t>
  </si>
  <si>
    <t>Ebonchord</t>
  </si>
  <si>
    <t>Played by Carl Peckham</t>
  </si>
  <si>
    <t>5’ 10”</t>
  </si>
  <si>
    <t>170 lbs.</t>
  </si>
  <si>
    <t>Neutral Good</t>
  </si>
  <si>
    <t>Half-Elf (Moon)</t>
  </si>
  <si>
    <t>Tethyr</t>
  </si>
  <si>
    <t>Knowledge:  Arcana</t>
  </si>
  <si>
    <t>Celestial, Draconic</t>
  </si>
  <si>
    <t>Common, Elven, Sylvan,</t>
  </si>
  <si>
    <t>1st:  Iron Will</t>
  </si>
  <si>
    <t>3rd:  Melodic Casting</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</si>
  <si>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</si>
  <si>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Tyr</t>
  </si>
  <si>
    <t>Perform:  Vocal</t>
  </si>
  <si>
    <t>Profession:  Astrologer</t>
  </si>
  <si>
    <t>Detect Magic</t>
  </si>
  <si>
    <t>Message</t>
  </si>
  <si>
    <t>Cure Light Wounds</t>
  </si>
  <si>
    <t>Inspirational Boost</t>
  </si>
  <si>
    <t>Sleep</t>
  </si>
  <si>
    <t>Alter Self</t>
  </si>
  <si>
    <t>60’</t>
  </si>
  <si>
    <t>Swift</t>
  </si>
  <si>
    <t>Complete Adventurer</t>
  </si>
  <si>
    <t>Summon Instrument</t>
  </si>
  <si>
    <t>Conc + 1 rnd/lvl</t>
  </si>
  <si>
    <t>Inspire Courage +1</t>
  </si>
  <si>
    <t>Pyrotechnics</t>
  </si>
  <si>
    <t>1d4+1 rounds</t>
  </si>
  <si>
    <t>Perform:  Strings</t>
  </si>
  <si>
    <t>Perform:  Percussion</t>
  </si>
  <si>
    <t>Character:</t>
  </si>
  <si>
    <t>%</t>
  </si>
  <si>
    <t>Thoroughness and clarity</t>
  </si>
  <si>
    <t>Level-appropriate use of skills, feats, limitations, and other features</t>
  </si>
  <si>
    <t>Excellent</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</si>
  <si>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</si>
  <si>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</si>
  <si>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</si>
  <si>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</si>
  <si>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</si>
  <si>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</si>
  <si>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</si>
  <si>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</si>
  <si>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XP</t>
  </si>
  <si>
    <t>Longsword</t>
  </si>
  <si>
    <t>2</t>
  </si>
  <si>
    <t>Mithral Chain Shirt</t>
  </si>
  <si>
    <t>Stash:  ?</t>
  </si>
  <si>
    <t>% Full:</t>
  </si>
  <si>
    <t>Heward’s Handy Haversack</t>
  </si>
  <si>
    <r>
      <t xml:space="preserve">Wand of </t>
    </r>
    <r>
      <rPr>
        <i/>
        <sz val="12"/>
        <rFont val="Times New Roman"/>
        <family val="1"/>
      </rPr>
      <t>Cure Light Wounds</t>
    </r>
  </si>
  <si>
    <t>MW Yarting</t>
  </si>
  <si>
    <t>Uncle’s heirloom</t>
  </si>
  <si>
    <t>Bell</t>
  </si>
  <si>
    <t>Chalk</t>
  </si>
  <si>
    <t>Small Steel Mirror</t>
  </si>
  <si>
    <t>Bullseye Lantern</t>
  </si>
  <si>
    <t>Silk Rope</t>
  </si>
  <si>
    <t>100’</t>
  </si>
  <si>
    <t>Tent</t>
  </si>
  <si>
    <t>Shovel</t>
  </si>
  <si>
    <t>Hammer</t>
  </si>
  <si>
    <t>Crowbar</t>
  </si>
  <si>
    <t>Signal Whistle</t>
  </si>
  <si>
    <t>Scroll Case</t>
  </si>
  <si>
    <t>one</t>
  </si>
  <si>
    <t>Candle</t>
  </si>
  <si>
    <t>Sealing Wax</t>
  </si>
  <si>
    <t>Signet Ring</t>
  </si>
  <si>
    <t>Attention to spelling &amp; punctuation; consistent use of past tense, third person</t>
  </si>
  <si>
    <t>Cloak of Charisma +2</t>
  </si>
  <si>
    <t>Torch</t>
  </si>
  <si>
    <t>1d6 fire</t>
  </si>
  <si>
    <t>Fire</t>
  </si>
  <si>
    <t xml:space="preserve">Speak Language:  </t>
  </si>
  <si>
    <t>Good</t>
  </si>
  <si>
    <t>Knowledge:  History</t>
  </si>
  <si>
    <t>6th:  Magical Aptitude</t>
  </si>
  <si>
    <t>6th:  Suggestion</t>
  </si>
  <si>
    <t>Knowledge:  Bardic</t>
  </si>
  <si>
    <t>Flask of Acid</t>
  </si>
  <si>
    <t>Arrows, Silver</t>
  </si>
  <si>
    <t>Gold Coins</t>
  </si>
  <si>
    <t>Torches</t>
  </si>
  <si>
    <t xml:space="preserve">Simple Weapons, Longsword, </t>
  </si>
  <si>
    <t>Rapier, Sap, Short Sword,</t>
  </si>
  <si>
    <t>Shortbow, Whip</t>
  </si>
  <si>
    <t>Light Crossbow</t>
  </si>
  <si>
    <t>80’</t>
  </si>
  <si>
    <t>Bolts</t>
  </si>
  <si>
    <t>Bolts, Cold Iron</t>
  </si>
  <si>
    <r>
      <t xml:space="preserve">Scroll of </t>
    </r>
    <r>
      <rPr>
        <i/>
        <sz val="12"/>
        <rFont val="Times New Roman"/>
        <family val="1"/>
      </rPr>
      <t>Control Darkness &amp; Shadow</t>
    </r>
  </si>
  <si>
    <r>
      <t xml:space="preserve">Scroll of </t>
    </r>
    <r>
      <rPr>
        <i/>
        <sz val="12"/>
        <rFont val="Times New Roman"/>
        <family val="1"/>
      </rPr>
      <t>Keen Edge</t>
    </r>
  </si>
  <si>
    <r>
      <t xml:space="preserve">Ring of </t>
    </r>
    <r>
      <rPr>
        <i/>
        <sz val="12"/>
        <rFont val="Times New Roman"/>
        <family val="1"/>
      </rPr>
      <t>Undetectable Alignment</t>
    </r>
  </si>
  <si>
    <t>four</t>
  </si>
  <si>
    <t>In Haversack</t>
  </si>
  <si>
    <t>MW Dagger</t>
  </si>
  <si>
    <t>Bolts, Silver</t>
  </si>
  <si>
    <t>Lyric Thaumaturge</t>
  </si>
  <si>
    <t>Knowledge:  Religion</t>
  </si>
  <si>
    <t>Lyric Thaumaturge 1</t>
  </si>
  <si>
    <t>Invisibility</t>
  </si>
  <si>
    <t>V S F/DF</t>
  </si>
  <si>
    <t>Glitterdust</t>
  </si>
  <si>
    <t>Haste</t>
  </si>
  <si>
    <t>Crushing Despair</t>
  </si>
  <si>
    <t>Amulet of Wordtwisting</t>
  </si>
  <si>
    <t>Caster Level:</t>
  </si>
  <si>
    <t>Thaumaturge Spell</t>
  </si>
  <si>
    <t>Lyric T Bonus</t>
  </si>
  <si>
    <t>Soft Equity Ceiling:</t>
  </si>
  <si>
    <t>Contract to kill the members of the Fist of Light</t>
  </si>
  <si>
    <r>
      <t xml:space="preserve">+1 </t>
    </r>
    <r>
      <rPr>
        <i/>
        <sz val="13"/>
        <rFont val="Times New Roman"/>
        <family val="1"/>
      </rPr>
      <t>haste</t>
    </r>
  </si>
  <si>
    <t>47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</si>
</sst>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8"/>
      <color rgb="FFFF00FF"/>
      <name val="Times New Roman"/>
      <family val="1"/>
    </font>
    <font>
      <sz val="12"/>
      <name val="Wingdings"/>
      <charset val="2"/>
    </font>
    <font>
      <i/>
      <sz val="12"/>
      <name val="Times New Roman"/>
      <family val="1"/>
    </font>
    <font>
      <i/>
      <sz val="18"/>
      <color rgb="FF9966FF"/>
      <name val="Times New Roman"/>
      <family val="1"/>
    </font>
    <font>
      <i/>
      <sz val="17"/>
      <name val="Times New Roman"/>
      <family val="1"/>
    </font>
    <font>
      <b/>
      <sz val="12"/>
      <color rgb="FFFF0000"/>
      <name val="Times New Roman"/>
      <family val="1"/>
    </font>
    <font>
      <sz val="13"/>
      <color theme="0" tint="-0.499984740745262"/>
      <name val="Times New Roman"/>
      <family val="1"/>
    </font>
    <font>
      <b/>
      <sz val="12"/>
      <color rgb="FF00B050"/>
      <name val="Times New Roman"/>
      <family val="1"/>
    </font>
    <font>
      <i/>
      <sz val="13"/>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
      <patternFill patternType="solid">
        <fgColor rgb="FFCC99FF"/>
        <bgColor indexed="55"/>
      </patternFill>
    </fill>
    <fill>
      <patternFill patternType="solid">
        <fgColor rgb="FFFFFF00"/>
        <bgColor indexed="64"/>
      </patternFill>
    </fill>
  </fills>
  <borders count="12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double">
        <color indexed="64"/>
      </right>
      <top/>
      <bottom/>
      <diagonal/>
    </border>
    <border>
      <left style="thin">
        <color indexed="64"/>
      </left>
      <right style="double">
        <color indexed="64"/>
      </right>
      <top style="medium">
        <color indexed="64"/>
      </top>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9" fontId="2" fillId="0" borderId="0" applyFont="0" applyFill="0" applyBorder="0" applyAlignment="0" applyProtection="0"/>
    <xf numFmtId="0" fontId="2" fillId="0" borderId="0"/>
    <xf numFmtId="0" fontId="37" fillId="0" borderId="0"/>
    <xf numFmtId="0" fontId="2" fillId="0" borderId="0"/>
    <xf numFmtId="0" fontId="1" fillId="0" borderId="0"/>
    <xf numFmtId="0" fontId="2" fillId="0" borderId="0"/>
  </cellStyleXfs>
  <cellXfs count="539">
    <xf numFmtId="0" fontId="0" fillId="0" borderId="0" xfId="0"/>
    <xf numFmtId="0" fontId="7" fillId="0" borderId="29" xfId="0" applyNumberFormat="1" applyFont="1" applyFill="1" applyBorder="1" applyAlignment="1">
      <alignment horizontal="center" vertical="center" wrapText="1"/>
    </xf>
    <xf numFmtId="9" fontId="7" fillId="0" borderId="28" xfId="2" applyFont="1" applyFill="1" applyBorder="1" applyAlignment="1">
      <alignment horizontal="center" vertical="center" shrinkToFit="1"/>
    </xf>
    <xf numFmtId="0" fontId="2" fillId="0" borderId="74" xfId="0" applyFont="1" applyFill="1" applyBorder="1" applyAlignment="1">
      <alignment horizontal="center" vertical="center"/>
    </xf>
    <xf numFmtId="164" fontId="2" fillId="0" borderId="74" xfId="0" applyNumberFormat="1" applyFont="1" applyFill="1" applyBorder="1" applyAlignment="1">
      <alignment horizontal="center"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39" xfId="0" applyNumberFormat="1" applyFont="1" applyFill="1" applyBorder="1" applyAlignment="1">
      <alignment horizontal="center" vertical="center" wrapText="1"/>
    </xf>
    <xf numFmtId="0" fontId="46" fillId="13" borderId="38" xfId="0" applyNumberFormat="1" applyFont="1" applyFill="1" applyBorder="1" applyAlignment="1">
      <alignment horizontal="center" vertical="center" wrapText="1"/>
    </xf>
    <xf numFmtId="0" fontId="12" fillId="3" borderId="39" xfId="0" applyNumberFormat="1" applyFont="1" applyFill="1" applyBorder="1" applyAlignment="1">
      <alignment horizontal="center" vertical="center"/>
    </xf>
    <xf numFmtId="0" fontId="12" fillId="3" borderId="68" xfId="0" applyFont="1" applyFill="1" applyBorder="1" applyAlignment="1">
      <alignment horizontal="center" vertical="center"/>
    </xf>
    <xf numFmtId="0" fontId="4" fillId="0" borderId="0" xfId="0" applyFont="1" applyBorder="1" applyAlignment="1">
      <alignmen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35" fillId="2" borderId="66"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91" xfId="0" applyFont="1" applyFill="1" applyBorder="1" applyAlignment="1">
      <alignment horizontal="right" vertical="center"/>
    </xf>
    <xf numFmtId="49" fontId="7" fillId="0" borderId="78"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5"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42" fillId="13"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45"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44"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6" fillId="0" borderId="48" xfId="0" applyFont="1" applyFill="1" applyBorder="1" applyAlignment="1">
      <alignment horizontal="center" vertical="center" wrapText="1"/>
    </xf>
    <xf numFmtId="1" fontId="7" fillId="0" borderId="48" xfId="0" applyNumberFormat="1" applyFont="1" applyFill="1" applyBorder="1" applyAlignment="1">
      <alignment horizontal="center" vertical="center" wrapText="1"/>
    </xf>
    <xf numFmtId="0" fontId="42" fillId="13"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7" borderId="27"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NumberFormat="1" applyFont="1" applyFill="1" applyBorder="1" applyAlignment="1">
      <alignment horizontal="center" vertical="center"/>
    </xf>
    <xf numFmtId="0" fontId="11" fillId="5" borderId="1" xfId="0" applyFont="1" applyFill="1" applyBorder="1" applyAlignment="1">
      <alignment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3" fillId="0" borderId="8" xfId="0" applyFont="1" applyFill="1" applyBorder="1" applyAlignment="1">
      <alignment vertical="center"/>
    </xf>
    <xf numFmtId="49" fontId="24" fillId="0" borderId="47" xfId="0" applyNumberFormat="1" applyFont="1" applyFill="1" applyBorder="1" applyAlignment="1">
      <alignment horizontal="center" vertical="center"/>
    </xf>
    <xf numFmtId="0" fontId="24" fillId="0" borderId="49" xfId="0" applyNumberFormat="1" applyFont="1" applyFill="1" applyBorder="1" applyAlignment="1">
      <alignment horizontal="center" vertical="center"/>
    </xf>
    <xf numFmtId="0" fontId="13" fillId="0" borderId="49"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0" fontId="42" fillId="13" borderId="47"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9" fontId="7" fillId="0" borderId="27" xfId="2"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0" fontId="7" fillId="11" borderId="27" xfId="0" applyFont="1" applyFill="1" applyBorder="1" applyAlignment="1">
      <alignment horizontal="center" vertical="center" wrapText="1"/>
    </xf>
    <xf numFmtId="0" fontId="7" fillId="11" borderId="48" xfId="0" applyFont="1" applyFill="1" applyBorder="1" applyAlignment="1">
      <alignment horizontal="center" vertical="center" wrapText="1"/>
    </xf>
    <xf numFmtId="9" fontId="7" fillId="11" borderId="48" xfId="3" applyFont="1" applyFill="1" applyBorder="1" applyAlignment="1">
      <alignment horizontal="center" vertical="center" shrinkToFit="1"/>
    </xf>
    <xf numFmtId="9" fontId="7" fillId="11" borderId="14" xfId="3" applyFont="1" applyFill="1" applyBorder="1" applyAlignment="1">
      <alignment horizontal="center" vertical="center" shrinkToFit="1"/>
    </xf>
    <xf numFmtId="0" fontId="7" fillId="11" borderId="14" xfId="3" applyNumberFormat="1" applyFont="1" applyFill="1" applyBorder="1" applyAlignment="1">
      <alignment horizontal="center" vertical="center" shrinkToFit="1"/>
    </xf>
    <xf numFmtId="0" fontId="2" fillId="0" borderId="0" xfId="0" applyFont="1" applyBorder="1" applyAlignment="1">
      <alignment vertical="center"/>
    </xf>
    <xf numFmtId="0" fontId="7" fillId="0" borderId="0" xfId="0" applyFont="1" applyBorder="1" applyAlignment="1">
      <alignment vertical="center" wrapText="1"/>
    </xf>
    <xf numFmtId="0" fontId="2" fillId="0" borderId="0" xfId="0" applyFont="1" applyBorder="1" applyAlignment="1">
      <alignment vertical="center" wrapText="1"/>
    </xf>
    <xf numFmtId="0" fontId="16" fillId="0" borderId="0" xfId="0" applyFont="1" applyBorder="1" applyAlignment="1">
      <alignment horizontal="centerContinuous" vertical="center" wrapText="1"/>
    </xf>
    <xf numFmtId="0" fontId="38" fillId="0" borderId="0" xfId="0" applyFont="1" applyBorder="1" applyAlignment="1">
      <alignment horizontal="centerContinuous"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right"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61" xfId="0" applyFont="1" applyFill="1" applyBorder="1" applyAlignment="1">
      <alignment horizontal="center" vertical="center" wrapText="1"/>
    </xf>
    <xf numFmtId="0" fontId="4" fillId="0" borderId="37" xfId="0" applyFont="1" applyBorder="1" applyAlignment="1">
      <alignment horizontal="right" vertical="center" wrapText="1"/>
    </xf>
    <xf numFmtId="0" fontId="2" fillId="0" borderId="58" xfId="0" applyFont="1" applyBorder="1" applyAlignment="1">
      <alignment horizontal="center" vertical="center" wrapText="1"/>
    </xf>
    <xf numFmtId="0" fontId="2" fillId="0" borderId="42" xfId="0" applyFont="1" applyBorder="1" applyAlignment="1">
      <alignment horizontal="center" vertical="center" wrapText="1"/>
    </xf>
    <xf numFmtId="0" fontId="2" fillId="10" borderId="42"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4" fillId="0" borderId="50" xfId="0" applyFont="1" applyBorder="1" applyAlignment="1">
      <alignment horizontal="right" vertical="center" wrapText="1"/>
    </xf>
    <xf numFmtId="0" fontId="6" fillId="0" borderId="0" xfId="0" applyFont="1" applyBorder="1" applyAlignment="1">
      <alignment horizontal="right" vertical="center" wrapText="1"/>
    </xf>
    <xf numFmtId="0" fontId="7" fillId="0" borderId="0" xfId="0" applyFont="1" applyBorder="1" applyAlignment="1">
      <alignment horizontal="left" vertical="center" wrapText="1"/>
    </xf>
    <xf numFmtId="0" fontId="17" fillId="0" borderId="37" xfId="0"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56" xfId="0"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47"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21" fillId="12" borderId="33"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1" xfId="0" applyFont="1" applyFill="1" applyBorder="1" applyAlignment="1">
      <alignment horizontal="centerContinuous" vertical="center"/>
    </xf>
    <xf numFmtId="0" fontId="21" fillId="12" borderId="72" xfId="0" applyFont="1" applyFill="1" applyBorder="1" applyAlignment="1">
      <alignment horizontal="centerContinuous" vertical="center"/>
    </xf>
    <xf numFmtId="0" fontId="21" fillId="12" borderId="51" xfId="0" applyFont="1" applyFill="1" applyBorder="1" applyAlignment="1">
      <alignment horizontal="centerContinuous" vertical="center"/>
    </xf>
    <xf numFmtId="0" fontId="2" fillId="0" borderId="74" xfId="0" quotePrefix="1" applyFont="1" applyFill="1" applyBorder="1" applyAlignment="1">
      <alignment horizontal="center" vertical="center"/>
    </xf>
    <xf numFmtId="9" fontId="2" fillId="0" borderId="74" xfId="0" applyNumberFormat="1" applyFont="1" applyFill="1" applyBorder="1" applyAlignment="1">
      <alignment horizontal="center" vertical="center"/>
    </xf>
    <xf numFmtId="164" fontId="2" fillId="0" borderId="75" xfId="0" applyNumberFormat="1" applyFont="1" applyFill="1" applyBorder="1" applyAlignment="1">
      <alignment horizontal="centerContinuous" vertical="center"/>
    </xf>
    <xf numFmtId="164" fontId="2" fillId="0" borderId="76" xfId="0" applyNumberFormat="1" applyFont="1" applyFill="1" applyBorder="1" applyAlignment="1">
      <alignment horizontal="centerContinuous" vertical="center"/>
    </xf>
    <xf numFmtId="0" fontId="5" fillId="0" borderId="77" xfId="0" quotePrefix="1" applyFont="1" applyFill="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87" xfId="0" applyFont="1" applyFill="1" applyBorder="1" applyAlignment="1">
      <alignment horizontal="centerContinuous" vertical="center"/>
    </xf>
    <xf numFmtId="0" fontId="5" fillId="0" borderId="88" xfId="0" applyFont="1" applyFill="1" applyBorder="1" applyAlignment="1">
      <alignment horizontal="centerContinuous" vertical="center"/>
    </xf>
    <xf numFmtId="0" fontId="5" fillId="0" borderId="75" xfId="0" applyFont="1" applyFill="1" applyBorder="1" applyAlignment="1">
      <alignment horizontal="centerContinuous" vertical="center"/>
    </xf>
    <xf numFmtId="49" fontId="2" fillId="0" borderId="75" xfId="0" applyNumberFormat="1" applyFont="1" applyFill="1" applyBorder="1" applyAlignment="1">
      <alignment horizontal="center" vertical="center"/>
    </xf>
    <xf numFmtId="49" fontId="2" fillId="0" borderId="75" xfId="0" applyNumberFormat="1" applyFont="1" applyFill="1" applyBorder="1" applyAlignment="1">
      <alignment horizontal="centerContinuous" vertical="center"/>
    </xf>
    <xf numFmtId="49" fontId="2" fillId="0" borderId="76"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5" fillId="0" borderId="90" xfId="0" applyFont="1" applyFill="1" applyBorder="1" applyAlignment="1">
      <alignment horizontal="centerContinuous" vertical="center"/>
    </xf>
    <xf numFmtId="0" fontId="5" fillId="0" borderId="81" xfId="0" applyFont="1" applyFill="1" applyBorder="1" applyAlignment="1">
      <alignment horizontal="centerContinuous" vertical="center"/>
    </xf>
    <xf numFmtId="164" fontId="2" fillId="0" borderId="80" xfId="0" applyNumberFormat="1" applyFont="1" applyFill="1" applyBorder="1" applyAlignment="1">
      <alignment horizontal="center" vertical="center"/>
    </xf>
    <xf numFmtId="49" fontId="2" fillId="0" borderId="81" xfId="0" applyNumberFormat="1" applyFont="1" applyFill="1" applyBorder="1" applyAlignment="1">
      <alignment horizontal="center" vertical="center"/>
    </xf>
    <xf numFmtId="49" fontId="2" fillId="0" borderId="81" xfId="0" applyNumberFormat="1" applyFont="1" applyFill="1" applyBorder="1" applyAlignment="1">
      <alignment horizontal="centerContinuous" vertical="center"/>
    </xf>
    <xf numFmtId="49" fontId="2" fillId="0" borderId="82" xfId="0" applyNumberFormat="1" applyFont="1" applyFill="1" applyBorder="1" applyAlignment="1">
      <alignment horizontal="centerContinuous" vertical="center"/>
    </xf>
    <xf numFmtId="0" fontId="5" fillId="0" borderId="83" xfId="0" applyFont="1" applyFill="1" applyBorder="1" applyAlignment="1">
      <alignment horizontal="centerContinuous" vertical="center"/>
    </xf>
    <xf numFmtId="0" fontId="49" fillId="0" borderId="0" xfId="0" applyFont="1" applyBorder="1" applyAlignment="1">
      <alignment horizontal="right" vertical="center"/>
    </xf>
    <xf numFmtId="0" fontId="21" fillId="12" borderId="93" xfId="0" applyFont="1" applyFill="1" applyBorder="1" applyAlignment="1">
      <alignment horizontal="center" vertical="center"/>
    </xf>
    <xf numFmtId="0" fontId="50" fillId="0" borderId="0" xfId="0" applyFont="1" applyBorder="1" applyAlignment="1">
      <alignment horizontal="center" vertical="center"/>
    </xf>
    <xf numFmtId="0" fontId="2" fillId="0" borderId="89" xfId="0" applyFont="1" applyFill="1" applyBorder="1" applyAlignment="1">
      <alignment horizontal="centerContinuous" vertical="center" shrinkToFit="1"/>
    </xf>
    <xf numFmtId="0" fontId="2" fillId="0" borderId="45"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164" fontId="5" fillId="0" borderId="46"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85"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5" fillId="0" borderId="85"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4"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2" fillId="0" borderId="44" xfId="0" applyFont="1" applyBorder="1" applyAlignment="1">
      <alignment horizontal="left" vertical="center"/>
    </xf>
    <xf numFmtId="0" fontId="5" fillId="0" borderId="86"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42" xfId="0" applyFont="1" applyBorder="1" applyAlignment="1">
      <alignment horizontal="left" vertical="center"/>
    </xf>
    <xf numFmtId="0" fontId="2" fillId="0" borderId="94"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21" fillId="0" borderId="96" xfId="0" applyFont="1" applyFill="1" applyBorder="1" applyAlignment="1">
      <alignment horizontal="centerContinuous"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Continuous" vertical="center"/>
    </xf>
    <xf numFmtId="0" fontId="21" fillId="0" borderId="82" xfId="0" applyFont="1" applyFill="1" applyBorder="1" applyAlignment="1">
      <alignment horizontal="centerContinuous" vertical="center"/>
    </xf>
    <xf numFmtId="0" fontId="21" fillId="0" borderId="63" xfId="0" applyFont="1" applyFill="1" applyBorder="1" applyAlignment="1">
      <alignment horizontal="centerContinuous" vertical="center"/>
    </xf>
    <xf numFmtId="0" fontId="2" fillId="0" borderId="44" xfId="0" applyFont="1" applyFill="1" applyBorder="1" applyAlignment="1">
      <alignment horizontal="center" vertical="center"/>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1" fontId="2" fillId="14" borderId="50"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57"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0" fontId="2" fillId="0" borderId="79" xfId="0" applyFont="1" applyFill="1" applyBorder="1" applyAlignment="1">
      <alignment horizontal="center" vertical="center"/>
    </xf>
    <xf numFmtId="164" fontId="4" fillId="0" borderId="81" xfId="0" applyNumberFormat="1" applyFont="1" applyFill="1" applyBorder="1" applyAlignment="1">
      <alignment horizontal="centerContinuous" vertical="center"/>
    </xf>
    <xf numFmtId="164" fontId="4" fillId="0" borderId="82" xfId="0" applyNumberFormat="1" applyFont="1" applyFill="1" applyBorder="1" applyAlignment="1">
      <alignment horizontal="centerContinuous" vertical="center"/>
    </xf>
    <xf numFmtId="0" fontId="4" fillId="0" borderId="83"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80" xfId="0" quotePrefix="1" applyFont="1" applyFill="1" applyBorder="1" applyAlignment="1">
      <alignment horizontal="center" vertical="center"/>
    </xf>
    <xf numFmtId="9" fontId="2" fillId="0" borderId="80"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15" borderId="29" xfId="0" applyNumberFormat="1" applyFont="1" applyFill="1" applyBorder="1" applyAlignment="1">
      <alignment horizontal="center" vertical="center"/>
    </xf>
    <xf numFmtId="0" fontId="14" fillId="15" borderId="1" xfId="0" applyFont="1" applyFill="1" applyBorder="1" applyAlignment="1">
      <alignment vertical="center"/>
    </xf>
    <xf numFmtId="49" fontId="23" fillId="15" borderId="27" xfId="0" applyNumberFormat="1" applyFont="1" applyFill="1" applyBorder="1" applyAlignment="1">
      <alignment horizontal="center" vertical="center"/>
    </xf>
    <xf numFmtId="0" fontId="23" fillId="15" borderId="28" xfId="0" applyNumberFormat="1" applyFont="1" applyFill="1" applyBorder="1" applyAlignment="1">
      <alignment horizontal="center" vertical="center"/>
    </xf>
    <xf numFmtId="0" fontId="14" fillId="15" borderId="28" xfId="0" applyNumberFormat="1" applyFont="1" applyFill="1" applyBorder="1" applyAlignment="1">
      <alignment horizontal="center" vertical="center"/>
    </xf>
    <xf numFmtId="0" fontId="22" fillId="15" borderId="1" xfId="0" applyFont="1" applyFill="1" applyBorder="1" applyAlignment="1">
      <alignment vertical="center"/>
    </xf>
    <xf numFmtId="49" fontId="28" fillId="15" borderId="27" xfId="0" applyNumberFormat="1" applyFont="1" applyFill="1" applyBorder="1" applyAlignment="1">
      <alignment horizontal="center" vertical="center"/>
    </xf>
    <xf numFmtId="0" fontId="28" fillId="15" borderId="28" xfId="0" applyNumberFormat="1" applyFont="1" applyFill="1" applyBorder="1" applyAlignment="1">
      <alignment horizontal="center" vertical="center"/>
    </xf>
    <xf numFmtId="0" fontId="22" fillId="15" borderId="28" xfId="0" applyNumberFormat="1" applyFont="1" applyFill="1" applyBorder="1" applyAlignment="1">
      <alignment horizontal="center" vertical="center"/>
    </xf>
    <xf numFmtId="0" fontId="2" fillId="0" borderId="100" xfId="0" applyFont="1" applyBorder="1" applyAlignment="1">
      <alignment horizontal="center" vertical="center" shrinkToFit="1"/>
    </xf>
    <xf numFmtId="0" fontId="5" fillId="0" borderId="97" xfId="0" applyFont="1" applyBorder="1" applyAlignment="1">
      <alignment horizontal="center" vertical="center" shrinkToFit="1"/>
    </xf>
    <xf numFmtId="164" fontId="5" fillId="0" borderId="97" xfId="0" applyNumberFormat="1" applyFont="1" applyBorder="1" applyAlignment="1">
      <alignment horizontal="center" vertical="center" shrinkToFit="1"/>
    </xf>
    <xf numFmtId="0" fontId="5" fillId="0" borderId="97" xfId="0" applyFont="1" applyBorder="1" applyAlignment="1">
      <alignment horizontal="left" vertical="center"/>
    </xf>
    <xf numFmtId="0" fontId="5" fillId="0" borderId="98" xfId="0" applyFont="1" applyBorder="1" applyAlignment="1">
      <alignment horizontal="left" vertical="center" shrinkToFit="1"/>
    </xf>
    <xf numFmtId="0" fontId="2" fillId="0" borderId="41" xfId="0" applyFont="1" applyBorder="1" applyAlignment="1">
      <alignment horizontal="center" vertical="center" shrinkToFi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0" fontId="52" fillId="0" borderId="37" xfId="0" applyFont="1" applyFill="1" applyBorder="1" applyAlignment="1">
      <alignment horizontal="centerContinuous" vertical="center"/>
    </xf>
    <xf numFmtId="0" fontId="7" fillId="0" borderId="28" xfId="0" applyNumberFormat="1"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5" xfId="0" applyNumberFormat="1" applyFont="1" applyFill="1" applyBorder="1" applyAlignment="1">
      <alignment horizontal="center" vertical="center" wrapText="1"/>
    </xf>
    <xf numFmtId="0" fontId="7" fillId="0" borderId="27" xfId="0" applyFont="1" applyFill="1" applyBorder="1" applyAlignment="1">
      <alignment horizontal="center" vertical="center" shrinkToFit="1"/>
    </xf>
    <xf numFmtId="0" fontId="2" fillId="16" borderId="63"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4" fillId="0" borderId="57" xfId="0" applyFont="1" applyBorder="1" applyAlignment="1">
      <alignment horizontal="right" vertical="center" wrapText="1"/>
    </xf>
    <xf numFmtId="1" fontId="2" fillId="0" borderId="103" xfId="0" applyNumberFormat="1" applyFont="1" applyBorder="1" applyAlignment="1">
      <alignment horizontal="center" vertical="center" wrapText="1"/>
    </xf>
    <xf numFmtId="1" fontId="2" fillId="0" borderId="104" xfId="0" applyNumberFormat="1" applyFont="1" applyBorder="1" applyAlignment="1">
      <alignment horizontal="center" vertical="center" wrapText="1"/>
    </xf>
    <xf numFmtId="0" fontId="2" fillId="10" borderId="104" xfId="0" applyFont="1" applyFill="1" applyBorder="1" applyAlignment="1">
      <alignment horizontal="center" vertical="center" wrapText="1"/>
    </xf>
    <xf numFmtId="0" fontId="2" fillId="10" borderId="105" xfId="0" applyFont="1" applyFill="1" applyBorder="1" applyAlignment="1">
      <alignment horizontal="center" vertical="center" wrapText="1"/>
    </xf>
    <xf numFmtId="0" fontId="4" fillId="0" borderId="102" xfId="0" applyFont="1" applyBorder="1" applyAlignment="1">
      <alignment horizontal="right" vertical="center" wrapText="1"/>
    </xf>
    <xf numFmtId="0" fontId="4" fillId="10" borderId="107" xfId="0" applyFont="1" applyFill="1" applyBorder="1" applyAlignment="1">
      <alignment horizontal="center" vertical="center" wrapText="1"/>
    </xf>
    <xf numFmtId="0" fontId="4" fillId="10" borderId="108" xfId="0" applyFont="1" applyFill="1" applyBorder="1" applyAlignment="1">
      <alignment horizontal="center" vertical="center" wrapText="1"/>
    </xf>
    <xf numFmtId="0" fontId="7" fillId="15" borderId="29" xfId="0" quotePrefix="1"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0" fontId="7" fillId="17" borderId="29"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6" fillId="4" borderId="11" xfId="0" applyFont="1" applyFill="1" applyBorder="1" applyAlignment="1">
      <alignment horizontal="right" vertical="center"/>
    </xf>
    <xf numFmtId="0" fontId="26" fillId="0" borderId="26" xfId="0" applyNumberFormat="1" applyFont="1" applyBorder="1" applyAlignment="1">
      <alignment horizontal="center" vertical="center"/>
    </xf>
    <xf numFmtId="0" fontId="54" fillId="0" borderId="33" xfId="0" applyFont="1" applyBorder="1" applyAlignment="1">
      <alignment horizontal="centerContinuous" vertical="center"/>
    </xf>
    <xf numFmtId="0" fontId="55" fillId="0" borderId="33" xfId="0" applyFont="1" applyBorder="1" applyAlignment="1">
      <alignment horizontal="centerContinuous" vertical="center" wrapText="1"/>
    </xf>
    <xf numFmtId="0" fontId="56" fillId="0" borderId="33" xfId="0" applyFont="1" applyBorder="1" applyAlignment="1">
      <alignment horizontal="centerContinuous" vertical="center" wrapText="1"/>
    </xf>
    <xf numFmtId="0" fontId="51" fillId="0" borderId="37" xfId="0" applyFont="1" applyFill="1" applyBorder="1" applyAlignment="1">
      <alignment horizontal="centerContinuous" vertical="center"/>
    </xf>
    <xf numFmtId="1" fontId="2" fillId="0" borderId="50" xfId="0" applyNumberFormat="1" applyFont="1" applyFill="1" applyBorder="1" applyAlignment="1">
      <alignment horizontal="center" vertical="center"/>
    </xf>
    <xf numFmtId="1" fontId="21" fillId="12" borderId="33"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1" fontId="2" fillId="0" borderId="99"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9" borderId="50" xfId="0" applyNumberFormat="1" applyFont="1" applyFill="1" applyBorder="1" applyAlignment="1">
      <alignment horizontal="center" vertical="center"/>
    </xf>
    <xf numFmtId="0" fontId="2" fillId="18" borderId="15" xfId="0" applyFont="1" applyFill="1" applyBorder="1" applyAlignment="1">
      <alignment horizontal="center" vertical="center"/>
    </xf>
    <xf numFmtId="0" fontId="2" fillId="18" borderId="47" xfId="0" applyFont="1" applyFill="1" applyBorder="1" applyAlignment="1">
      <alignment horizontal="center" vertical="center"/>
    </xf>
    <xf numFmtId="49" fontId="2" fillId="18" borderId="47" xfId="0" applyNumberFormat="1" applyFont="1" applyFill="1" applyBorder="1" applyAlignment="1">
      <alignment horizontal="center" vertical="center"/>
    </xf>
    <xf numFmtId="164" fontId="2" fillId="18" borderId="47" xfId="0" applyNumberFormat="1" applyFont="1" applyFill="1" applyBorder="1" applyAlignment="1">
      <alignment horizontal="center" vertical="center"/>
    </xf>
    <xf numFmtId="0" fontId="5" fillId="18" borderId="3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11" borderId="1" xfId="0" applyFont="1" applyFill="1" applyBorder="1" applyAlignment="1">
      <alignment horizontal="center" vertical="center" shrinkToFit="1"/>
    </xf>
    <xf numFmtId="0" fontId="7" fillId="11" borderId="34"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16" fillId="0" borderId="0" xfId="0" applyNumberFormat="1" applyFont="1" applyBorder="1" applyAlignment="1">
      <alignment vertical="center"/>
    </xf>
    <xf numFmtId="1" fontId="7" fillId="0" borderId="26" xfId="0" applyNumberFormat="1" applyFont="1" applyFill="1" applyBorder="1" applyAlignment="1">
      <alignment horizontal="centerContinuous" vertical="center"/>
    </xf>
    <xf numFmtId="1" fontId="7" fillId="0" borderId="101" xfId="0" applyNumberFormat="1" applyFont="1" applyFill="1" applyBorder="1" applyAlignment="1">
      <alignment horizontal="centerContinuous"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0" xfId="0" applyNumberFormat="1" applyFont="1" applyBorder="1" applyAlignment="1">
      <alignment horizontal="center" vertical="center"/>
    </xf>
    <xf numFmtId="49" fontId="2"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0" fontId="6" fillId="4" borderId="32" xfId="0" applyFont="1" applyFill="1" applyBorder="1" applyAlignment="1">
      <alignment horizontal="right" vertical="center"/>
    </xf>
    <xf numFmtId="164" fontId="2" fillId="0" borderId="97" xfId="0" applyNumberFormat="1" applyFont="1" applyBorder="1" applyAlignment="1">
      <alignment horizontal="center" vertical="center" shrinkToFit="1"/>
    </xf>
    <xf numFmtId="0" fontId="2" fillId="0" borderId="98" xfId="0" applyFont="1" applyBorder="1" applyAlignment="1">
      <alignment horizontal="left" vertical="center" shrinkToFit="1"/>
    </xf>
    <xf numFmtId="49" fontId="2" fillId="0" borderId="74" xfId="0" quotePrefix="1" applyNumberFormat="1" applyFont="1" applyFill="1" applyBorder="1" applyAlignment="1">
      <alignment horizontal="center" vertical="center"/>
    </xf>
    <xf numFmtId="49" fontId="17" fillId="0" borderId="35" xfId="0" applyNumberFormat="1" applyFont="1" applyBorder="1" applyAlignment="1">
      <alignment horizontal="center" shrinkToFit="1"/>
    </xf>
    <xf numFmtId="0" fontId="39" fillId="19" borderId="106" xfId="0" applyFont="1" applyFill="1" applyBorder="1" applyAlignment="1">
      <alignment horizontal="center" vertical="center" wrapText="1"/>
    </xf>
    <xf numFmtId="0" fontId="39" fillId="19" borderId="107" xfId="0" applyFont="1" applyFill="1" applyBorder="1" applyAlignment="1">
      <alignment horizontal="center" vertical="center" wrapText="1"/>
    </xf>
    <xf numFmtId="0" fontId="58" fillId="0" borderId="0" xfId="0" applyFont="1" applyBorder="1" applyAlignment="1">
      <alignment horizontal="centerContinuous" vertical="center" wrapText="1"/>
    </xf>
    <xf numFmtId="0" fontId="59" fillId="0" borderId="0" xfId="0" applyFont="1" applyBorder="1" applyAlignment="1">
      <alignment vertical="center"/>
    </xf>
    <xf numFmtId="164" fontId="2" fillId="0" borderId="42" xfId="0" applyNumberFormat="1" applyFont="1" applyBorder="1" applyAlignment="1">
      <alignment horizontal="center" vertical="center" shrinkToFit="1"/>
    </xf>
    <xf numFmtId="0" fontId="2" fillId="0" borderId="73" xfId="0" applyFont="1" applyFill="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left" vertical="center" shrinkToFit="1"/>
    </xf>
    <xf numFmtId="1" fontId="2" fillId="0" borderId="99"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10" fillId="17" borderId="1" xfId="0" applyFont="1" applyFill="1" applyBorder="1" applyAlignment="1">
      <alignment vertical="center"/>
    </xf>
    <xf numFmtId="49" fontId="27" fillId="17" borderId="27" xfId="0" applyNumberFormat="1" applyFont="1" applyFill="1" applyBorder="1" applyAlignment="1">
      <alignment horizontal="center" vertical="center"/>
    </xf>
    <xf numFmtId="0" fontId="27" fillId="17" borderId="28" xfId="0" applyNumberFormat="1" applyFont="1" applyFill="1" applyBorder="1" applyAlignment="1">
      <alignment horizontal="center" vertical="center"/>
    </xf>
    <xf numFmtId="0" fontId="10" fillId="17" borderId="28" xfId="0" applyNumberFormat="1" applyFont="1" applyFill="1" applyBorder="1" applyAlignment="1">
      <alignment horizontal="center" vertical="center"/>
    </xf>
    <xf numFmtId="0" fontId="11" fillId="17" borderId="1" xfId="0" applyFont="1" applyFill="1" applyBorder="1" applyAlignment="1">
      <alignment vertical="center"/>
    </xf>
    <xf numFmtId="49" fontId="17" fillId="17" borderId="27" xfId="0" applyNumberFormat="1" applyFont="1" applyFill="1" applyBorder="1" applyAlignment="1">
      <alignment horizontal="center" vertical="center"/>
    </xf>
    <xf numFmtId="0" fontId="17" fillId="17" borderId="28" xfId="0" applyNumberFormat="1" applyFont="1" applyFill="1" applyBorder="1" applyAlignment="1">
      <alignment horizontal="center" vertical="center"/>
    </xf>
    <xf numFmtId="0" fontId="11" fillId="17" borderId="28" xfId="0" applyNumberFormat="1" applyFont="1" applyFill="1" applyBorder="1" applyAlignment="1">
      <alignment horizontal="center" vertical="center"/>
    </xf>
    <xf numFmtId="0" fontId="7" fillId="17" borderId="29" xfId="0" quotePrefix="1" applyNumberFormat="1" applyFont="1" applyFill="1" applyBorder="1" applyAlignment="1">
      <alignment horizontal="center" vertical="center"/>
    </xf>
    <xf numFmtId="0" fontId="61" fillId="0" borderId="25" xfId="0" applyFont="1" applyBorder="1" applyAlignment="1">
      <alignment horizontal="centerContinuous" vertical="center"/>
    </xf>
    <xf numFmtId="0" fontId="12" fillId="20" borderId="22" xfId="0" applyFont="1" applyFill="1" applyBorder="1" applyAlignment="1">
      <alignment horizontal="centerContinuous" vertical="center"/>
    </xf>
    <xf numFmtId="0" fontId="12" fillId="20" borderId="23" xfId="0" applyFont="1" applyFill="1" applyBorder="1" applyAlignment="1">
      <alignment horizontal="center" vertical="center"/>
    </xf>
    <xf numFmtId="0" fontId="21" fillId="20" borderId="23" xfId="0" applyFont="1" applyFill="1" applyBorder="1" applyAlignment="1">
      <alignment horizontal="center" vertical="center"/>
    </xf>
    <xf numFmtId="0" fontId="12" fillId="20" borderId="24" xfId="0" applyNumberFormat="1" applyFont="1" applyFill="1" applyBorder="1" applyAlignment="1">
      <alignment horizontal="centerContinuous" vertical="center"/>
    </xf>
    <xf numFmtId="0" fontId="36" fillId="2" borderId="64" xfId="0" applyFont="1" applyFill="1" applyBorder="1" applyAlignment="1">
      <alignment horizontal="right" vertical="center"/>
    </xf>
    <xf numFmtId="0" fontId="7" fillId="0" borderId="48" xfId="0" applyFont="1" applyFill="1" applyBorder="1" applyAlignment="1">
      <alignment horizontal="center" vertical="center" wrapText="1"/>
    </xf>
    <xf numFmtId="0" fontId="7" fillId="0" borderId="27" xfId="0" applyFont="1" applyBorder="1" applyAlignment="1">
      <alignment horizontal="center" vertical="center" shrinkToFit="1"/>
    </xf>
    <xf numFmtId="0" fontId="7" fillId="0" borderId="29" xfId="0" applyFont="1" applyBorder="1" applyAlignment="1">
      <alignment horizontal="center" vertical="center" wrapTex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11" borderId="14" xfId="0" applyNumberFormat="1" applyFont="1" applyFill="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3"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3" fontId="7" fillId="0" borderId="12" xfId="0" applyNumberFormat="1" applyFont="1" applyBorder="1" applyAlignment="1">
      <alignment horizontal="center" vertical="center"/>
    </xf>
    <xf numFmtId="49" fontId="7" fillId="0" borderId="28" xfId="0" applyNumberFormat="1" applyFont="1" applyBorder="1" applyAlignment="1">
      <alignment horizontal="center" vertical="center"/>
    </xf>
    <xf numFmtId="0" fontId="13" fillId="9" borderId="1" xfId="0" applyFont="1" applyFill="1" applyBorder="1" applyAlignment="1">
      <alignment vertical="center"/>
    </xf>
    <xf numFmtId="49" fontId="24" fillId="9" borderId="27" xfId="0" applyNumberFormat="1" applyFont="1" applyFill="1" applyBorder="1" applyAlignment="1">
      <alignment horizontal="center" vertical="center"/>
    </xf>
    <xf numFmtId="0" fontId="24" fillId="9" borderId="28" xfId="0" applyNumberFormat="1" applyFont="1" applyFill="1" applyBorder="1" applyAlignment="1">
      <alignment horizontal="center" vertical="center"/>
    </xf>
    <xf numFmtId="0" fontId="13" fillId="9" borderId="28" xfId="0" applyNumberFormat="1" applyFont="1" applyFill="1" applyBorder="1" applyAlignment="1">
      <alignment horizontal="center" vertical="center"/>
    </xf>
    <xf numFmtId="0" fontId="7"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applyNumberFormat="1" applyFont="1" applyFill="1" applyBorder="1" applyAlignment="1">
      <alignment horizontal="center" vertical="center"/>
    </xf>
    <xf numFmtId="0" fontId="2" fillId="0" borderId="0" xfId="0" applyFont="1" applyAlignment="1">
      <alignment horizontal="center" vertical="center" shrinkToFit="1"/>
    </xf>
    <xf numFmtId="0" fontId="62" fillId="0" borderId="0" xfId="0" applyFont="1" applyAlignment="1">
      <alignment vertical="center"/>
    </xf>
    <xf numFmtId="0" fontId="2" fillId="0" borderId="0" xfId="0" applyFont="1" applyAlignment="1">
      <alignment horizontal="left" vertical="center" shrinkToFit="1"/>
    </xf>
    <xf numFmtId="164" fontId="21" fillId="3" borderId="33" xfId="0" applyNumberFormat="1" applyFont="1" applyFill="1" applyBorder="1" applyAlignment="1">
      <alignment horizontal="center" vertical="center"/>
    </xf>
    <xf numFmtId="1" fontId="2" fillId="0" borderId="42" xfId="0" applyNumberFormat="1" applyFont="1" applyBorder="1" applyAlignment="1">
      <alignment horizontal="center" vertical="center" shrinkToFit="1"/>
    </xf>
    <xf numFmtId="0" fontId="2" fillId="0" borderId="114" xfId="0" applyFont="1" applyBorder="1" applyAlignment="1">
      <alignment horizontal="left" vertical="center"/>
    </xf>
    <xf numFmtId="1" fontId="2" fillId="0" borderId="37" xfId="0" applyNumberFormat="1" applyFont="1" applyBorder="1" applyAlignment="1">
      <alignment horizontal="center" vertical="center" shrinkToFit="1"/>
    </xf>
    <xf numFmtId="0" fontId="2" fillId="0" borderId="89" xfId="0" applyFont="1" applyBorder="1" applyAlignment="1">
      <alignment horizontal="center" vertical="center" shrinkToFit="1"/>
    </xf>
    <xf numFmtId="1" fontId="2" fillId="0" borderId="44" xfId="0" applyNumberFormat="1" applyFont="1" applyBorder="1" applyAlignment="1">
      <alignment horizontal="center" vertical="center" shrinkToFit="1"/>
    </xf>
    <xf numFmtId="0" fontId="2" fillId="0" borderId="115"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0" fontId="3" fillId="0" borderId="0" xfId="0" applyFont="1" applyBorder="1" applyAlignment="1"/>
    <xf numFmtId="1" fontId="2" fillId="0" borderId="57" xfId="0" applyNumberFormat="1" applyFont="1" applyFill="1" applyBorder="1" applyAlignment="1">
      <alignment horizontal="center" vertical="center" shrinkToFit="1"/>
    </xf>
    <xf numFmtId="1" fontId="2" fillId="0" borderId="50" xfId="0" applyNumberFormat="1" applyFont="1" applyFill="1" applyBorder="1" applyAlignment="1">
      <alignment horizontal="center" vertical="center" shrinkToFit="1"/>
    </xf>
    <xf numFmtId="1" fontId="2" fillId="0" borderId="0" xfId="0" applyNumberFormat="1" applyFont="1" applyFill="1" applyBorder="1" applyAlignment="1">
      <alignment horizontal="center" vertical="center" shrinkToFit="1"/>
    </xf>
    <xf numFmtId="0" fontId="2" fillId="0" borderId="94" xfId="0" applyFont="1" applyBorder="1" applyAlignment="1">
      <alignment horizontal="center" vertical="center" shrinkToFit="1"/>
    </xf>
    <xf numFmtId="1" fontId="2" fillId="0" borderId="97" xfId="0" applyNumberFormat="1" applyFont="1" applyBorder="1" applyAlignment="1">
      <alignment horizontal="center" vertical="center" shrinkToFit="1"/>
    </xf>
    <xf numFmtId="0" fontId="2" fillId="0" borderId="116" xfId="0" applyFont="1" applyBorder="1" applyAlignment="1">
      <alignment horizontal="left" vertical="center"/>
    </xf>
    <xf numFmtId="1" fontId="2" fillId="0" borderId="99" xfId="0" applyNumberFormat="1" applyFont="1" applyBorder="1" applyAlignment="1">
      <alignment horizontal="center" vertical="center" shrinkToFit="1"/>
    </xf>
    <xf numFmtId="2" fontId="2" fillId="0" borderId="57" xfId="0" applyNumberFormat="1" applyFont="1" applyFill="1" applyBorder="1" applyAlignment="1">
      <alignment horizontal="center" vertical="center" shrinkToFit="1"/>
    </xf>
    <xf numFmtId="2" fontId="2" fillId="0" borderId="37" xfId="0" applyNumberFormat="1" applyFont="1" applyBorder="1" applyAlignment="1">
      <alignment horizontal="center" vertical="center" shrinkToFit="1"/>
    </xf>
    <xf numFmtId="0" fontId="7" fillId="18" borderId="26" xfId="0" quotePrefix="1" applyFont="1" applyFill="1" applyBorder="1" applyAlignment="1">
      <alignment horizontal="center" vertical="center"/>
    </xf>
    <xf numFmtId="164" fontId="2" fillId="0" borderId="27" xfId="0" applyNumberFormat="1" applyFont="1" applyFill="1" applyBorder="1" applyAlignment="1">
      <alignment horizontal="center" vertical="center"/>
    </xf>
    <xf numFmtId="1" fontId="2" fillId="0" borderId="111" xfId="0" applyNumberFormat="1" applyFont="1" applyBorder="1" applyAlignment="1">
      <alignment horizontal="center" vertical="center"/>
    </xf>
    <xf numFmtId="0" fontId="63" fillId="2" borderId="65" xfId="0" applyFont="1" applyFill="1" applyBorder="1" applyAlignment="1">
      <alignment horizontal="center" vertical="center"/>
    </xf>
    <xf numFmtId="0" fontId="13" fillId="17" borderId="1" xfId="0" applyFont="1" applyFill="1" applyBorder="1" applyAlignment="1">
      <alignment vertical="center"/>
    </xf>
    <xf numFmtId="49" fontId="24" fillId="17" borderId="27" xfId="0" applyNumberFormat="1" applyFont="1" applyFill="1" applyBorder="1" applyAlignment="1">
      <alignment horizontal="center" vertical="center"/>
    </xf>
    <xf numFmtId="0" fontId="24" fillId="17" borderId="28" xfId="0" applyNumberFormat="1" applyFont="1" applyFill="1" applyBorder="1" applyAlignment="1">
      <alignment horizontal="center" vertical="center"/>
    </xf>
    <xf numFmtId="0" fontId="13" fillId="17" borderId="28" xfId="0" applyNumberFormat="1" applyFont="1" applyFill="1" applyBorder="1" applyAlignment="1">
      <alignment horizontal="center" vertical="center"/>
    </xf>
    <xf numFmtId="0" fontId="51" fillId="0" borderId="50" xfId="0" quotePrefix="1" applyFont="1" applyFill="1" applyBorder="1" applyAlignment="1">
      <alignment horizontal="center" vertical="center" shrinkToFit="1"/>
    </xf>
    <xf numFmtId="0" fontId="17" fillId="0" borderId="56" xfId="0" quotePrefix="1" applyFont="1" applyFill="1" applyBorder="1" applyAlignment="1">
      <alignment horizontal="center" vertical="center" shrinkToFit="1"/>
    </xf>
    <xf numFmtId="0" fontId="7" fillId="17" borderId="28" xfId="0" applyNumberFormat="1" applyFont="1" applyFill="1" applyBorder="1" applyAlignment="1">
      <alignment horizontal="center" vertical="center"/>
    </xf>
    <xf numFmtId="0" fontId="7" fillId="15" borderId="28" xfId="0" applyNumberFormat="1" applyFont="1" applyFill="1" applyBorder="1" applyAlignment="1">
      <alignment horizontal="center" vertical="center"/>
    </xf>
    <xf numFmtId="0" fontId="11" fillId="18" borderId="1" xfId="0" applyFont="1" applyFill="1" applyBorder="1" applyAlignment="1">
      <alignment vertical="center"/>
    </xf>
    <xf numFmtId="0" fontId="7" fillId="18" borderId="27" xfId="0" applyNumberFormat="1" applyFont="1" applyFill="1" applyBorder="1" applyAlignment="1">
      <alignment horizontal="center" vertical="center"/>
    </xf>
    <xf numFmtId="49" fontId="17" fillId="18" borderId="27" xfId="0" applyNumberFormat="1" applyFont="1" applyFill="1" applyBorder="1" applyAlignment="1">
      <alignment horizontal="center" vertical="center"/>
    </xf>
    <xf numFmtId="0" fontId="17" fillId="18" borderId="28" xfId="0" applyNumberFormat="1" applyFont="1" applyFill="1" applyBorder="1" applyAlignment="1">
      <alignment horizontal="center" vertical="center"/>
    </xf>
    <xf numFmtId="0" fontId="11" fillId="18" borderId="28" xfId="0" applyNumberFormat="1" applyFont="1" applyFill="1" applyBorder="1" applyAlignment="1">
      <alignment horizontal="center" vertical="center"/>
    </xf>
    <xf numFmtId="0" fontId="7" fillId="21"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18" borderId="29"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164" fontId="5" fillId="0" borderId="110" xfId="0" applyNumberFormat="1" applyFont="1" applyFill="1" applyBorder="1" applyAlignment="1">
      <alignment horizontal="center" vertical="center"/>
    </xf>
    <xf numFmtId="1" fontId="48" fillId="13" borderId="110" xfId="0" applyNumberFormat="1" applyFont="1" applyFill="1" applyBorder="1" applyAlignment="1">
      <alignment horizontal="center" vertical="center"/>
    </xf>
    <xf numFmtId="1" fontId="5" fillId="0" borderId="110" xfId="0" applyNumberFormat="1" applyFont="1" applyBorder="1" applyAlignment="1">
      <alignment horizontal="center" vertical="center"/>
    </xf>
    <xf numFmtId="0" fontId="2" fillId="0" borderId="117" xfId="0" applyFont="1" applyBorder="1" applyAlignment="1">
      <alignment horizontal="center" vertical="center"/>
    </xf>
    <xf numFmtId="49" fontId="2" fillId="0" borderId="118" xfId="0" applyNumberFormat="1" applyFont="1" applyBorder="1" applyAlignment="1">
      <alignment horizontal="center" vertical="center"/>
    </xf>
    <xf numFmtId="0" fontId="2" fillId="0" borderId="118" xfId="0" applyFont="1" applyBorder="1" applyAlignment="1">
      <alignment horizontal="center" vertical="center"/>
    </xf>
    <xf numFmtId="164" fontId="2" fillId="0" borderId="118" xfId="0" applyNumberFormat="1" applyFont="1" applyBorder="1" applyAlignment="1">
      <alignment horizontal="center" vertical="center"/>
    </xf>
    <xf numFmtId="1" fontId="48" fillId="13" borderId="118" xfId="0" applyNumberFormat="1" applyFont="1" applyFill="1" applyBorder="1" applyAlignment="1">
      <alignment horizontal="center" vertical="center"/>
    </xf>
    <xf numFmtId="1" fontId="2" fillId="0" borderId="118" xfId="0" applyNumberFormat="1" applyFont="1" applyBorder="1" applyAlignment="1">
      <alignment horizontal="center" vertical="center"/>
    </xf>
    <xf numFmtId="1" fontId="2" fillId="18" borderId="47" xfId="0" applyNumberFormat="1" applyFont="1" applyFill="1" applyBorder="1" applyAlignment="1">
      <alignment horizontal="center" vertical="center"/>
    </xf>
    <xf numFmtId="1" fontId="48" fillId="13" borderId="47" xfId="0" applyNumberFormat="1" applyFont="1" applyFill="1" applyBorder="1" applyAlignment="1">
      <alignment horizontal="center" vertical="center"/>
    </xf>
    <xf numFmtId="0" fontId="2" fillId="0" borderId="119" xfId="0" applyFont="1" applyBorder="1" applyAlignment="1">
      <alignment horizontal="center" vertical="center"/>
    </xf>
    <xf numFmtId="0" fontId="7" fillId="0" borderId="55" xfId="0" applyFont="1" applyBorder="1" applyAlignment="1">
      <alignment horizontal="centerContinuous" vertical="center"/>
    </xf>
    <xf numFmtId="0" fontId="7" fillId="0" borderId="37" xfId="0" applyFont="1" applyBorder="1" applyAlignment="1">
      <alignment horizontal="centerContinuous" vertical="center"/>
    </xf>
    <xf numFmtId="0" fontId="7" fillId="0" borderId="37" xfId="0" applyFont="1" applyBorder="1" applyAlignment="1">
      <alignment horizontal="centerContinuous" vertical="center" wrapText="1"/>
    </xf>
    <xf numFmtId="0" fontId="7" fillId="0" borderId="50" xfId="0" applyFont="1" applyBorder="1" applyAlignment="1">
      <alignment horizontal="centerContinuous" vertical="center"/>
    </xf>
    <xf numFmtId="0" fontId="2" fillId="0" borderId="97" xfId="0" applyFont="1" applyBorder="1" applyAlignment="1">
      <alignment horizontal="center" vertical="center" shrinkToFit="1"/>
    </xf>
    <xf numFmtId="0" fontId="64" fillId="0" borderId="0" xfId="0" applyFont="1" applyBorder="1" applyAlignment="1">
      <alignment horizontal="centerContinuous" vertical="center"/>
    </xf>
    <xf numFmtId="0" fontId="2" fillId="0" borderId="1" xfId="0" applyFont="1" applyFill="1" applyBorder="1" applyAlignment="1">
      <alignment horizontal="centerContinuous" vertical="center"/>
    </xf>
    <xf numFmtId="0" fontId="5" fillId="0" borderId="120" xfId="0" applyFont="1" applyFill="1" applyBorder="1" applyAlignment="1">
      <alignment horizontal="centerContinuous" vertical="center"/>
    </xf>
    <xf numFmtId="0" fontId="5" fillId="0" borderId="28" xfId="0" applyFont="1" applyFill="1" applyBorder="1" applyAlignment="1">
      <alignment horizontal="centerContinuous" vertical="center"/>
    </xf>
    <xf numFmtId="49" fontId="2" fillId="0" borderId="28" xfId="0" applyNumberFormat="1" applyFont="1" applyFill="1" applyBorder="1" applyAlignment="1">
      <alignment horizontal="center" vertical="center"/>
    </xf>
    <xf numFmtId="49" fontId="2" fillId="0" borderId="28" xfId="0" applyNumberFormat="1" applyFont="1" applyFill="1" applyBorder="1" applyAlignment="1">
      <alignment horizontal="centerContinuous" vertical="center"/>
    </xf>
    <xf numFmtId="49" fontId="2" fillId="0" borderId="0" xfId="0" applyNumberFormat="1" applyFont="1" applyFill="1" applyBorder="1" applyAlignment="1">
      <alignment horizontal="centerContinuous" vertical="center"/>
    </xf>
    <xf numFmtId="0" fontId="5" fillId="0" borderId="2"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0" xfId="0" applyFont="1" applyBorder="1" applyAlignment="1">
      <alignment horizontal="centerContinuous" vertical="center"/>
    </xf>
    <xf numFmtId="0" fontId="6" fillId="0" borderId="30" xfId="0" applyFont="1" applyFill="1" applyBorder="1" applyAlignment="1">
      <alignment horizontal="center" vertical="center"/>
    </xf>
    <xf numFmtId="0" fontId="7" fillId="0" borderId="47" xfId="0" applyFont="1" applyFill="1" applyBorder="1" applyAlignment="1">
      <alignment horizontal="center" vertical="center" wrapText="1"/>
    </xf>
    <xf numFmtId="9" fontId="7" fillId="11" borderId="27" xfId="3" applyFont="1" applyFill="1" applyBorder="1" applyAlignment="1">
      <alignment horizontal="center" vertical="center" shrinkToFit="1"/>
    </xf>
    <xf numFmtId="9" fontId="7" fillId="0" borderId="48" xfId="2" applyFont="1" applyFill="1" applyBorder="1" applyAlignment="1">
      <alignment horizontal="center" vertical="center" shrinkToFit="1"/>
    </xf>
    <xf numFmtId="9" fontId="7" fillId="11" borderId="28" xfId="3"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11" borderId="28" xfId="0" applyNumberFormat="1" applyFont="1" applyFill="1" applyBorder="1" applyAlignment="1">
      <alignment horizontal="center" vertical="center" shrinkToFit="1"/>
    </xf>
    <xf numFmtId="0" fontId="7" fillId="0" borderId="14" xfId="0" applyNumberFormat="1" applyFont="1" applyFill="1" applyBorder="1" applyAlignment="1">
      <alignment horizontal="center" vertical="center" shrinkToFit="1"/>
    </xf>
    <xf numFmtId="0" fontId="7" fillId="0" borderId="49" xfId="0" applyFont="1" applyBorder="1" applyAlignment="1">
      <alignment horizontal="center" vertical="center" shrinkToFit="1"/>
    </xf>
    <xf numFmtId="0" fontId="7" fillId="11" borderId="28" xfId="3" applyNumberFormat="1" applyFont="1" applyFill="1" applyBorder="1" applyAlignment="1">
      <alignment horizontal="center" vertical="center" shrinkToFit="1"/>
    </xf>
    <xf numFmtId="0" fontId="7" fillId="0" borderId="36" xfId="0" applyFont="1" applyBorder="1" applyAlignment="1">
      <alignment horizontal="center" vertical="center" wrapText="1"/>
    </xf>
    <xf numFmtId="0" fontId="7" fillId="0" borderId="34" xfId="0"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0" borderId="35" xfId="0" applyFont="1" applyBorder="1" applyAlignment="1">
      <alignment horizontal="center" vertical="center" wrapText="1"/>
    </xf>
    <xf numFmtId="0" fontId="7" fillId="0" borderId="27" xfId="0" applyFont="1" applyBorder="1" applyAlignment="1">
      <alignment horizontal="center" vertical="center"/>
    </xf>
    <xf numFmtId="0" fontId="7" fillId="15" borderId="27" xfId="0" applyFont="1" applyFill="1" applyBorder="1" applyAlignment="1">
      <alignment horizontal="center" vertical="center"/>
    </xf>
    <xf numFmtId="0" fontId="7" fillId="17" borderId="27" xfId="0" applyFont="1" applyFill="1" applyBorder="1" applyAlignment="1">
      <alignment horizontal="center" vertical="center"/>
    </xf>
    <xf numFmtId="0" fontId="7" fillId="5" borderId="27" xfId="0" applyFont="1" applyFill="1" applyBorder="1" applyAlignment="1">
      <alignment horizontal="center" vertical="center"/>
    </xf>
    <xf numFmtId="0" fontId="7" fillId="6" borderId="27" xfId="0" applyFont="1" applyFill="1" applyBorder="1" applyAlignment="1">
      <alignment horizontal="center" vertical="center"/>
    </xf>
    <xf numFmtId="0" fontId="7" fillId="7" borderId="27" xfId="0" applyFont="1" applyFill="1" applyBorder="1" applyAlignment="1">
      <alignment horizontal="center" vertical="center"/>
    </xf>
    <xf numFmtId="0" fontId="7" fillId="9" borderId="27" xfId="0" applyFont="1" applyFill="1" applyBorder="1" applyAlignment="1">
      <alignment horizontal="center" vertical="center"/>
    </xf>
    <xf numFmtId="0" fontId="7" fillId="0" borderId="47" xfId="0" applyFont="1" applyBorder="1" applyAlignment="1">
      <alignment horizontal="center" vertical="center"/>
    </xf>
    <xf numFmtId="0" fontId="7" fillId="0" borderId="0" xfId="0" applyFont="1" applyBorder="1" applyAlignment="1">
      <alignment horizontal="center" vertical="center" wrapText="1"/>
    </xf>
    <xf numFmtId="0" fontId="65" fillId="0" borderId="118" xfId="0" applyFont="1" applyBorder="1" applyAlignment="1">
      <alignment horizontal="center" vertical="center"/>
    </xf>
    <xf numFmtId="0" fontId="2" fillId="18" borderId="42" xfId="0" applyFont="1" applyFill="1" applyBorder="1" applyAlignment="1">
      <alignment horizontal="center" vertical="center" wrapText="1"/>
    </xf>
    <xf numFmtId="0" fontId="7" fillId="18" borderId="1" xfId="0" applyFont="1" applyFill="1" applyBorder="1" applyAlignment="1">
      <alignment horizontal="center" vertical="center" shrinkToFit="1"/>
    </xf>
    <xf numFmtId="0" fontId="7" fillId="18" borderId="27" xfId="0" applyFont="1" applyFill="1" applyBorder="1" applyAlignment="1">
      <alignment horizontal="center" vertical="center" wrapText="1"/>
    </xf>
    <xf numFmtId="9" fontId="7" fillId="18" borderId="27" xfId="2" applyFont="1" applyFill="1" applyBorder="1" applyAlignment="1">
      <alignment horizontal="center" vertical="center" shrinkToFit="1"/>
    </xf>
    <xf numFmtId="9" fontId="7" fillId="18" borderId="28" xfId="2" applyFont="1" applyFill="1" applyBorder="1" applyAlignment="1">
      <alignment horizontal="center" vertical="center" shrinkToFit="1"/>
    </xf>
    <xf numFmtId="0" fontId="7" fillId="18" borderId="28" xfId="0" applyFont="1" applyFill="1" applyBorder="1" applyAlignment="1">
      <alignment horizontal="center" vertical="center" shrinkToFit="1"/>
    </xf>
    <xf numFmtId="0" fontId="7" fillId="18" borderId="28" xfId="2" applyNumberFormat="1" applyFont="1" applyFill="1" applyBorder="1" applyAlignment="1">
      <alignment horizontal="center" vertical="center" shrinkToFit="1"/>
    </xf>
    <xf numFmtId="0" fontId="7" fillId="18" borderId="29" xfId="0" applyFont="1" applyFill="1" applyBorder="1" applyAlignment="1">
      <alignment horizontal="center" vertical="center" wrapText="1"/>
    </xf>
    <xf numFmtId="9" fontId="7" fillId="18" borderId="28" xfId="8" applyFont="1" applyFill="1" applyBorder="1" applyAlignment="1">
      <alignment horizontal="center" vertical="center" shrinkToFit="1"/>
    </xf>
    <xf numFmtId="0" fontId="7" fillId="18" borderId="28" xfId="8" applyNumberFormat="1" applyFont="1" applyFill="1" applyBorder="1" applyAlignment="1">
      <alignment horizontal="center" vertical="center" shrinkToFit="1"/>
    </xf>
    <xf numFmtId="0" fontId="7" fillId="18" borderId="29" xfId="0" applyFont="1" applyFill="1" applyBorder="1" applyAlignment="1">
      <alignment horizontal="center" vertical="center"/>
    </xf>
    <xf numFmtId="0" fontId="60" fillId="18" borderId="0" xfId="0" applyFont="1" applyFill="1" applyBorder="1" applyAlignment="1">
      <alignment horizontal="center" vertical="center"/>
    </xf>
    <xf numFmtId="165" fontId="2" fillId="0" borderId="0" xfId="0" applyNumberFormat="1" applyFont="1" applyAlignment="1">
      <alignment horizontal="center" vertical="center"/>
    </xf>
    <xf numFmtId="0" fontId="7" fillId="22" borderId="29" xfId="0" quotePrefix="1" applyFont="1" applyFill="1" applyBorder="1" applyAlignment="1">
      <alignment horizontal="center" vertical="center"/>
    </xf>
    <xf numFmtId="0" fontId="2" fillId="0" borderId="73" xfId="0" applyFont="1" applyFill="1" applyBorder="1" applyAlignment="1">
      <alignment horizontal="center" vertical="center"/>
    </xf>
    <xf numFmtId="0" fontId="2" fillId="0" borderId="74" xfId="0" quotePrefix="1" applyFont="1" applyFill="1" applyBorder="1" applyAlignment="1">
      <alignment horizontal="center" vertical="center" wrapText="1"/>
    </xf>
    <xf numFmtId="0" fontId="2" fillId="22" borderId="74" xfId="2" applyNumberFormat="1" applyFont="1" applyFill="1" applyBorder="1" applyAlignment="1">
      <alignment horizontal="center" vertical="center"/>
    </xf>
    <xf numFmtId="49" fontId="2" fillId="0" borderId="121" xfId="2" applyNumberFormat="1" applyFont="1" applyFill="1" applyBorder="1" applyAlignment="1">
      <alignment horizontal="center" vertical="center"/>
    </xf>
    <xf numFmtId="0" fontId="2" fillId="0" borderId="121" xfId="0" applyFont="1" applyFill="1" applyBorder="1" applyAlignment="1">
      <alignment horizontal="center" vertical="center" shrinkToFit="1"/>
    </xf>
    <xf numFmtId="164" fontId="5" fillId="0" borderId="75" xfId="0" applyNumberFormat="1" applyFont="1" applyFill="1" applyBorder="1" applyAlignment="1">
      <alignment horizontal="center" vertical="center"/>
    </xf>
    <xf numFmtId="1" fontId="48" fillId="13" borderId="122" xfId="0" applyNumberFormat="1" applyFont="1" applyFill="1" applyBorder="1" applyAlignment="1">
      <alignment horizontal="center" vertical="center"/>
    </xf>
    <xf numFmtId="1" fontId="5" fillId="0" borderId="46" xfId="0" applyNumberFormat="1" applyFont="1" applyBorder="1" applyAlignment="1">
      <alignment horizontal="center" vertical="center"/>
    </xf>
    <xf numFmtId="0" fontId="5" fillId="0" borderId="123" xfId="0" applyFont="1" applyBorder="1"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2" fillId="0" borderId="118" xfId="0" quotePrefix="1" applyFont="1" applyFill="1" applyBorder="1" applyAlignment="1">
      <alignment horizontal="center" vertical="center" wrapText="1"/>
    </xf>
    <xf numFmtId="0" fontId="2" fillId="22" borderId="118" xfId="2" applyNumberFormat="1" applyFont="1" applyFill="1" applyBorder="1" applyAlignment="1">
      <alignment horizontal="center" vertical="center"/>
    </xf>
    <xf numFmtId="49" fontId="2" fillId="0" borderId="118" xfId="2" applyNumberFormat="1" applyFont="1" applyFill="1" applyBorder="1" applyAlignment="1">
      <alignment horizontal="center" vertical="center"/>
    </xf>
    <xf numFmtId="0" fontId="2" fillId="0" borderId="118" xfId="0" applyFont="1" applyFill="1" applyBorder="1" applyAlignment="1">
      <alignment horizontal="center" vertical="center" shrinkToFit="1"/>
    </xf>
    <xf numFmtId="164" fontId="2" fillId="0" borderId="118" xfId="0" applyNumberFormat="1" applyFont="1" applyFill="1" applyBorder="1" applyAlignment="1">
      <alignment horizontal="center" vertical="center"/>
    </xf>
    <xf numFmtId="164" fontId="5" fillId="0" borderId="124" xfId="0" applyNumberFormat="1" applyFont="1" applyFill="1" applyBorder="1" applyAlignment="1">
      <alignment horizontal="center" vertical="center"/>
    </xf>
    <xf numFmtId="1" fontId="48" fillId="13" borderId="125"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0" fontId="5" fillId="0" borderId="43"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5" fillId="0" borderId="80" xfId="0" quotePrefix="1" applyFont="1" applyBorder="1" applyAlignment="1">
      <alignment horizontal="center" vertical="center" wrapText="1"/>
    </xf>
    <xf numFmtId="0" fontId="5" fillId="22" borderId="80" xfId="2" applyNumberFormat="1" applyFont="1" applyFill="1" applyBorder="1" applyAlignment="1">
      <alignment horizontal="center" vertical="center"/>
    </xf>
    <xf numFmtId="49" fontId="2" fillId="0" borderId="80" xfId="2" applyNumberFormat="1" applyFont="1" applyBorder="1" applyAlignment="1">
      <alignment horizontal="center" vertical="center"/>
    </xf>
    <xf numFmtId="0" fontId="2" fillId="0" borderId="80" xfId="0" applyFont="1" applyBorder="1" applyAlignment="1">
      <alignment horizontal="center" vertical="center" shrinkToFit="1"/>
    </xf>
    <xf numFmtId="164" fontId="2" fillId="0" borderId="81" xfId="0" applyNumberFormat="1" applyFont="1" applyFill="1" applyBorder="1" applyAlignment="1">
      <alignment horizontal="center" vertical="center"/>
    </xf>
    <xf numFmtId="1" fontId="48" fillId="13" borderId="126" xfId="0" applyNumberFormat="1" applyFont="1" applyFill="1" applyBorder="1" applyAlignment="1">
      <alignment horizontal="center" vertical="center"/>
    </xf>
    <xf numFmtId="1" fontId="2" fillId="0" borderId="44" xfId="0" applyNumberFormat="1" applyFont="1" applyBorder="1" applyAlignment="1">
      <alignment horizontal="center" vertical="center"/>
    </xf>
    <xf numFmtId="0" fontId="4" fillId="0" borderId="45" xfId="0" applyFont="1" applyBorder="1" applyAlignment="1">
      <alignment horizontal="center" vertical="center"/>
    </xf>
    <xf numFmtId="1" fontId="7" fillId="0" borderId="70" xfId="0" applyNumberFormat="1" applyFont="1" applyFill="1" applyBorder="1" applyAlignment="1">
      <alignment horizontal="centerContinuous" vertical="center"/>
    </xf>
    <xf numFmtId="0" fontId="2" fillId="0" borderId="71" xfId="0" applyFont="1" applyFill="1" applyBorder="1" applyAlignment="1">
      <alignment horizontal="centerContinuous" vertical="center"/>
    </xf>
    <xf numFmtId="49" fontId="7" fillId="0" borderId="30" xfId="0" applyNumberFormat="1"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7">
    <dxf>
      <fill>
        <patternFill>
          <bgColor rgb="FFFF0000"/>
        </patternFill>
      </fill>
    </dxf>
    <dxf>
      <font>
        <color rgb="FFFF0000"/>
      </font>
    </dxf>
    <dxf>
      <fill>
        <patternFill>
          <bgColor rgb="FF99FF99"/>
        </patternFill>
      </fill>
    </dxf>
    <dxf>
      <font>
        <b/>
        <i val="0"/>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CCFFCC"/>
      <color rgb="FF00FF00"/>
      <color rgb="FF9966FF"/>
      <color rgb="FFFF00FF"/>
      <color rgb="FF66FF33"/>
      <color rgb="FF0000FF"/>
      <color rgb="FF66FF66"/>
      <color rgb="FF00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47</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a:t>
          </a:r>
          <a:r>
            <a:rPr lang="en-US" sz="1200">
              <a:effectLst/>
              <a:latin typeface="Times New Roman" panose="02020603050405020304" pitchFamily="18" charset="0"/>
              <a:ea typeface="+mn-ea"/>
              <a:cs typeface="Times New Roman" panose="02020603050405020304" pitchFamily="18" charset="0"/>
            </a:rPr>
            <a:t>  Short, stylish, raven hair, sideburns and ‘stache.  Dark grey eyes.  Slender, sharp features and angles.  Tends toward cool, flowy clothing styles, with skirts, sashes, and scarves.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 Born to a half-elf adventurer woman and a human smithmaster, his parents were “killed by bandits” when Luran was very young.  (True or not, this is the story he was told, later.) He was adopted and raised by his human uncle, a bard in Darramor.  During his youth, Luran came to appreciate music and its impact on people and their lives.  He came to see music as a divine force, a benevolent, creative energy that runs through all of the multiverse.  In dreams and visions, he is inspired to identify the Triad (Tyr, Torm, and Ilmater) as an important manifestation of Good in his world, in large part due to their position as gods of action, not merely philosophy or ideals.  He takes on the goal of composing an ultimate symphony, encompassing the Triad’s theology and his own ideology of Musica Beneva.  He joined the College Fochluchan to further this goal.  He has been active and ambitious in this body, raising as he may through its ranks.  His travels and duties eventually brought him back near his old stomping grounds, where he began to establish himself as an astrologer (seeking the true Music of the Spheres), adventurer and all around influence for good to those who come to know him.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His lucky and the support of others that Luran has enjoyed his entire life (due to his charismatic character) have brought out within him an overflowing optimism that rarely, if ever, is diminished by hardship or obstacle.  He is sometimes foolishly hopeful for what the future will bring, smiling and looking forward in even the darkest of moments.</a:t>
          </a:r>
        </a:p>
        <a:p>
          <a:pPr algn="just"/>
          <a:endParaRPr lang="en-US" sz="1200">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Background: </a:t>
          </a:r>
          <a:r>
            <a:rPr lang="en-US" sz="1200">
              <a:effectLst/>
              <a:latin typeface="Times New Roman" panose="02020603050405020304" pitchFamily="18" charset="0"/>
              <a:ea typeface="+mn-ea"/>
              <a:cs typeface="Times New Roman" panose="02020603050405020304" pitchFamily="18" charset="0"/>
            </a:rPr>
            <a:t>Entertainer - raised by his uncle in the bardic arts and performance from an early age, Luran has known the appreciative eyes and ears of audiences from early on.  His inborn talent and love of bringing joy and healthy tears to others brought him much success in these endeavors.  </a:t>
          </a:r>
        </a:p>
        <a:p>
          <a:r>
            <a:rPr lang="en-US" sz="1200">
              <a:effectLst/>
              <a:latin typeface="Times New Roman" panose="02020603050405020304" pitchFamily="18" charset="0"/>
              <a:ea typeface="+mn-ea"/>
              <a:cs typeface="Times New Roman" panose="02020603050405020304" pitchFamily="18" charset="0"/>
            </a:rPr>
            <a:t> </a:t>
          </a: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Counselor - Luran enjoys few things more than being caring support for those around him.  If a day passes and he was able to help someone through difficulty or just the drudgery of their regular, workday, he counts it a success.  He is able to do this through multiple avenues, from his soothing/inspiring music, to his understanding of the starry heavens and their influence on individuals on the ground, to just being a sympathetic ear and shoulder to lean on.  Possibly a little co-dependent, he just wants to be there for the people around him and the family and friends he holds dear.</a:t>
          </a:r>
        </a:p>
        <a:p>
          <a:r>
            <a:rPr lang="en-US" sz="1200">
              <a:effectLst/>
              <a:latin typeface="Times New Roman" panose="02020603050405020304" pitchFamily="18" charset="0"/>
              <a:ea typeface="+mn-ea"/>
              <a:cs typeface="Times New Roman" panose="02020603050405020304" pitchFamily="18" charset="0"/>
            </a:rPr>
            <a:t> </a:t>
          </a:r>
        </a:p>
        <a:p>
          <a:r>
            <a:rPr lang="en-US" sz="1200" b="1">
              <a:effectLst/>
              <a:latin typeface="Times New Roman" panose="02020603050405020304" pitchFamily="18" charset="0"/>
              <a:ea typeface="+mn-ea"/>
              <a:cs typeface="Times New Roman" panose="02020603050405020304" pitchFamily="18" charset="0"/>
            </a:rPr>
            <a:t>Affiliations: </a:t>
          </a:r>
          <a:r>
            <a:rPr lang="en-US" sz="1200">
              <a:effectLst/>
              <a:latin typeface="Times New Roman" panose="02020603050405020304" pitchFamily="18" charset="0"/>
              <a:ea typeface="+mn-ea"/>
              <a:cs typeface="Times New Roman" panose="02020603050405020304" pitchFamily="18" charset="0"/>
            </a:rPr>
            <a:t>Currently associated with the Fochlucan College of Bardic Arts and the church of Tyr by way of the theologies of the Triad.  His ties to the bard college keep him connected to musical culture’s shifts and innovations as he continues his personal goal of composing his opus, an elucidation of music as the prime, beneficial, creative force, come to manifest in the material through the actions of the three deities, Tyr, Torm, and Ilmater.</a:t>
          </a:r>
        </a:p>
      </xdr:txBody>
    </xdr:sp>
    <xdr:clientData/>
  </xdr:twoCellAnchor>
  <xdr:twoCellAnchor>
    <xdr:from>
      <xdr:col>5</xdr:col>
      <xdr:colOff>66675</xdr:colOff>
      <xdr:row>14</xdr:row>
      <xdr:rowOff>175260</xdr:rowOff>
    </xdr:from>
    <xdr:to>
      <xdr:col>6</xdr:col>
      <xdr:colOff>1074420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143375" y="3147060"/>
          <a:ext cx="215074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60961</xdr:colOff>
      <xdr:row>1</xdr:row>
      <xdr:rowOff>91690</xdr:rowOff>
    </xdr:from>
    <xdr:to>
      <xdr:col>6</xdr:col>
      <xdr:colOff>1093483</xdr:colOff>
      <xdr:row>13</xdr:row>
      <xdr:rowOff>60959</xdr:rowOff>
    </xdr:to>
    <xdr:pic>
      <xdr:nvPicPr>
        <xdr:cNvPr id="3" name="Picture 2">
          <a:extLst>
            <a:ext uri="{FF2B5EF4-FFF2-40B4-BE49-F238E27FC236}">
              <a16:creationId xmlns:a16="http://schemas.microsoft.com/office/drawing/2014/main" id="{9E6B8C7F-E5FB-440B-B9DA-D3AE6DDE88FE}"/>
            </a:ext>
          </a:extLst>
        </xdr:cNvPr>
        <xdr:cNvPicPr>
          <a:picLocks noChangeAspect="1"/>
        </xdr:cNvPicPr>
      </xdr:nvPicPr>
      <xdr:blipFill>
        <a:blip xmlns:r="http://schemas.openxmlformats.org/officeDocument/2006/relationships" r:embed="rId1"/>
        <a:stretch>
          <a:fillRect/>
        </a:stretch>
      </xdr:blipFill>
      <xdr:spPr>
        <a:xfrm>
          <a:off x="4137661" y="465070"/>
          <a:ext cx="2175522" cy="2567689"/>
        </a:xfrm>
        <a:prstGeom prst="rect">
          <a:avLst/>
        </a:prstGeom>
        <a:ln w="47625" cmpd="dbl">
          <a:solidFill>
            <a:srgbClr val="00FF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123825</xdr:colOff>
      <xdr:row>1</xdr:row>
      <xdr:rowOff>123825</xdr:rowOff>
    </xdr:from>
    <xdr:to>
      <xdr:col>4</xdr:col>
      <xdr:colOff>337185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ckham.carl@gmai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showGridLines="0" tabSelected="1" zoomScaleNormal="100" workbookViewId="0"/>
  </sheetViews>
  <sheetFormatPr defaultColWidth="13" defaultRowHeight="15.6"/>
  <cols>
    <col min="1" max="1" width="13.796875" style="59" customWidth="1"/>
    <col min="2" max="2" width="10" style="60" customWidth="1"/>
    <col min="3" max="3" width="5.09765625" style="60" customWidth="1"/>
    <col min="4" max="4" width="13.69921875" style="59" bestFit="1" customWidth="1"/>
    <col min="5" max="5" width="10.8984375" style="60" bestFit="1" customWidth="1"/>
    <col min="6" max="6" width="15" style="59" customWidth="1"/>
    <col min="7" max="7" width="15" style="60" customWidth="1"/>
    <col min="8" max="16384" width="13" style="17"/>
  </cols>
  <sheetData>
    <row r="1" spans="1:7" ht="29.4" thickTop="1" thickBot="1">
      <c r="A1" s="368" t="s">
        <v>188</v>
      </c>
      <c r="B1" s="13" t="s">
        <v>190</v>
      </c>
      <c r="C1" s="14"/>
      <c r="D1" s="15"/>
      <c r="E1" s="423"/>
      <c r="F1" s="15"/>
      <c r="G1" s="16" t="s">
        <v>191</v>
      </c>
    </row>
    <row r="2" spans="1:7" ht="17.399999999999999" thickTop="1">
      <c r="A2" s="18" t="s">
        <v>164</v>
      </c>
      <c r="B2" s="19" t="s">
        <v>195</v>
      </c>
      <c r="C2" s="19"/>
      <c r="D2" s="20" t="s">
        <v>166</v>
      </c>
      <c r="E2" s="21" t="s">
        <v>189</v>
      </c>
      <c r="F2" s="22"/>
      <c r="G2" s="23"/>
    </row>
    <row r="3" spans="1:7" ht="16.8">
      <c r="A3" s="18" t="s">
        <v>165</v>
      </c>
      <c r="B3" s="19" t="s">
        <v>124</v>
      </c>
      <c r="C3" s="19"/>
      <c r="D3" s="20" t="s">
        <v>0</v>
      </c>
      <c r="E3" s="21">
        <v>6</v>
      </c>
      <c r="F3" s="20"/>
      <c r="G3" s="23"/>
    </row>
    <row r="4" spans="1:7" ht="16.8">
      <c r="A4" s="18" t="s">
        <v>165</v>
      </c>
      <c r="B4" s="467" t="s">
        <v>290</v>
      </c>
      <c r="C4" s="467"/>
      <c r="D4" s="20" t="s">
        <v>0</v>
      </c>
      <c r="E4" s="21">
        <v>1</v>
      </c>
      <c r="F4" s="20"/>
      <c r="G4" s="23"/>
    </row>
    <row r="5" spans="1:7" ht="16.8">
      <c r="A5" s="18" t="s">
        <v>178</v>
      </c>
      <c r="B5" s="19" t="s">
        <v>196</v>
      </c>
      <c r="C5" s="19"/>
      <c r="D5" s="20" t="s">
        <v>167</v>
      </c>
      <c r="E5" s="21">
        <v>33</v>
      </c>
      <c r="F5" s="20"/>
      <c r="G5" s="23"/>
    </row>
    <row r="6" spans="1:7" ht="16.8">
      <c r="A6" s="18" t="s">
        <v>177</v>
      </c>
      <c r="B6" s="19" t="s">
        <v>203</v>
      </c>
      <c r="C6" s="19"/>
      <c r="D6" s="20" t="s">
        <v>179</v>
      </c>
      <c r="E6" s="21" t="s">
        <v>192</v>
      </c>
      <c r="F6" s="20"/>
      <c r="G6" s="23"/>
    </row>
    <row r="7" spans="1:7" ht="17.399999999999999" thickBot="1">
      <c r="A7" s="18" t="s">
        <v>168</v>
      </c>
      <c r="B7" s="458" t="s">
        <v>194</v>
      </c>
      <c r="C7" s="19"/>
      <c r="D7" s="20" t="s">
        <v>180</v>
      </c>
      <c r="E7" s="21" t="s">
        <v>193</v>
      </c>
      <c r="F7" s="20"/>
      <c r="G7" s="23"/>
    </row>
    <row r="8" spans="1:7" ht="17.399999999999999" thickTop="1">
      <c r="A8" s="24" t="s">
        <v>182</v>
      </c>
      <c r="B8" s="536">
        <f>4+2</f>
        <v>6</v>
      </c>
      <c r="C8" s="537"/>
      <c r="D8" s="25" t="s">
        <v>83</v>
      </c>
      <c r="E8" s="26" t="s">
        <v>117</v>
      </c>
      <c r="F8" s="27"/>
      <c r="G8" s="23"/>
    </row>
    <row r="9" spans="1:7" ht="17.399999999999999" thickBot="1">
      <c r="A9" s="309" t="s">
        <v>181</v>
      </c>
      <c r="B9" s="332" t="str">
        <f>C11</f>
        <v>+1</v>
      </c>
      <c r="C9" s="333"/>
      <c r="D9" s="339" t="s">
        <v>235</v>
      </c>
      <c r="E9" s="388">
        <v>28780</v>
      </c>
      <c r="F9" s="27"/>
      <c r="G9" s="23"/>
    </row>
    <row r="10" spans="1:7" ht="17.399999999999999" thickTop="1">
      <c r="A10" s="28" t="s">
        <v>169</v>
      </c>
      <c r="B10" s="326">
        <f>9</f>
        <v>9</v>
      </c>
      <c r="C10" s="29">
        <f t="shared" ref="C10:C13" si="0">IF(B10&gt;9.9,CONCATENATE("+",ROUNDDOWN((B10-10)/2,0)),ROUNDUP((B10-10)/2,0))</f>
        <v>-1</v>
      </c>
      <c r="D10" s="30" t="s">
        <v>183</v>
      </c>
      <c r="E10" s="343" t="s">
        <v>202</v>
      </c>
      <c r="F10" s="27"/>
      <c r="G10" s="23"/>
    </row>
    <row r="11" spans="1:7" ht="16.8">
      <c r="A11" s="31" t="s">
        <v>170</v>
      </c>
      <c r="B11" s="36">
        <f>12</f>
        <v>12</v>
      </c>
      <c r="C11" s="32" t="str">
        <f t="shared" si="0"/>
        <v>+1</v>
      </c>
      <c r="D11" s="33" t="s">
        <v>184</v>
      </c>
      <c r="E11" s="34">
        <f>SUM(Martial!G3:G17)+SUM(Equipment!C3:C14)</f>
        <v>28.5</v>
      </c>
      <c r="F11" s="27"/>
      <c r="G11" s="23"/>
    </row>
    <row r="12" spans="1:7" ht="16.8">
      <c r="A12" s="35" t="s">
        <v>171</v>
      </c>
      <c r="B12" s="36">
        <f>12</f>
        <v>12</v>
      </c>
      <c r="C12" s="37" t="str">
        <f t="shared" si="0"/>
        <v>+1</v>
      </c>
      <c r="D12" s="33" t="s">
        <v>185</v>
      </c>
      <c r="E12" s="468">
        <f>ROUNDUP(((E3*8)*0.75)+((E4*6)*0.75)+((E3+E4)*C12),0)</f>
        <v>48</v>
      </c>
      <c r="F12" s="27"/>
      <c r="G12" s="23"/>
    </row>
    <row r="13" spans="1:7" ht="16.8">
      <c r="A13" s="38" t="s">
        <v>172</v>
      </c>
      <c r="B13" s="36">
        <f>13</f>
        <v>13</v>
      </c>
      <c r="C13" s="32" t="str">
        <f t="shared" si="0"/>
        <v>+1</v>
      </c>
      <c r="D13" s="39" t="s">
        <v>186</v>
      </c>
      <c r="E13" s="538">
        <f>10+C11</f>
        <v>11</v>
      </c>
      <c r="F13" s="18"/>
      <c r="G13" s="23"/>
    </row>
    <row r="14" spans="1:7" ht="16.8">
      <c r="A14" s="41" t="s">
        <v>173</v>
      </c>
      <c r="B14" s="42">
        <f>8</f>
        <v>8</v>
      </c>
      <c r="C14" s="29">
        <f t="shared" ref="C14:C15" si="1">IF(B14&gt;9.9,CONCATENATE("+",ROUNDDOWN((B14-10)/2,0)),ROUNDUP((B14-10)/2,0))</f>
        <v>-1</v>
      </c>
      <c r="D14" s="39" t="s">
        <v>187</v>
      </c>
      <c r="E14" s="40">
        <f>E15-C11</f>
        <v>16</v>
      </c>
      <c r="F14" s="27"/>
      <c r="G14" s="23"/>
    </row>
    <row r="15" spans="1:7" ht="17.399999999999999" thickBot="1">
      <c r="A15" s="43" t="s">
        <v>174</v>
      </c>
      <c r="B15" s="420">
        <f>18+2</f>
        <v>20</v>
      </c>
      <c r="C15" s="310" t="str">
        <f t="shared" si="1"/>
        <v>+5</v>
      </c>
      <c r="D15" s="44" t="s">
        <v>175</v>
      </c>
      <c r="E15" s="45">
        <f>E13+SUM(Martial!B13:B14)</f>
        <v>17</v>
      </c>
      <c r="F15" s="27"/>
      <c r="G15" s="23"/>
    </row>
    <row r="16" spans="1:7" ht="24" thickTop="1" thickBot="1">
      <c r="A16" s="46" t="s">
        <v>18</v>
      </c>
      <c r="B16" s="47"/>
      <c r="C16" s="47"/>
      <c r="D16" s="48"/>
      <c r="E16" s="331"/>
      <c r="F16" s="48"/>
      <c r="G16" s="49"/>
    </row>
    <row r="17" spans="1:7" s="12" customFormat="1" ht="17.399999999999999" thickTop="1">
      <c r="A17" s="50"/>
      <c r="B17" s="51"/>
      <c r="C17" s="51"/>
      <c r="D17" s="51"/>
      <c r="E17" s="51"/>
      <c r="F17" s="51"/>
      <c r="G17" s="52"/>
    </row>
    <row r="18" spans="1:7" s="12" customFormat="1" ht="16.8">
      <c r="A18" s="53"/>
      <c r="B18" s="54"/>
      <c r="C18" s="54"/>
      <c r="D18" s="54"/>
      <c r="E18" s="54"/>
      <c r="F18" s="54"/>
      <c r="G18" s="55"/>
    </row>
    <row r="19" spans="1:7" s="12" customFormat="1" ht="16.8">
      <c r="A19" s="53"/>
      <c r="B19" s="54"/>
      <c r="C19" s="54"/>
      <c r="D19" s="54"/>
      <c r="E19" s="54"/>
      <c r="F19" s="54"/>
      <c r="G19" s="55"/>
    </row>
    <row r="20" spans="1:7" s="12" customFormat="1" ht="16.8">
      <c r="A20" s="53"/>
      <c r="B20" s="54"/>
      <c r="C20" s="54"/>
      <c r="D20" s="54"/>
      <c r="E20" s="54"/>
      <c r="F20" s="54"/>
      <c r="G20" s="55"/>
    </row>
    <row r="21" spans="1:7" s="12" customFormat="1" ht="16.8">
      <c r="A21" s="53"/>
      <c r="B21" s="54"/>
      <c r="C21" s="54"/>
      <c r="D21" s="54"/>
      <c r="E21" s="54"/>
      <c r="F21" s="54"/>
      <c r="G21" s="55"/>
    </row>
    <row r="22" spans="1:7" s="12" customFormat="1" ht="16.8">
      <c r="A22" s="53"/>
      <c r="B22" s="54"/>
      <c r="C22" s="54"/>
      <c r="D22" s="54"/>
      <c r="E22" s="54"/>
      <c r="F22" s="54"/>
      <c r="G22" s="55"/>
    </row>
    <row r="23" spans="1:7" s="12" customFormat="1" ht="16.8">
      <c r="A23" s="53"/>
      <c r="B23" s="54"/>
      <c r="C23" s="54"/>
      <c r="D23" s="54"/>
      <c r="E23" s="54"/>
      <c r="F23" s="54"/>
      <c r="G23" s="55"/>
    </row>
    <row r="24" spans="1:7" s="12" customFormat="1" ht="16.8">
      <c r="A24" s="53"/>
      <c r="B24" s="54"/>
      <c r="C24" s="54"/>
      <c r="D24" s="54"/>
      <c r="E24" s="54"/>
      <c r="F24" s="54"/>
      <c r="G24" s="55"/>
    </row>
    <row r="25" spans="1:7" s="12" customFormat="1" ht="16.8">
      <c r="A25" s="53"/>
      <c r="B25" s="54"/>
      <c r="C25" s="54"/>
      <c r="D25" s="54"/>
      <c r="E25" s="54"/>
      <c r="F25" s="54"/>
      <c r="G25" s="55"/>
    </row>
    <row r="26" spans="1:7" s="12" customFormat="1" ht="16.8">
      <c r="A26" s="53"/>
      <c r="B26" s="54"/>
      <c r="C26" s="54"/>
      <c r="D26" s="54"/>
      <c r="E26" s="54"/>
      <c r="F26" s="54"/>
      <c r="G26" s="55"/>
    </row>
    <row r="27" spans="1:7" s="12" customFormat="1" ht="16.8">
      <c r="A27" s="53"/>
      <c r="B27" s="54"/>
      <c r="C27" s="54"/>
      <c r="D27" s="54"/>
      <c r="E27" s="54"/>
      <c r="F27" s="54"/>
      <c r="G27" s="55"/>
    </row>
    <row r="28" spans="1:7" s="12" customFormat="1" ht="16.8">
      <c r="A28" s="53"/>
      <c r="B28" s="54"/>
      <c r="C28" s="54"/>
      <c r="D28" s="54"/>
      <c r="E28" s="54"/>
      <c r="F28" s="54"/>
      <c r="G28" s="55"/>
    </row>
    <row r="29" spans="1:7" s="12" customFormat="1" ht="16.8">
      <c r="A29" s="53"/>
      <c r="B29" s="54"/>
      <c r="C29" s="54"/>
      <c r="D29" s="54"/>
      <c r="E29" s="54"/>
      <c r="F29" s="54"/>
      <c r="G29" s="55"/>
    </row>
    <row r="30" spans="1:7" s="12" customFormat="1" ht="16.8">
      <c r="A30" s="53"/>
      <c r="B30" s="54"/>
      <c r="C30" s="54"/>
      <c r="D30" s="54"/>
      <c r="E30" s="54"/>
      <c r="F30" s="54"/>
      <c r="G30" s="55"/>
    </row>
    <row r="31" spans="1:7" s="12" customFormat="1" ht="16.8">
      <c r="A31" s="53"/>
      <c r="B31" s="54"/>
      <c r="C31" s="54"/>
      <c r="D31" s="54"/>
      <c r="E31" s="54"/>
      <c r="F31" s="54"/>
      <c r="G31" s="55"/>
    </row>
    <row r="32" spans="1:7" s="12" customFormat="1" ht="16.8">
      <c r="A32" s="53"/>
      <c r="B32" s="54"/>
      <c r="C32" s="54"/>
      <c r="D32" s="54"/>
      <c r="E32" s="54"/>
      <c r="F32" s="54"/>
      <c r="G32" s="55"/>
    </row>
    <row r="33" spans="1:7" s="12" customFormat="1" ht="16.8">
      <c r="A33" s="53"/>
      <c r="B33" s="54"/>
      <c r="C33" s="54"/>
      <c r="D33" s="54"/>
      <c r="E33" s="54"/>
      <c r="F33" s="54"/>
      <c r="G33" s="55"/>
    </row>
    <row r="34" spans="1:7" s="12" customFormat="1" ht="16.8">
      <c r="A34" s="53"/>
      <c r="B34" s="54"/>
      <c r="C34" s="54"/>
      <c r="D34" s="54"/>
      <c r="E34" s="54"/>
      <c r="F34" s="54"/>
      <c r="G34" s="55"/>
    </row>
    <row r="35" spans="1:7" s="12" customFormat="1" ht="16.8">
      <c r="A35" s="53"/>
      <c r="B35" s="54"/>
      <c r="C35" s="54"/>
      <c r="D35" s="54"/>
      <c r="E35" s="54"/>
      <c r="F35" s="54"/>
      <c r="G35" s="55"/>
    </row>
    <row r="36" spans="1:7" s="12" customFormat="1" ht="16.8">
      <c r="A36" s="53"/>
      <c r="B36" s="54"/>
      <c r="C36" s="54"/>
      <c r="D36" s="54"/>
      <c r="E36" s="54"/>
      <c r="F36" s="54"/>
      <c r="G36" s="55"/>
    </row>
    <row r="37" spans="1:7" s="12" customFormat="1" ht="16.8">
      <c r="A37" s="53"/>
      <c r="B37" s="54"/>
      <c r="C37" s="54"/>
      <c r="D37" s="54"/>
      <c r="E37" s="54"/>
      <c r="F37" s="54"/>
      <c r="G37" s="55"/>
    </row>
    <row r="38" spans="1:7" s="12" customFormat="1" ht="16.8">
      <c r="A38" s="53"/>
      <c r="B38" s="54"/>
      <c r="C38" s="54"/>
      <c r="D38" s="54"/>
      <c r="E38" s="54"/>
      <c r="F38" s="54"/>
      <c r="G38" s="55"/>
    </row>
    <row r="39" spans="1:7" s="12" customFormat="1" ht="16.8">
      <c r="A39" s="53"/>
      <c r="B39" s="54"/>
      <c r="C39" s="54"/>
      <c r="D39" s="54"/>
      <c r="E39" s="54"/>
      <c r="F39" s="54"/>
      <c r="G39" s="55"/>
    </row>
    <row r="40" spans="1:7" s="12" customFormat="1" ht="16.8">
      <c r="A40" s="53"/>
      <c r="B40" s="54"/>
      <c r="C40" s="54"/>
      <c r="D40" s="54"/>
      <c r="E40" s="54"/>
      <c r="F40" s="54"/>
      <c r="G40" s="55"/>
    </row>
    <row r="41" spans="1:7" s="12" customFormat="1" ht="16.8">
      <c r="A41" s="53"/>
      <c r="B41" s="54"/>
      <c r="C41" s="54"/>
      <c r="D41" s="54"/>
      <c r="E41" s="54"/>
      <c r="F41" s="54"/>
      <c r="G41" s="55"/>
    </row>
    <row r="42" spans="1:7" s="12" customFormat="1" ht="16.8">
      <c r="A42" s="53"/>
      <c r="B42" s="54"/>
      <c r="C42" s="54"/>
      <c r="D42" s="54"/>
      <c r="E42" s="54"/>
      <c r="F42" s="54"/>
      <c r="G42" s="55"/>
    </row>
    <row r="43" spans="1:7" s="12" customFormat="1" ht="16.8">
      <c r="A43" s="53"/>
      <c r="B43" s="54"/>
      <c r="C43" s="54"/>
      <c r="D43" s="54"/>
      <c r="E43" s="54"/>
      <c r="F43" s="54"/>
      <c r="G43" s="55"/>
    </row>
    <row r="44" spans="1:7" s="12" customFormat="1" ht="16.8">
      <c r="A44" s="53"/>
      <c r="B44" s="54"/>
      <c r="C44" s="54"/>
      <c r="D44" s="54"/>
      <c r="E44" s="54"/>
      <c r="F44" s="54"/>
      <c r="G44" s="55"/>
    </row>
    <row r="45" spans="1:7" s="12" customFormat="1" ht="16.8">
      <c r="A45" s="53"/>
      <c r="B45" s="54"/>
      <c r="C45" s="54"/>
      <c r="D45" s="54"/>
      <c r="E45" s="54"/>
      <c r="F45" s="54"/>
      <c r="G45" s="55"/>
    </row>
    <row r="46" spans="1:7" s="12" customFormat="1" ht="16.8">
      <c r="A46" s="53"/>
      <c r="B46" s="54"/>
      <c r="C46" s="54"/>
      <c r="D46" s="54"/>
      <c r="E46" s="54"/>
      <c r="F46" s="54"/>
      <c r="G46" s="55"/>
    </row>
    <row r="47" spans="1:7" s="12" customFormat="1" ht="16.8">
      <c r="A47" s="53"/>
      <c r="B47" s="54"/>
      <c r="C47" s="54"/>
      <c r="D47" s="54"/>
      <c r="E47" s="54"/>
      <c r="F47" s="54"/>
      <c r="G47" s="55"/>
    </row>
    <row r="48" spans="1:7" ht="17.399999999999999" thickBot="1">
      <c r="A48" s="56"/>
      <c r="B48" s="57"/>
      <c r="C48" s="57"/>
      <c r="D48" s="57"/>
      <c r="E48" s="57"/>
      <c r="F48" s="57"/>
      <c r="G48" s="58"/>
    </row>
    <row r="49" ht="16.2" thickTop="1"/>
  </sheetData>
  <phoneticPr fontId="0" type="noConversion"/>
  <conditionalFormatting sqref="E11">
    <cfRule type="cellIs" dxfId="16" priority="4" stopIfTrue="1" operator="greaterThan">
      <formula>60</formula>
    </cfRule>
    <cfRule type="cellIs" dxfId="15" priority="5" stopIfTrue="1" operator="between">
      <formula>30</formula>
      <formula>60</formula>
    </cfRule>
  </conditionalFormatting>
  <hyperlinks>
    <hyperlink ref="G1" r:id="rId1" xr:uid="{240272BC-CBD1-4AF1-A384-66BAFC5045F4}"/>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workbookViewId="0">
      <pane ySplit="2" topLeftCell="A3" activePane="bottomLeft" state="frozen"/>
      <selection pane="bottomLeft" activeCell="A3" sqref="A3"/>
    </sheetView>
  </sheetViews>
  <sheetFormatPr defaultColWidth="13" defaultRowHeight="15.6"/>
  <cols>
    <col min="1" max="1" width="22.69921875" style="59" bestFit="1" customWidth="1"/>
    <col min="2" max="2" width="5.8984375" style="59" bestFit="1" customWidth="1"/>
    <col min="3" max="3" width="7.09765625" style="60" hidden="1" customWidth="1"/>
    <col min="4" max="4" width="5.796875" style="60" hidden="1" customWidth="1"/>
    <col min="5" max="5" width="9.19921875" style="60" bestFit="1" customWidth="1"/>
    <col min="6" max="6" width="6.69921875" style="60" bestFit="1" customWidth="1"/>
    <col min="7" max="7" width="5.8984375" style="140" bestFit="1" customWidth="1"/>
    <col min="8" max="8" width="4.69921875" style="140" bestFit="1" customWidth="1"/>
    <col min="9" max="9" width="6.8984375" style="140" bestFit="1" customWidth="1"/>
    <col min="10" max="10" width="17" style="59" customWidth="1"/>
    <col min="11" max="16384" width="13" style="17"/>
  </cols>
  <sheetData>
    <row r="1" spans="1:10" ht="23.4" thickBot="1">
      <c r="A1" s="61" t="s">
        <v>7</v>
      </c>
      <c r="B1" s="62"/>
      <c r="C1" s="62"/>
      <c r="D1" s="62"/>
      <c r="E1" s="62"/>
      <c r="F1" s="62"/>
      <c r="G1" s="63"/>
      <c r="H1" s="63"/>
      <c r="I1" s="63"/>
      <c r="J1" s="62"/>
    </row>
    <row r="2" spans="1:10" s="12" customFormat="1" ht="34.200000000000003" thickBot="1">
      <c r="A2" s="5" t="s">
        <v>115</v>
      </c>
      <c r="B2" s="6" t="s">
        <v>23</v>
      </c>
      <c r="C2" s="6" t="s">
        <v>30</v>
      </c>
      <c r="D2" s="6" t="s">
        <v>22</v>
      </c>
      <c r="E2" s="7" t="s">
        <v>55</v>
      </c>
      <c r="F2" s="7" t="s">
        <v>31</v>
      </c>
      <c r="G2" s="8" t="s">
        <v>57</v>
      </c>
      <c r="H2" s="9" t="s">
        <v>114</v>
      </c>
      <c r="I2" s="10" t="s">
        <v>81</v>
      </c>
      <c r="J2" s="11" t="s">
        <v>79</v>
      </c>
    </row>
    <row r="3" spans="1:10" s="12" customFormat="1" ht="16.8">
      <c r="A3" s="64" t="s">
        <v>60</v>
      </c>
      <c r="B3" s="65">
        <f>2+0</f>
        <v>2</v>
      </c>
      <c r="C3" s="66" t="s">
        <v>25</v>
      </c>
      <c r="D3" s="66" t="str">
        <f>IF(C3="Str",'Personal File'!$C$10,IF(C3="Dex",'Personal File'!$C$11,IF(C3="Con",'Personal File'!$C$12,IF(C3="Int",'Personal File'!$C$13,IF(C3="Wis",'Personal File'!$C$14,IF(C3="Cha",'Personal File'!$C$15))))))</f>
        <v>+1</v>
      </c>
      <c r="E3" s="67" t="str">
        <f t="shared" ref="E3:E5" si="0">CONCATENATE(C3," (",D3,")")</f>
        <v>Con (+1)</v>
      </c>
      <c r="F3" s="68">
        <v>0</v>
      </c>
      <c r="G3" s="69">
        <f t="shared" ref="G3:G47" si="1">B3+D3+F3</f>
        <v>3</v>
      </c>
      <c r="H3" s="70">
        <f t="shared" ref="H3:H5" ca="1" si="2">RANDBETWEEN(1,20)</f>
        <v>11</v>
      </c>
      <c r="I3" s="69">
        <f ca="1">SUM(G3:H3)</f>
        <v>14</v>
      </c>
      <c r="J3" s="71"/>
    </row>
    <row r="4" spans="1:10" s="12" customFormat="1" ht="16.8">
      <c r="A4" s="72" t="s">
        <v>61</v>
      </c>
      <c r="B4" s="65">
        <f>5+2</f>
        <v>7</v>
      </c>
      <c r="C4" s="66" t="s">
        <v>28</v>
      </c>
      <c r="D4" s="66" t="str">
        <f>IF(C4="Str",'Personal File'!$C$10,IF(C4="Dex",'Personal File'!$C$11,IF(C4="Con",'Personal File'!$C$12,IF(C4="Int",'Personal File'!$C$13,IF(C4="Wis",'Personal File'!$C$14,IF(C4="Cha",'Personal File'!$C$15))))))</f>
        <v>+1</v>
      </c>
      <c r="E4" s="73" t="str">
        <f t="shared" si="0"/>
        <v>Dex (+1)</v>
      </c>
      <c r="F4" s="68">
        <v>0</v>
      </c>
      <c r="G4" s="69">
        <f t="shared" si="1"/>
        <v>8</v>
      </c>
      <c r="H4" s="70">
        <f t="shared" ca="1" si="2"/>
        <v>9</v>
      </c>
      <c r="I4" s="69">
        <f ca="1">SUM(G4:H4)</f>
        <v>17</v>
      </c>
      <c r="J4" s="505" t="s">
        <v>304</v>
      </c>
    </row>
    <row r="5" spans="1:10" s="12" customFormat="1" ht="16.8">
      <c r="A5" s="74" t="s">
        <v>62</v>
      </c>
      <c r="B5" s="75">
        <f>5+2</f>
        <v>7</v>
      </c>
      <c r="C5" s="76" t="s">
        <v>27</v>
      </c>
      <c r="D5" s="76">
        <f>IF(C5="Str",'Personal File'!$C$10,IF(C5="Dex",'Personal File'!$C$11,IF(C5="Con",'Personal File'!$C$12,IF(C5="Int",'Personal File'!$C$13,IF(C5="Wis",'Personal File'!$C$14,IF(C5="Cha",'Personal File'!$C$15))))))</f>
        <v>-1</v>
      </c>
      <c r="E5" s="77" t="str">
        <f t="shared" si="0"/>
        <v>Wis (-1)</v>
      </c>
      <c r="F5" s="369">
        <v>2</v>
      </c>
      <c r="G5" s="78">
        <f t="shared" si="1"/>
        <v>8</v>
      </c>
      <c r="H5" s="79">
        <f t="shared" ca="1" si="2"/>
        <v>16</v>
      </c>
      <c r="I5" s="78">
        <f ca="1">SUM(G5:H5)</f>
        <v>24</v>
      </c>
      <c r="J5" s="80"/>
    </row>
    <row r="6" spans="1:10" s="88" customFormat="1" ht="16.8">
      <c r="A6" s="81" t="s">
        <v>32</v>
      </c>
      <c r="B6" s="482">
        <v>0</v>
      </c>
      <c r="C6" s="82" t="s">
        <v>26</v>
      </c>
      <c r="D6" s="83" t="str">
        <f>IF(C6="Str",'Personal File'!$C$10,IF(C6="Dex",'Personal File'!$C$11,IF(C6="Con",'Personal File'!$C$12,IF(C6="Int",'Personal File'!$C$13,IF(C6="Wis",'Personal File'!$C$14,IF(C6="Cha",'Personal File'!$C$15))))))</f>
        <v>+1</v>
      </c>
      <c r="E6" s="84" t="str">
        <f t="shared" ref="E6:E47" si="3">CONCATENATE(C6," (",D6,")")</f>
        <v>Int (+1)</v>
      </c>
      <c r="F6" s="85" t="s">
        <v>56</v>
      </c>
      <c r="G6" s="86">
        <f t="shared" si="1"/>
        <v>1</v>
      </c>
      <c r="H6" s="70">
        <f ca="1">RANDBETWEEN(1,20)</f>
        <v>5</v>
      </c>
      <c r="I6" s="86">
        <f t="shared" ref="I6:I47" ca="1" si="4">SUM(G6:H6)</f>
        <v>6</v>
      </c>
      <c r="J6" s="87"/>
    </row>
    <row r="7" spans="1:10" s="92" customFormat="1" ht="16.8">
      <c r="A7" s="89" t="s">
        <v>33</v>
      </c>
      <c r="B7" s="482">
        <v>0</v>
      </c>
      <c r="C7" s="90" t="s">
        <v>28</v>
      </c>
      <c r="D7" s="91" t="str">
        <f>IF(C7="Str",'Personal File'!$C$10,IF(C7="Dex",'Personal File'!$C$11,IF(C7="Con",'Personal File'!$C$12,IF(C7="Int",'Personal File'!$C$13,IF(C7="Wis",'Personal File'!$C$14,IF(C7="Cha",'Personal File'!$C$15))))))</f>
        <v>+1</v>
      </c>
      <c r="E7" s="73" t="str">
        <f t="shared" si="3"/>
        <v>Dex (+1)</v>
      </c>
      <c r="F7" s="85">
        <f>SUM(Martial!$D$13:$D$14)*-1</f>
        <v>0</v>
      </c>
      <c r="G7" s="86">
        <f t="shared" si="1"/>
        <v>1</v>
      </c>
      <c r="H7" s="70">
        <f t="shared" ref="H7:H46" ca="1" si="5">RANDBETWEEN(1,20)</f>
        <v>10</v>
      </c>
      <c r="I7" s="86">
        <f t="shared" ca="1" si="4"/>
        <v>11</v>
      </c>
      <c r="J7" s="87"/>
    </row>
    <row r="8" spans="1:10" s="97" customFormat="1" ht="16.8">
      <c r="A8" s="269" t="s">
        <v>34</v>
      </c>
      <c r="B8" s="483">
        <v>2</v>
      </c>
      <c r="C8" s="270" t="s">
        <v>24</v>
      </c>
      <c r="D8" s="271" t="str">
        <f>IF(C8="Str",'Personal File'!$C$10,IF(C8="Dex",'Personal File'!$C$11,IF(C8="Con",'Personal File'!$C$12,IF(C8="Int",'Personal File'!$C$13,IF(C8="Wis",'Personal File'!$C$14,IF(C8="Cha",'Personal File'!$C$15))))))</f>
        <v>+5</v>
      </c>
      <c r="E8" s="272" t="str">
        <f t="shared" si="3"/>
        <v>Cha (+5)</v>
      </c>
      <c r="F8" s="304" t="s">
        <v>237</v>
      </c>
      <c r="G8" s="267">
        <f t="shared" si="1"/>
        <v>9</v>
      </c>
      <c r="H8" s="70">
        <f t="shared" ca="1" si="5"/>
        <v>12</v>
      </c>
      <c r="I8" s="267">
        <f t="shared" ca="1" si="4"/>
        <v>21</v>
      </c>
      <c r="J8" s="268"/>
    </row>
    <row r="9" spans="1:10" s="102" customFormat="1" ht="16.8">
      <c r="A9" s="98" t="s">
        <v>35</v>
      </c>
      <c r="B9" s="482">
        <v>0</v>
      </c>
      <c r="C9" s="99" t="s">
        <v>29</v>
      </c>
      <c r="D9" s="100">
        <f>IF(C9="Str",'Personal File'!$C$10,IF(C9="Dex",'Personal File'!$C$11,IF(C9="Con",'Personal File'!$C$12,IF(C9="Int",'Personal File'!$C$13,IF(C9="Wis",'Personal File'!$C$14,IF(C9="Cha",'Personal File'!$C$15))))))</f>
        <v>-1</v>
      </c>
      <c r="E9" s="101" t="str">
        <f t="shared" si="3"/>
        <v>Str (-1)</v>
      </c>
      <c r="F9" s="85">
        <f>SUM(Martial!$D$13:$D$14)*-1</f>
        <v>0</v>
      </c>
      <c r="G9" s="86">
        <f t="shared" si="1"/>
        <v>-1</v>
      </c>
      <c r="H9" s="70">
        <f t="shared" ca="1" si="5"/>
        <v>12</v>
      </c>
      <c r="I9" s="86">
        <f t="shared" ca="1" si="4"/>
        <v>11</v>
      </c>
      <c r="J9" s="87"/>
    </row>
    <row r="10" spans="1:10" s="102" customFormat="1" ht="16.8">
      <c r="A10" s="354" t="s">
        <v>8</v>
      </c>
      <c r="B10" s="484">
        <v>3</v>
      </c>
      <c r="C10" s="355" t="s">
        <v>25</v>
      </c>
      <c r="D10" s="356" t="str">
        <f>IF(C10="Str",'Personal File'!$C$10,IF(C10="Dex",'Personal File'!$C$11,IF(C10="Con",'Personal File'!$C$12,IF(C10="Int",'Personal File'!$C$13,IF(C10="Wis",'Personal File'!$C$14,IF(C10="Cha",'Personal File'!$C$15))))))</f>
        <v>+1</v>
      </c>
      <c r="E10" s="357" t="str">
        <f t="shared" si="3"/>
        <v>Con (+1)</v>
      </c>
      <c r="F10" s="304" t="s">
        <v>56</v>
      </c>
      <c r="G10" s="304">
        <f t="shared" si="1"/>
        <v>4</v>
      </c>
      <c r="H10" s="70">
        <f t="shared" ca="1" si="5"/>
        <v>13</v>
      </c>
      <c r="I10" s="304">
        <f t="shared" ca="1" si="4"/>
        <v>17</v>
      </c>
      <c r="J10" s="305"/>
    </row>
    <row r="11" spans="1:10" s="88" customFormat="1" ht="16.8">
      <c r="A11" s="81" t="s">
        <v>88</v>
      </c>
      <c r="B11" s="482">
        <v>0</v>
      </c>
      <c r="C11" s="82" t="s">
        <v>26</v>
      </c>
      <c r="D11" s="83" t="str">
        <f>IF(C11="Str",'Personal File'!$C$10,IF(C11="Dex",'Personal File'!$C$11,IF(C11="Con",'Personal File'!$C$12,IF(C11="Int",'Personal File'!$C$13,IF(C11="Wis",'Personal File'!$C$14,IF(C11="Cha",'Personal File'!$C$15))))))</f>
        <v>+1</v>
      </c>
      <c r="E11" s="84" t="str">
        <f t="shared" si="3"/>
        <v>Int (+1)</v>
      </c>
      <c r="F11" s="86" t="s">
        <v>56</v>
      </c>
      <c r="G11" s="86">
        <f t="shared" si="1"/>
        <v>1</v>
      </c>
      <c r="H11" s="70">
        <f t="shared" ca="1" si="5"/>
        <v>17</v>
      </c>
      <c r="I11" s="86">
        <f t="shared" ca="1" si="4"/>
        <v>18</v>
      </c>
      <c r="J11" s="87"/>
    </row>
    <row r="12" spans="1:10" s="112" customFormat="1" ht="16.8">
      <c r="A12" s="81" t="s">
        <v>36</v>
      </c>
      <c r="B12" s="482">
        <v>0</v>
      </c>
      <c r="C12" s="82" t="s">
        <v>26</v>
      </c>
      <c r="D12" s="83" t="str">
        <f>IF(C12="Str",'Personal File'!$C$10,IF(C12="Dex",'Personal File'!$C$11,IF(C12="Con",'Personal File'!$C$12,IF(C12="Int",'Personal File'!$C$13,IF(C12="Wis",'Personal File'!$C$14,IF(C12="Cha",'Personal File'!$C$15))))))</f>
        <v>+1</v>
      </c>
      <c r="E12" s="84" t="str">
        <f t="shared" si="3"/>
        <v>Int (+1)</v>
      </c>
      <c r="F12" s="86" t="s">
        <v>56</v>
      </c>
      <c r="G12" s="86">
        <f t="shared" si="1"/>
        <v>1</v>
      </c>
      <c r="H12" s="70">
        <f t="shared" ca="1" si="5"/>
        <v>15</v>
      </c>
      <c r="I12" s="86">
        <f t="shared" ref="I12" ca="1" si="6">SUM(G12:H12)</f>
        <v>16</v>
      </c>
      <c r="J12" s="87"/>
    </row>
    <row r="13" spans="1:10" s="92" customFormat="1" ht="16.8">
      <c r="A13" s="269" t="s">
        <v>37</v>
      </c>
      <c r="B13" s="483">
        <v>2</v>
      </c>
      <c r="C13" s="270" t="s">
        <v>24</v>
      </c>
      <c r="D13" s="271" t="str">
        <f>IF(C13="Str",'Personal File'!$C$10,IF(C13="Dex",'Personal File'!$C$11,IF(C13="Con",'Personal File'!$C$12,IF(C13="Int",'Personal File'!$C$13,IF(C13="Wis",'Personal File'!$C$14,IF(C13="Cha",'Personal File'!$C$15))))))</f>
        <v>+5</v>
      </c>
      <c r="E13" s="272" t="str">
        <f t="shared" si="3"/>
        <v>Cha (+5)</v>
      </c>
      <c r="F13" s="430">
        <f>2+2</f>
        <v>4</v>
      </c>
      <c r="G13" s="267">
        <f t="shared" si="1"/>
        <v>11</v>
      </c>
      <c r="H13" s="70">
        <f t="shared" ca="1" si="5"/>
        <v>7</v>
      </c>
      <c r="I13" s="267">
        <f t="shared" ca="1" si="4"/>
        <v>18</v>
      </c>
      <c r="J13" s="268"/>
    </row>
    <row r="14" spans="1:10" s="92" customFormat="1" ht="16.8">
      <c r="A14" s="106" t="s">
        <v>38</v>
      </c>
      <c r="B14" s="485">
        <v>0</v>
      </c>
      <c r="C14" s="107" t="s">
        <v>26</v>
      </c>
      <c r="D14" s="108" t="str">
        <f>IF(C14="Str",'Personal File'!$C$10,IF(C14="Dex",'Personal File'!$C$11,IF(C14="Con",'Personal File'!$C$12,IF(C14="Int",'Personal File'!$C$13,IF(C14="Wis",'Personal File'!$C$14,IF(C14="Cha",'Personal File'!$C$15))))))</f>
        <v>+1</v>
      </c>
      <c r="E14" s="109" t="str">
        <f t="shared" si="3"/>
        <v>Int (+1)</v>
      </c>
      <c r="F14" s="110" t="s">
        <v>56</v>
      </c>
      <c r="G14" s="110">
        <f t="shared" si="1"/>
        <v>1</v>
      </c>
      <c r="H14" s="70">
        <f t="shared" ca="1" si="5"/>
        <v>1</v>
      </c>
      <c r="I14" s="110">
        <f t="shared" ref="I14" ca="1" si="7">SUM(G14:H14)</f>
        <v>2</v>
      </c>
      <c r="J14" s="111"/>
    </row>
    <row r="15" spans="1:10" s="92" customFormat="1" ht="16.8">
      <c r="A15" s="93" t="s">
        <v>39</v>
      </c>
      <c r="B15" s="482">
        <v>0</v>
      </c>
      <c r="C15" s="94" t="s">
        <v>24</v>
      </c>
      <c r="D15" s="95" t="str">
        <f>IF(C15="Str",'Personal File'!$C$10,IF(C15="Dex",'Personal File'!$C$11,IF(C15="Con",'Personal File'!$C$12,IF(C15="Int",'Personal File'!$C$13,IF(C15="Wis",'Personal File'!$C$14,IF(C15="Cha",'Personal File'!$C$15))))))</f>
        <v>+5</v>
      </c>
      <c r="E15" s="96" t="str">
        <f t="shared" si="3"/>
        <v>Cha (+5)</v>
      </c>
      <c r="F15" s="85">
        <v>0</v>
      </c>
      <c r="G15" s="86">
        <f t="shared" si="1"/>
        <v>5</v>
      </c>
      <c r="H15" s="70">
        <f t="shared" ca="1" si="5"/>
        <v>4</v>
      </c>
      <c r="I15" s="86">
        <f t="shared" ca="1" si="4"/>
        <v>9</v>
      </c>
      <c r="J15" s="87"/>
    </row>
    <row r="16" spans="1:10" s="92" customFormat="1" ht="16.8">
      <c r="A16" s="89" t="s">
        <v>40</v>
      </c>
      <c r="B16" s="482">
        <v>0</v>
      </c>
      <c r="C16" s="90" t="s">
        <v>28</v>
      </c>
      <c r="D16" s="91" t="str">
        <f>IF(C16="Str",'Personal File'!$C$10,IF(C16="Dex",'Personal File'!$C$11,IF(C16="Con",'Personal File'!$C$12,IF(C16="Int",'Personal File'!$C$13,IF(C16="Wis",'Personal File'!$C$14,IF(C16="Cha",'Personal File'!$C$15))))))</f>
        <v>+1</v>
      </c>
      <c r="E16" s="73" t="str">
        <f t="shared" si="3"/>
        <v>Dex (+1)</v>
      </c>
      <c r="F16" s="85">
        <f>SUM(Martial!$D$13:$D$14)*-1</f>
        <v>0</v>
      </c>
      <c r="G16" s="86">
        <f t="shared" si="1"/>
        <v>1</v>
      </c>
      <c r="H16" s="70">
        <f t="shared" ca="1" si="5"/>
        <v>8</v>
      </c>
      <c r="I16" s="86">
        <f t="shared" ca="1" si="4"/>
        <v>9</v>
      </c>
      <c r="J16" s="87"/>
    </row>
    <row r="17" spans="1:10" s="92" customFormat="1" ht="16.8">
      <c r="A17" s="113" t="s">
        <v>41</v>
      </c>
      <c r="B17" s="486">
        <v>0</v>
      </c>
      <c r="C17" s="114" t="s">
        <v>26</v>
      </c>
      <c r="D17" s="115" t="str">
        <f>IF(C17="Str",'Personal File'!$C$10,IF(C17="Dex",'Personal File'!$C$11,IF(C17="Con",'Personal File'!$C$12,IF(C17="Int",'Personal File'!$C$13,IF(C17="Wis",'Personal File'!$C$14,IF(C17="Cha",'Personal File'!$C$15))))))</f>
        <v>+1</v>
      </c>
      <c r="E17" s="116" t="str">
        <f t="shared" si="3"/>
        <v>Int (+1)</v>
      </c>
      <c r="F17" s="117" t="s">
        <v>56</v>
      </c>
      <c r="G17" s="117">
        <f t="shared" si="1"/>
        <v>1</v>
      </c>
      <c r="H17" s="70">
        <f t="shared" ca="1" si="5"/>
        <v>14</v>
      </c>
      <c r="I17" s="117">
        <f t="shared" ca="1" si="4"/>
        <v>15</v>
      </c>
      <c r="J17" s="118"/>
    </row>
    <row r="18" spans="1:10" s="92" customFormat="1" ht="16.8">
      <c r="A18" s="269" t="s">
        <v>42</v>
      </c>
      <c r="B18" s="483">
        <v>2</v>
      </c>
      <c r="C18" s="270" t="s">
        <v>24</v>
      </c>
      <c r="D18" s="271" t="str">
        <f>IF(C18="Str",'Personal File'!$C$10,IF(C18="Dex",'Personal File'!$C$11,IF(C18="Con",'Personal File'!$C$12,IF(C18="Int",'Personal File'!$C$13,IF(C18="Wis",'Personal File'!$C$14,IF(C18="Cha",'Personal File'!$C$15))))))</f>
        <v>+5</v>
      </c>
      <c r="E18" s="272" t="str">
        <f t="shared" si="3"/>
        <v>Cha (+5)</v>
      </c>
      <c r="F18" s="304" t="s">
        <v>237</v>
      </c>
      <c r="G18" s="267">
        <f t="shared" si="1"/>
        <v>9</v>
      </c>
      <c r="H18" s="70">
        <f t="shared" ca="1" si="5"/>
        <v>4</v>
      </c>
      <c r="I18" s="267">
        <f t="shared" ca="1" si="4"/>
        <v>13</v>
      </c>
      <c r="J18" s="268"/>
    </row>
    <row r="19" spans="1:10" s="92" customFormat="1" ht="16.8">
      <c r="A19" s="93" t="s">
        <v>10</v>
      </c>
      <c r="B19" s="482">
        <v>0</v>
      </c>
      <c r="C19" s="94" t="s">
        <v>24</v>
      </c>
      <c r="D19" s="95" t="str">
        <f>IF(C19="Str",'Personal File'!$C$10,IF(C19="Dex",'Personal File'!$C$11,IF(C19="Con",'Personal File'!$C$12,IF(C19="Int",'Personal File'!$C$13,IF(C19="Wis",'Personal File'!$C$14,IF(C19="Cha",'Personal File'!$C$15))))))</f>
        <v>+5</v>
      </c>
      <c r="E19" s="96" t="str">
        <f t="shared" si="3"/>
        <v>Cha (+5)</v>
      </c>
      <c r="F19" s="86" t="s">
        <v>56</v>
      </c>
      <c r="G19" s="86">
        <f t="shared" si="1"/>
        <v>5</v>
      </c>
      <c r="H19" s="70">
        <f t="shared" ca="1" si="5"/>
        <v>20</v>
      </c>
      <c r="I19" s="86">
        <f t="shared" ca="1" si="4"/>
        <v>25</v>
      </c>
      <c r="J19" s="87"/>
    </row>
    <row r="20" spans="1:10" s="92" customFormat="1" ht="16.8">
      <c r="A20" s="123" t="s">
        <v>43</v>
      </c>
      <c r="B20" s="482">
        <v>0</v>
      </c>
      <c r="C20" s="124" t="s">
        <v>27</v>
      </c>
      <c r="D20" s="125">
        <f>IF(C20="Str",'Personal File'!$C$10,IF(C20="Dex",'Personal File'!$C$11,IF(C20="Con",'Personal File'!$C$12,IF(C20="Int",'Personal File'!$C$13,IF(C20="Wis",'Personal File'!$C$14,IF(C20="Cha",'Personal File'!$C$15))))))</f>
        <v>-1</v>
      </c>
      <c r="E20" s="126" t="str">
        <f t="shared" si="3"/>
        <v>Wis (-1)</v>
      </c>
      <c r="F20" s="86" t="s">
        <v>56</v>
      </c>
      <c r="G20" s="86">
        <f t="shared" si="1"/>
        <v>-1</v>
      </c>
      <c r="H20" s="70">
        <f t="shared" ca="1" si="5"/>
        <v>16</v>
      </c>
      <c r="I20" s="86">
        <f t="shared" ca="1" si="4"/>
        <v>15</v>
      </c>
      <c r="J20" s="87"/>
    </row>
    <row r="21" spans="1:10" s="92" customFormat="1" ht="16.8">
      <c r="A21" s="89" t="s">
        <v>44</v>
      </c>
      <c r="B21" s="482">
        <v>0</v>
      </c>
      <c r="C21" s="90" t="s">
        <v>28</v>
      </c>
      <c r="D21" s="91" t="str">
        <f>IF(C21="Str",'Personal File'!$C$10,IF(C21="Dex",'Personal File'!$C$11,IF(C21="Con",'Personal File'!$C$12,IF(C21="Int",'Personal File'!$C$13,IF(C21="Wis",'Personal File'!$C$14,IF(C21="Cha",'Personal File'!$C$15))))))</f>
        <v>+1</v>
      </c>
      <c r="E21" s="73" t="str">
        <f t="shared" si="3"/>
        <v>Dex (+1)</v>
      </c>
      <c r="F21" s="85">
        <f>SUM(Martial!$D$13:$D$14)*-1</f>
        <v>0</v>
      </c>
      <c r="G21" s="86">
        <f t="shared" si="1"/>
        <v>1</v>
      </c>
      <c r="H21" s="70">
        <f t="shared" ca="1" si="5"/>
        <v>7</v>
      </c>
      <c r="I21" s="86">
        <f t="shared" ca="1" si="4"/>
        <v>8</v>
      </c>
      <c r="J21" s="87"/>
    </row>
    <row r="22" spans="1:10" s="92" customFormat="1" ht="16.8">
      <c r="A22" s="93" t="s">
        <v>45</v>
      </c>
      <c r="B22" s="482">
        <v>0</v>
      </c>
      <c r="C22" s="94" t="s">
        <v>24</v>
      </c>
      <c r="D22" s="95" t="str">
        <f>IF(C22="Str",'Personal File'!$C$10,IF(C22="Dex",'Personal File'!$C$11,IF(C22="Con",'Personal File'!$C$12,IF(C22="Int",'Personal File'!$C$13,IF(C22="Wis",'Personal File'!$C$14,IF(C22="Cha",'Personal File'!$C$15))))))</f>
        <v>+5</v>
      </c>
      <c r="E22" s="96" t="str">
        <f t="shared" si="3"/>
        <v>Cha (+5)</v>
      </c>
      <c r="F22" s="85">
        <f>2+2</f>
        <v>4</v>
      </c>
      <c r="G22" s="86">
        <f t="shared" si="1"/>
        <v>9</v>
      </c>
      <c r="H22" s="70">
        <f t="shared" ca="1" si="5"/>
        <v>4</v>
      </c>
      <c r="I22" s="86">
        <f t="shared" ca="1" si="4"/>
        <v>13</v>
      </c>
      <c r="J22" s="87"/>
    </row>
    <row r="23" spans="1:10" s="92" customFormat="1" ht="16.8">
      <c r="A23" s="98" t="s">
        <v>46</v>
      </c>
      <c r="B23" s="482">
        <v>0</v>
      </c>
      <c r="C23" s="99" t="s">
        <v>29</v>
      </c>
      <c r="D23" s="100">
        <f>IF(C23="Str",'Personal File'!$C$10,IF(C23="Dex",'Personal File'!$C$11,IF(C23="Con",'Personal File'!$C$12,IF(C23="Int",'Personal File'!$C$13,IF(C23="Wis",'Personal File'!$C$14,IF(C23="Cha",'Personal File'!$C$15))))))</f>
        <v>-1</v>
      </c>
      <c r="E23" s="101" t="str">
        <f t="shared" si="3"/>
        <v>Str (-1)</v>
      </c>
      <c r="F23" s="85">
        <f>SUM(Martial!$D$13:$D$14)*-1</f>
        <v>0</v>
      </c>
      <c r="G23" s="86">
        <f t="shared" si="1"/>
        <v>-1</v>
      </c>
      <c r="H23" s="70">
        <f t="shared" ca="1" si="5"/>
        <v>12</v>
      </c>
      <c r="I23" s="86">
        <f t="shared" ca="1" si="4"/>
        <v>11</v>
      </c>
      <c r="J23" s="87"/>
    </row>
    <row r="24" spans="1:10" s="92" customFormat="1" ht="16.8">
      <c r="A24" s="119" t="s">
        <v>197</v>
      </c>
      <c r="B24" s="487">
        <v>10</v>
      </c>
      <c r="C24" s="120" t="s">
        <v>26</v>
      </c>
      <c r="D24" s="121" t="str">
        <f>IF(C24="Str",'Personal File'!$C$10,IF(C24="Dex",'Personal File'!$C$11,IF(C24="Con",'Personal File'!$C$12,IF(C24="Int",'Personal File'!$C$13,IF(C24="Wis",'Personal File'!$C$14,IF(C24="Cha",'Personal File'!$C$15))))))</f>
        <v>+1</v>
      </c>
      <c r="E24" s="122" t="str">
        <f>CONCATENATE(C24," (",D24,")")</f>
        <v>Int (+1)</v>
      </c>
      <c r="F24" s="431">
        <v>0</v>
      </c>
      <c r="G24" s="104">
        <f t="shared" si="1"/>
        <v>11</v>
      </c>
      <c r="H24" s="70">
        <f t="shared" ca="1" si="5"/>
        <v>10</v>
      </c>
      <c r="I24" s="104">
        <f t="shared" ca="1" si="4"/>
        <v>21</v>
      </c>
      <c r="J24" s="105"/>
    </row>
    <row r="25" spans="1:10" s="92" customFormat="1" ht="16.8">
      <c r="A25" s="432" t="s">
        <v>271</v>
      </c>
      <c r="B25" s="433">
        <f>'Personal File'!$E$3</f>
        <v>6</v>
      </c>
      <c r="C25" s="434" t="s">
        <v>26</v>
      </c>
      <c r="D25" s="435" t="str">
        <f>IF(C25="Str",'Personal File'!$C$10,IF(C25="Dex",'Personal File'!$C$11,IF(C25="Con",'Personal File'!$C$12,IF(C25="Int",'Personal File'!$C$13,IF(C25="Wis",'Personal File'!$C$14,IF(C25="Cha",'Personal File'!$C$15))))))</f>
        <v>+1</v>
      </c>
      <c r="E25" s="436" t="str">
        <f>CONCATENATE(C25," (",D25,")")</f>
        <v>Int (+1)</v>
      </c>
      <c r="F25" s="437">
        <v>0</v>
      </c>
      <c r="G25" s="438">
        <f t="shared" si="1"/>
        <v>7</v>
      </c>
      <c r="H25" s="70">
        <f t="shared" ca="1" si="5"/>
        <v>19</v>
      </c>
      <c r="I25" s="438">
        <f t="shared" ca="1" si="4"/>
        <v>26</v>
      </c>
      <c r="J25" s="439"/>
    </row>
    <row r="26" spans="1:10" s="92" customFormat="1" ht="16.8">
      <c r="A26" s="119" t="s">
        <v>268</v>
      </c>
      <c r="B26" s="103">
        <v>2</v>
      </c>
      <c r="C26" s="120" t="s">
        <v>26</v>
      </c>
      <c r="D26" s="121" t="str">
        <f>IF(C26="Str",'Personal File'!$C$10,IF(C26="Dex",'Personal File'!$C$11,IF(C26="Con",'Personal File'!$C$12,IF(C26="Int",'Personal File'!$C$13,IF(C26="Wis",'Personal File'!$C$14,IF(C26="Cha",'Personal File'!$C$15))))))</f>
        <v>+1</v>
      </c>
      <c r="E26" s="122" t="str">
        <f>CONCATENATE(C26," (",D26,")")</f>
        <v>Int (+1)</v>
      </c>
      <c r="F26" s="431">
        <v>0</v>
      </c>
      <c r="G26" s="104">
        <f t="shared" ref="G26" si="8">B26+D26+F26</f>
        <v>3</v>
      </c>
      <c r="H26" s="70">
        <f t="shared" ca="1" si="5"/>
        <v>5</v>
      </c>
      <c r="I26" s="104">
        <f t="shared" ref="I26" ca="1" si="9">SUM(G26:H26)</f>
        <v>8</v>
      </c>
      <c r="J26" s="105"/>
    </row>
    <row r="27" spans="1:10" s="92" customFormat="1" ht="16.8">
      <c r="A27" s="119" t="s">
        <v>291</v>
      </c>
      <c r="B27" s="103">
        <v>1</v>
      </c>
      <c r="C27" s="120" t="s">
        <v>26</v>
      </c>
      <c r="D27" s="121" t="str">
        <f>IF(C27="Str",'Personal File'!$C$10,IF(C27="Dex",'Personal File'!$C$11,IF(C27="Con",'Personal File'!$C$12,IF(C27="Int",'Personal File'!$C$13,IF(C27="Wis",'Personal File'!$C$14,IF(C27="Cha",'Personal File'!$C$15))))))</f>
        <v>+1</v>
      </c>
      <c r="E27" s="122" t="str">
        <f>CONCATENATE(C27," (",D27,")")</f>
        <v>Int (+1)</v>
      </c>
      <c r="F27" s="431">
        <v>0</v>
      </c>
      <c r="G27" s="104">
        <f t="shared" ref="G27" si="10">B27+D27+F27</f>
        <v>2</v>
      </c>
      <c r="H27" s="70">
        <f t="shared" ca="1" si="5"/>
        <v>16</v>
      </c>
      <c r="I27" s="104">
        <f t="shared" ref="I27" ca="1" si="11">SUM(G27:H27)</f>
        <v>18</v>
      </c>
      <c r="J27" s="105"/>
    </row>
    <row r="28" spans="1:10" s="92" customFormat="1" ht="16.8">
      <c r="A28" s="273" t="s">
        <v>47</v>
      </c>
      <c r="B28" s="483">
        <v>10</v>
      </c>
      <c r="C28" s="274" t="s">
        <v>27</v>
      </c>
      <c r="D28" s="275">
        <f>IF(C28="Str",'Personal File'!$C$10,IF(C28="Dex",'Personal File'!$C$11,IF(C28="Con",'Personal File'!$C$12,IF(C28="Int",'Personal File'!$C$13,IF(C28="Wis",'Personal File'!$C$14,IF(C28="Cha",'Personal File'!$C$15))))))</f>
        <v>-1</v>
      </c>
      <c r="E28" s="276" t="str">
        <f t="shared" si="3"/>
        <v>Wis (-1)</v>
      </c>
      <c r="F28" s="304" t="s">
        <v>104</v>
      </c>
      <c r="G28" s="267">
        <f t="shared" si="1"/>
        <v>10</v>
      </c>
      <c r="H28" s="70">
        <f t="shared" ca="1" si="5"/>
        <v>8</v>
      </c>
      <c r="I28" s="267">
        <f t="shared" ca="1" si="4"/>
        <v>18</v>
      </c>
      <c r="J28" s="268"/>
    </row>
    <row r="29" spans="1:10" s="92" customFormat="1" ht="16.8">
      <c r="A29" s="89" t="s">
        <v>11</v>
      </c>
      <c r="B29" s="482">
        <v>0</v>
      </c>
      <c r="C29" s="90" t="s">
        <v>28</v>
      </c>
      <c r="D29" s="91" t="str">
        <f>IF(C29="Str",'Personal File'!$C$10,IF(C29="Dex",'Personal File'!$C$11,IF(C29="Con",'Personal File'!$C$12,IF(C29="Int",'Personal File'!$C$13,IF(C29="Wis",'Personal File'!$C$14,IF(C29="Cha",'Personal File'!$C$15))))))</f>
        <v>+1</v>
      </c>
      <c r="E29" s="73" t="str">
        <f t="shared" si="3"/>
        <v>Dex (+1)</v>
      </c>
      <c r="F29" s="85">
        <f>SUM(Martial!$D$13:$D$14)*-1</f>
        <v>0</v>
      </c>
      <c r="G29" s="86">
        <f t="shared" si="1"/>
        <v>1</v>
      </c>
      <c r="H29" s="70">
        <f t="shared" ca="1" si="5"/>
        <v>1</v>
      </c>
      <c r="I29" s="86">
        <f t="shared" ca="1" si="4"/>
        <v>2</v>
      </c>
      <c r="J29" s="87"/>
    </row>
    <row r="30" spans="1:10" s="92" customFormat="1" ht="16.8">
      <c r="A30" s="127" t="s">
        <v>48</v>
      </c>
      <c r="B30" s="485">
        <v>0</v>
      </c>
      <c r="C30" s="128" t="s">
        <v>28</v>
      </c>
      <c r="D30" s="129" t="str">
        <f>IF(C30="Str",'Personal File'!$C$10,IF(C30="Dex",'Personal File'!$C$11,IF(C30="Con",'Personal File'!$C$12,IF(C30="Int",'Personal File'!$C$13,IF(C30="Wis",'Personal File'!$C$14,IF(C30="Cha",'Personal File'!$C$15))))))</f>
        <v>+1</v>
      </c>
      <c r="E30" s="130" t="str">
        <f t="shared" si="3"/>
        <v>Dex (+1)</v>
      </c>
      <c r="F30" s="110" t="s">
        <v>56</v>
      </c>
      <c r="G30" s="110">
        <f t="shared" si="1"/>
        <v>1</v>
      </c>
      <c r="H30" s="70">
        <f t="shared" ca="1" si="5"/>
        <v>6</v>
      </c>
      <c r="I30" s="110">
        <f t="shared" ca="1" si="4"/>
        <v>7</v>
      </c>
      <c r="J30" s="111"/>
    </row>
    <row r="31" spans="1:10" ht="16.8">
      <c r="A31" s="269" t="s">
        <v>221</v>
      </c>
      <c r="B31" s="483">
        <v>1</v>
      </c>
      <c r="C31" s="270" t="s">
        <v>24</v>
      </c>
      <c r="D31" s="271" t="str">
        <f>IF(C31="Str",'Personal File'!$C$10,IF(C31="Dex",'Personal File'!$C$11,IF(C31="Con",'Personal File'!$C$12,IF(C31="Int",'Personal File'!$C$13,IF(C31="Wis",'Personal File'!$C$14,IF(C31="Cha",'Personal File'!$C$15))))))</f>
        <v>+5</v>
      </c>
      <c r="E31" s="272" t="str">
        <f t="shared" si="3"/>
        <v>Cha (+5)</v>
      </c>
      <c r="F31" s="267" t="s">
        <v>56</v>
      </c>
      <c r="G31" s="267">
        <f t="shared" si="1"/>
        <v>6</v>
      </c>
      <c r="H31" s="70">
        <f t="shared" ca="1" si="5"/>
        <v>18</v>
      </c>
      <c r="I31" s="267">
        <f t="shared" ca="1" si="4"/>
        <v>24</v>
      </c>
      <c r="J31" s="268"/>
    </row>
    <row r="32" spans="1:10" ht="16.8">
      <c r="A32" s="269" t="s">
        <v>220</v>
      </c>
      <c r="B32" s="483">
        <v>3</v>
      </c>
      <c r="C32" s="270" t="s">
        <v>24</v>
      </c>
      <c r="D32" s="271" t="str">
        <f>IF(C32="Str",'Personal File'!$C$10,IF(C32="Dex",'Personal File'!$C$11,IF(C32="Con",'Personal File'!$C$12,IF(C32="Int",'Personal File'!$C$13,IF(C32="Wis",'Personal File'!$C$14,IF(C32="Cha",'Personal File'!$C$15))))))</f>
        <v>+5</v>
      </c>
      <c r="E32" s="272" t="str">
        <f t="shared" si="3"/>
        <v>Cha (+5)</v>
      </c>
      <c r="F32" s="267" t="s">
        <v>56</v>
      </c>
      <c r="G32" s="267">
        <f t="shared" si="1"/>
        <v>8</v>
      </c>
      <c r="H32" s="70">
        <f t="shared" ca="1" si="5"/>
        <v>19</v>
      </c>
      <c r="I32" s="267">
        <f t="shared" ca="1" si="4"/>
        <v>27</v>
      </c>
      <c r="J32" s="268"/>
    </row>
    <row r="33" spans="1:10" ht="16.8">
      <c r="A33" s="269" t="s">
        <v>204</v>
      </c>
      <c r="B33" s="483">
        <v>10</v>
      </c>
      <c r="C33" s="270" t="s">
        <v>24</v>
      </c>
      <c r="D33" s="271" t="str">
        <f>IF(C33="Str",'Personal File'!$C$10,IF(C33="Dex",'Personal File'!$C$11,IF(C33="Con",'Personal File'!$C$12,IF(C33="Int",'Personal File'!$C$13,IF(C33="Wis",'Personal File'!$C$14,IF(C33="Cha",'Personal File'!$C$15))))))</f>
        <v>+5</v>
      </c>
      <c r="E33" s="272" t="str">
        <f t="shared" ref="E33" si="12">CONCATENATE(C33," (",D33,")")</f>
        <v>Cha (+5)</v>
      </c>
      <c r="F33" s="267" t="s">
        <v>56</v>
      </c>
      <c r="G33" s="267">
        <f t="shared" ref="G33" si="13">B33+D33+F33</f>
        <v>15</v>
      </c>
      <c r="H33" s="70">
        <f t="shared" ca="1" si="5"/>
        <v>14</v>
      </c>
      <c r="I33" s="267">
        <f t="shared" ref="I33" ca="1" si="14">SUM(G33:H33)</f>
        <v>29</v>
      </c>
      <c r="J33" s="268"/>
    </row>
    <row r="34" spans="1:10" ht="16.8">
      <c r="A34" s="269" t="s">
        <v>205</v>
      </c>
      <c r="B34" s="483">
        <v>6</v>
      </c>
      <c r="C34" s="274" t="s">
        <v>27</v>
      </c>
      <c r="D34" s="275">
        <f>IF(C34="Str",'Personal File'!$C$10,IF(C34="Dex",'Personal File'!$C$11,IF(C34="Con",'Personal File'!$C$12,IF(C34="Int",'Personal File'!$C$13,IF(C34="Wis",'Personal File'!$C$14,IF(C34="Cha",'Personal File'!$C$15))))))</f>
        <v>-1</v>
      </c>
      <c r="E34" s="276" t="str">
        <f t="shared" ref="E34" si="15">CONCATENATE(C34," (",D34,")")</f>
        <v>Wis (-1)</v>
      </c>
      <c r="F34" s="267" t="s">
        <v>56</v>
      </c>
      <c r="G34" s="267">
        <f t="shared" si="1"/>
        <v>5</v>
      </c>
      <c r="H34" s="70">
        <f t="shared" ca="1" si="5"/>
        <v>7</v>
      </c>
      <c r="I34" s="267">
        <f t="shared" ref="I34" ca="1" si="16">SUM(G34:H34)</f>
        <v>12</v>
      </c>
      <c r="J34" s="268"/>
    </row>
    <row r="35" spans="1:10" ht="16.8">
      <c r="A35" s="89" t="s">
        <v>12</v>
      </c>
      <c r="B35" s="482">
        <v>0</v>
      </c>
      <c r="C35" s="90" t="s">
        <v>28</v>
      </c>
      <c r="D35" s="91" t="str">
        <f>IF(C35="Str",'Personal File'!$C$10,IF(C35="Dex",'Personal File'!$C$11,IF(C35="Con",'Personal File'!$C$12,IF(C35="Int",'Personal File'!$C$13,IF(C35="Wis",'Personal File'!$C$14,IF(C35="Cha",'Personal File'!$C$15))))))</f>
        <v>+1</v>
      </c>
      <c r="E35" s="73" t="str">
        <f t="shared" si="3"/>
        <v>Dex (+1)</v>
      </c>
      <c r="F35" s="117" t="s">
        <v>56</v>
      </c>
      <c r="G35" s="86">
        <f t="shared" si="1"/>
        <v>1</v>
      </c>
      <c r="H35" s="70">
        <f t="shared" ca="1" si="5"/>
        <v>3</v>
      </c>
      <c r="I35" s="86">
        <f t="shared" ca="1" si="4"/>
        <v>4</v>
      </c>
      <c r="J35" s="87"/>
    </row>
    <row r="36" spans="1:10" ht="16.8">
      <c r="A36" s="81" t="s">
        <v>13</v>
      </c>
      <c r="B36" s="482">
        <v>0</v>
      </c>
      <c r="C36" s="82" t="s">
        <v>26</v>
      </c>
      <c r="D36" s="83" t="str">
        <f>IF(C36="Str",'Personal File'!$C$10,IF(C36="Dex",'Personal File'!$C$11,IF(C36="Con",'Personal File'!$C$12,IF(C36="Int",'Personal File'!$C$13,IF(C36="Wis",'Personal File'!$C$14,IF(C36="Cha",'Personal File'!$C$15))))))</f>
        <v>+1</v>
      </c>
      <c r="E36" s="84" t="str">
        <f t="shared" si="3"/>
        <v>Int (+1)</v>
      </c>
      <c r="F36" s="389" t="s">
        <v>104</v>
      </c>
      <c r="G36" s="86">
        <f t="shared" si="1"/>
        <v>2</v>
      </c>
      <c r="H36" s="70">
        <f t="shared" ca="1" si="5"/>
        <v>11</v>
      </c>
      <c r="I36" s="86">
        <f t="shared" ca="1" si="4"/>
        <v>13</v>
      </c>
      <c r="J36" s="87"/>
    </row>
    <row r="37" spans="1:10" ht="16.8">
      <c r="A37" s="269" t="s">
        <v>49</v>
      </c>
      <c r="B37" s="483">
        <v>3</v>
      </c>
      <c r="C37" s="274" t="s">
        <v>27</v>
      </c>
      <c r="D37" s="275">
        <f>IF(C37="Str",'Personal File'!$C$10,IF(C37="Dex",'Personal File'!$C$11,IF(C37="Con",'Personal File'!$C$12,IF(C37="Int",'Personal File'!$C$13,IF(C37="Wis",'Personal File'!$C$14,IF(C37="Cha",'Personal File'!$C$15))))))</f>
        <v>-1</v>
      </c>
      <c r="E37" s="276" t="str">
        <f t="shared" si="3"/>
        <v>Wis (-1)</v>
      </c>
      <c r="F37" s="304" t="s">
        <v>237</v>
      </c>
      <c r="G37" s="267">
        <f t="shared" si="1"/>
        <v>4</v>
      </c>
      <c r="H37" s="70">
        <f t="shared" ca="1" si="5"/>
        <v>13</v>
      </c>
      <c r="I37" s="267">
        <f t="shared" ca="1" si="4"/>
        <v>17</v>
      </c>
      <c r="J37" s="268"/>
    </row>
    <row r="38" spans="1:10" ht="16.8">
      <c r="A38" s="390" t="s">
        <v>86</v>
      </c>
      <c r="B38" s="488">
        <v>0</v>
      </c>
      <c r="C38" s="391" t="s">
        <v>28</v>
      </c>
      <c r="D38" s="392" t="str">
        <f>IF(C38="Str",'Personal File'!$C$10,IF(C38="Dex",'Personal File'!$C$11,IF(C38="Con",'Personal File'!$C$12,IF(C38="Int",'Personal File'!$C$13,IF(C38="Wis",'Personal File'!$C$14,IF(C38="Cha",'Personal File'!$C$15))))))</f>
        <v>+1</v>
      </c>
      <c r="E38" s="393" t="str">
        <f t="shared" si="3"/>
        <v>Dex (+1)</v>
      </c>
      <c r="F38" s="394">
        <v>0</v>
      </c>
      <c r="G38" s="395">
        <f t="shared" si="1"/>
        <v>1</v>
      </c>
      <c r="H38" s="70">
        <f t="shared" ca="1" si="5"/>
        <v>4</v>
      </c>
      <c r="I38" s="395">
        <f t="shared" ref="I38:I39" ca="1" si="17">SUM(G38:H38)</f>
        <v>5</v>
      </c>
      <c r="J38" s="396"/>
    </row>
    <row r="39" spans="1:10" ht="16.8">
      <c r="A39" s="358" t="s">
        <v>266</v>
      </c>
      <c r="B39" s="484">
        <v>1</v>
      </c>
      <c r="C39" s="359" t="s">
        <v>26</v>
      </c>
      <c r="D39" s="360" t="str">
        <f>IF(C39="Str",'Personal File'!$C$10,IF(C39="Dex",'Personal File'!$C$11,IF(C39="Con",'Personal File'!$C$12,IF(C39="Int",'Personal File'!$C$13,IF(C39="Wis",'Personal File'!$C$14,IF(C39="Cha",'Personal File'!$C$15))))))</f>
        <v>+1</v>
      </c>
      <c r="E39" s="361" t="str">
        <f t="shared" si="3"/>
        <v>Int (+1)</v>
      </c>
      <c r="F39" s="304" t="s">
        <v>56</v>
      </c>
      <c r="G39" s="304">
        <f t="shared" si="1"/>
        <v>2</v>
      </c>
      <c r="H39" s="70">
        <f t="shared" ca="1" si="5"/>
        <v>12</v>
      </c>
      <c r="I39" s="304">
        <f t="shared" ca="1" si="17"/>
        <v>14</v>
      </c>
      <c r="J39" s="362"/>
    </row>
    <row r="40" spans="1:10" ht="16.8">
      <c r="A40" s="358" t="s">
        <v>266</v>
      </c>
      <c r="B40" s="484">
        <v>1</v>
      </c>
      <c r="C40" s="359" t="s">
        <v>26</v>
      </c>
      <c r="D40" s="360" t="str">
        <f>IF(C40="Str",'Personal File'!$C$10,IF(C40="Dex",'Personal File'!$C$11,IF(C40="Con",'Personal File'!$C$12,IF(C40="Int",'Personal File'!$C$13,IF(C40="Wis",'Personal File'!$C$14,IF(C40="Cha",'Personal File'!$C$15))))))</f>
        <v>+1</v>
      </c>
      <c r="E40" s="361" t="str">
        <f t="shared" ref="E40" si="18">CONCATENATE(C40," (",D40,")")</f>
        <v>Int (+1)</v>
      </c>
      <c r="F40" s="304" t="s">
        <v>56</v>
      </c>
      <c r="G40" s="304">
        <f t="shared" ref="G40" si="19">B40+D40+F40</f>
        <v>2</v>
      </c>
      <c r="H40" s="70">
        <f t="shared" ca="1" si="5"/>
        <v>11</v>
      </c>
      <c r="I40" s="304">
        <f t="shared" ref="I40" ca="1" si="20">SUM(G40:H40)</f>
        <v>13</v>
      </c>
      <c r="J40" s="362"/>
    </row>
    <row r="41" spans="1:10" ht="16.8">
      <c r="A41" s="358" t="s">
        <v>50</v>
      </c>
      <c r="B41" s="484">
        <v>6</v>
      </c>
      <c r="C41" s="359" t="s">
        <v>26</v>
      </c>
      <c r="D41" s="360" t="str">
        <f>IF(C41="Str",'Personal File'!$C$10,IF(C41="Dex",'Personal File'!$C$11,IF(C41="Con",'Personal File'!$C$12,IF(C41="Int",'Personal File'!$C$13,IF(C41="Wis",'Personal File'!$C$14,IF(C41="Cha",'Personal File'!$C$15))))))</f>
        <v>+1</v>
      </c>
      <c r="E41" s="361" t="str">
        <f t="shared" si="3"/>
        <v>Int (+1)</v>
      </c>
      <c r="F41" s="430">
        <f>2+2</f>
        <v>4</v>
      </c>
      <c r="G41" s="304">
        <f t="shared" si="1"/>
        <v>11</v>
      </c>
      <c r="H41" s="70">
        <f t="shared" ca="1" si="5"/>
        <v>5</v>
      </c>
      <c r="I41" s="304">
        <f t="shared" ca="1" si="4"/>
        <v>16</v>
      </c>
      <c r="J41" s="362"/>
    </row>
    <row r="42" spans="1:10" ht="16.8">
      <c r="A42" s="123" t="s">
        <v>51</v>
      </c>
      <c r="B42" s="482">
        <v>0</v>
      </c>
      <c r="C42" s="124" t="s">
        <v>27</v>
      </c>
      <c r="D42" s="125">
        <f>IF(C42="Str",'Personal File'!$C$10,IF(C42="Dex",'Personal File'!$C$11,IF(C42="Con",'Personal File'!$C$12,IF(C42="Int",'Personal File'!$C$13,IF(C42="Wis",'Personal File'!$C$14,IF(C42="Cha",'Personal File'!$C$15))))))</f>
        <v>-1</v>
      </c>
      <c r="E42" s="126" t="str">
        <f t="shared" si="3"/>
        <v>Wis (-1)</v>
      </c>
      <c r="F42" s="389" t="s">
        <v>104</v>
      </c>
      <c r="G42" s="86">
        <f t="shared" si="1"/>
        <v>0</v>
      </c>
      <c r="H42" s="70">
        <f t="shared" ca="1" si="5"/>
        <v>8</v>
      </c>
      <c r="I42" s="86">
        <f t="shared" ca="1" si="4"/>
        <v>8</v>
      </c>
      <c r="J42" s="87"/>
    </row>
    <row r="43" spans="1:10" ht="16.8">
      <c r="A43" s="123" t="s">
        <v>87</v>
      </c>
      <c r="B43" s="482">
        <v>0</v>
      </c>
      <c r="C43" s="124" t="s">
        <v>27</v>
      </c>
      <c r="D43" s="125">
        <f>IF(C43="Str",'Personal File'!$C$10,IF(C43="Dex",'Personal File'!$C$11,IF(C43="Con",'Personal File'!$C$12,IF(C43="Int",'Personal File'!$C$13,IF(C43="Wis",'Personal File'!$C$14,IF(C43="Cha",'Personal File'!$C$15))))))</f>
        <v>-1</v>
      </c>
      <c r="E43" s="126" t="str">
        <f t="shared" si="3"/>
        <v>Wis (-1)</v>
      </c>
      <c r="F43" s="86" t="s">
        <v>56</v>
      </c>
      <c r="G43" s="86">
        <f t="shared" si="1"/>
        <v>-1</v>
      </c>
      <c r="H43" s="70">
        <f t="shared" ca="1" si="5"/>
        <v>6</v>
      </c>
      <c r="I43" s="86">
        <f t="shared" ca="1" si="4"/>
        <v>5</v>
      </c>
      <c r="J43" s="87"/>
    </row>
    <row r="44" spans="1:10" ht="16.8">
      <c r="A44" s="98" t="s">
        <v>14</v>
      </c>
      <c r="B44" s="482">
        <v>0</v>
      </c>
      <c r="C44" s="99" t="s">
        <v>29</v>
      </c>
      <c r="D44" s="100">
        <f>IF(C44="Str",'Personal File'!$C$10,IF(C44="Dex",'Personal File'!$C$11,IF(C44="Con",'Personal File'!$C$12,IF(C44="Int",'Personal File'!$C$13,IF(C44="Wis",'Personal File'!$C$14,IF(C44="Cha",'Personal File'!$C$15))))))</f>
        <v>-1</v>
      </c>
      <c r="E44" s="101" t="str">
        <f t="shared" si="3"/>
        <v>Str (-1)</v>
      </c>
      <c r="F44" s="86" t="s">
        <v>56</v>
      </c>
      <c r="G44" s="86">
        <f t="shared" si="1"/>
        <v>-1</v>
      </c>
      <c r="H44" s="70">
        <f t="shared" ca="1" si="5"/>
        <v>17</v>
      </c>
      <c r="I44" s="86">
        <f t="shared" ca="1" si="4"/>
        <v>16</v>
      </c>
      <c r="J44" s="71"/>
    </row>
    <row r="45" spans="1:10" ht="16.8">
      <c r="A45" s="424" t="s">
        <v>52</v>
      </c>
      <c r="B45" s="484">
        <v>1</v>
      </c>
      <c r="C45" s="425" t="s">
        <v>28</v>
      </c>
      <c r="D45" s="426" t="str">
        <f>IF(C45="Str",'Personal File'!$C$10,IF(C45="Dex",'Personal File'!$C$11,IF(C45="Con",'Personal File'!$C$12,IF(C45="Int",'Personal File'!$C$13,IF(C45="Wis",'Personal File'!$C$14,IF(C45="Cha",'Personal File'!$C$15))))))</f>
        <v>+1</v>
      </c>
      <c r="E45" s="427" t="str">
        <f t="shared" si="3"/>
        <v>Dex (+1)</v>
      </c>
      <c r="F45" s="267">
        <f>SUM(Martial!$D$13:$D$14)*-1</f>
        <v>0</v>
      </c>
      <c r="G45" s="267">
        <f t="shared" si="1"/>
        <v>2</v>
      </c>
      <c r="H45" s="70">
        <f t="shared" ca="1" si="5"/>
        <v>9</v>
      </c>
      <c r="I45" s="267">
        <f t="shared" ref="I45:I46" ca="1" si="21">SUM(G45:H45)</f>
        <v>11</v>
      </c>
      <c r="J45" s="305"/>
    </row>
    <row r="46" spans="1:10" ht="16.8">
      <c r="A46" s="269" t="s">
        <v>53</v>
      </c>
      <c r="B46" s="483">
        <v>4</v>
      </c>
      <c r="C46" s="270" t="s">
        <v>24</v>
      </c>
      <c r="D46" s="271" t="str">
        <f>IF(C46="Str",'Personal File'!$C$10,IF(C46="Dex",'Personal File'!$C$11,IF(C46="Con",'Personal File'!$C$12,IF(C46="Int",'Personal File'!$C$13,IF(C46="Wis",'Personal File'!$C$14,IF(C46="Cha",'Personal File'!$C$15))))))</f>
        <v>+5</v>
      </c>
      <c r="E46" s="272" t="str">
        <f t="shared" si="3"/>
        <v>Cha (+5)</v>
      </c>
      <c r="F46" s="430">
        <f>2</f>
        <v>2</v>
      </c>
      <c r="G46" s="267">
        <f t="shared" si="1"/>
        <v>11</v>
      </c>
      <c r="H46" s="70">
        <f t="shared" ca="1" si="5"/>
        <v>14</v>
      </c>
      <c r="I46" s="267">
        <f t="shared" ca="1" si="21"/>
        <v>25</v>
      </c>
      <c r="J46" s="303"/>
    </row>
    <row r="47" spans="1:10" ht="17.399999999999999" thickBot="1">
      <c r="A47" s="131" t="s">
        <v>54</v>
      </c>
      <c r="B47" s="489">
        <v>0</v>
      </c>
      <c r="C47" s="132" t="s">
        <v>28</v>
      </c>
      <c r="D47" s="133" t="str">
        <f>IF(C47="Str",'Personal File'!$C$10,IF(C47="Dex",'Personal File'!$C$11,IF(C47="Con",'Personal File'!$C$12,IF(C47="Int",'Personal File'!$C$13,IF(C47="Wis",'Personal File'!$C$14,IF(C47="Cha",'Personal File'!$C$15))))))</f>
        <v>+1</v>
      </c>
      <c r="E47" s="134" t="str">
        <f t="shared" si="3"/>
        <v>Dex (+1)</v>
      </c>
      <c r="F47" s="135" t="s">
        <v>56</v>
      </c>
      <c r="G47" s="135">
        <f t="shared" si="1"/>
        <v>1</v>
      </c>
      <c r="H47" s="136">
        <f t="shared" ref="H47" ca="1" si="22">RANDBETWEEN(1,20)</f>
        <v>12</v>
      </c>
      <c r="I47" s="135">
        <f t="shared" ca="1" si="4"/>
        <v>13</v>
      </c>
      <c r="J47" s="137"/>
    </row>
    <row r="48" spans="1:10" ht="16.2" thickTop="1">
      <c r="B48" s="138">
        <f>SUM(B6:B47)-B25</f>
        <v>68</v>
      </c>
      <c r="E48" s="307">
        <f>SUM(E49:E55)</f>
        <v>68</v>
      </c>
      <c r="F48" s="139" t="s">
        <v>57</v>
      </c>
    </row>
    <row r="49" spans="2:6">
      <c r="B49" s="138"/>
      <c r="E49" s="308">
        <f>4*(6+'Personal File'!$C$13)</f>
        <v>28</v>
      </c>
      <c r="F49" s="141" t="s">
        <v>125</v>
      </c>
    </row>
    <row r="50" spans="2:6">
      <c r="E50" s="307">
        <f>6+'Personal File'!$C$13</f>
        <v>7</v>
      </c>
      <c r="F50" s="141" t="s">
        <v>126</v>
      </c>
    </row>
    <row r="51" spans="2:6">
      <c r="E51" s="307">
        <f>6+'Personal File'!$C$13</f>
        <v>7</v>
      </c>
      <c r="F51" s="141" t="s">
        <v>127</v>
      </c>
    </row>
    <row r="52" spans="2:6">
      <c r="E52" s="307">
        <f>6+'Personal File'!$C$13</f>
        <v>7</v>
      </c>
      <c r="F52" s="141" t="s">
        <v>128</v>
      </c>
    </row>
    <row r="53" spans="2:6">
      <c r="E53" s="307">
        <f>6+'Personal File'!$C$13</f>
        <v>7</v>
      </c>
      <c r="F53" s="141" t="s">
        <v>152</v>
      </c>
    </row>
    <row r="54" spans="2:6">
      <c r="E54" s="307">
        <f>6+'Personal File'!$C$13</f>
        <v>7</v>
      </c>
      <c r="F54" s="141" t="s">
        <v>153</v>
      </c>
    </row>
    <row r="55" spans="2:6">
      <c r="E55" s="308">
        <f>4+'Personal File'!$C$13</f>
        <v>5</v>
      </c>
      <c r="F55" s="141" t="s">
        <v>292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
  <sheetViews>
    <sheetView showGridLines="0" workbookViewId="0">
      <pane ySplit="2" topLeftCell="A3" activePane="bottomLeft" state="frozen"/>
      <selection pane="bottomLeft" activeCell="A3" sqref="A3"/>
    </sheetView>
  </sheetViews>
  <sheetFormatPr defaultColWidth="13" defaultRowHeight="15.6"/>
  <cols>
    <col min="1" max="1" width="18.3984375" style="59" bestFit="1" customWidth="1"/>
    <col min="2" max="2" width="6.19921875" style="59" bestFit="1" customWidth="1"/>
    <col min="3" max="3" width="13.59765625" style="60" bestFit="1" customWidth="1"/>
    <col min="4" max="4" width="11.296875" style="60" bestFit="1" customWidth="1"/>
    <col min="5" max="5" width="8.09765625" style="140" bestFit="1" customWidth="1"/>
    <col min="6" max="6" width="13.19921875" style="60" bestFit="1" customWidth="1"/>
    <col min="7" max="7" width="15.3984375" style="60" bestFit="1" customWidth="1"/>
    <col min="8" max="8" width="20.09765625" style="59" bestFit="1" customWidth="1"/>
    <col min="9" max="9" width="5.5" style="17" bestFit="1" customWidth="1"/>
    <col min="10" max="10" width="3.296875" style="17" bestFit="1" customWidth="1"/>
    <col min="11" max="14" width="13" style="149"/>
    <col min="15" max="16384" width="13" style="17"/>
  </cols>
  <sheetData>
    <row r="1" spans="1:14" ht="23.4" thickBot="1">
      <c r="A1" s="363" t="s">
        <v>158</v>
      </c>
      <c r="B1" s="62"/>
      <c r="C1" s="62"/>
      <c r="D1" s="62"/>
      <c r="E1" s="63"/>
      <c r="F1" s="62"/>
      <c r="G1" s="62"/>
      <c r="H1" s="62"/>
    </row>
    <row r="2" spans="1:14" s="12" customFormat="1" ht="16.8">
      <c r="A2" s="364" t="s">
        <v>71</v>
      </c>
      <c r="B2" s="365" t="s">
        <v>0</v>
      </c>
      <c r="C2" s="365" t="s">
        <v>74</v>
      </c>
      <c r="D2" s="366" t="s">
        <v>96</v>
      </c>
      <c r="E2" s="365" t="s">
        <v>97</v>
      </c>
      <c r="F2" s="365" t="s">
        <v>59</v>
      </c>
      <c r="G2" s="365" t="s">
        <v>17</v>
      </c>
      <c r="H2" s="365" t="s">
        <v>139</v>
      </c>
      <c r="I2" s="367" t="s">
        <v>140</v>
      </c>
      <c r="J2" s="347" t="s">
        <v>159</v>
      </c>
      <c r="K2" s="149"/>
      <c r="L2" s="149"/>
      <c r="M2" s="149"/>
      <c r="N2" s="149"/>
    </row>
    <row r="3" spans="1:14" s="12" customFormat="1" ht="16.8">
      <c r="A3" s="328" t="s">
        <v>206</v>
      </c>
      <c r="B3" s="144">
        <v>0</v>
      </c>
      <c r="C3" s="370" t="s">
        <v>65</v>
      </c>
      <c r="D3" s="2" t="s">
        <v>98</v>
      </c>
      <c r="E3" s="143" t="s">
        <v>99</v>
      </c>
      <c r="F3" s="143" t="s">
        <v>212</v>
      </c>
      <c r="G3" s="143" t="s">
        <v>66</v>
      </c>
      <c r="H3" s="143" t="s">
        <v>138</v>
      </c>
      <c r="I3" s="371">
        <v>219</v>
      </c>
      <c r="J3" s="347"/>
      <c r="K3" s="149"/>
      <c r="L3" s="149"/>
      <c r="M3" s="149"/>
      <c r="N3" s="149"/>
    </row>
    <row r="4" spans="1:14" ht="16.8">
      <c r="A4" s="328" t="s">
        <v>147</v>
      </c>
      <c r="B4" s="144">
        <v>0</v>
      </c>
      <c r="C4" s="290" t="s">
        <v>143</v>
      </c>
      <c r="D4" s="2" t="s">
        <v>98</v>
      </c>
      <c r="E4" s="287" t="s">
        <v>99</v>
      </c>
      <c r="F4" s="143" t="s">
        <v>84</v>
      </c>
      <c r="G4" s="143" t="s">
        <v>8</v>
      </c>
      <c r="H4" s="143" t="s">
        <v>138</v>
      </c>
      <c r="I4" s="1">
        <v>249</v>
      </c>
      <c r="J4" s="347"/>
    </row>
    <row r="5" spans="1:14" ht="16.8">
      <c r="A5" s="328" t="s">
        <v>207</v>
      </c>
      <c r="B5" s="144">
        <v>0</v>
      </c>
      <c r="C5" s="470" t="s">
        <v>143</v>
      </c>
      <c r="D5" s="472" t="s">
        <v>101</v>
      </c>
      <c r="E5" s="474" t="s">
        <v>99</v>
      </c>
      <c r="F5" s="477" t="s">
        <v>100</v>
      </c>
      <c r="G5" s="477" t="s">
        <v>69</v>
      </c>
      <c r="H5" s="143" t="s">
        <v>138</v>
      </c>
      <c r="I5" s="1">
        <v>253</v>
      </c>
      <c r="J5" s="347"/>
    </row>
    <row r="6" spans="1:14" ht="16.8">
      <c r="A6" s="328" t="s">
        <v>137</v>
      </c>
      <c r="B6" s="144">
        <v>0</v>
      </c>
      <c r="C6" s="290" t="s">
        <v>65</v>
      </c>
      <c r="D6" s="2" t="s">
        <v>98</v>
      </c>
      <c r="E6" s="287" t="s">
        <v>99</v>
      </c>
      <c r="F6" s="143" t="s">
        <v>75</v>
      </c>
      <c r="G6" s="143" t="s">
        <v>102</v>
      </c>
      <c r="H6" s="143" t="s">
        <v>138</v>
      </c>
      <c r="I6" s="1">
        <v>264</v>
      </c>
      <c r="J6" s="347"/>
    </row>
    <row r="7" spans="1:14" ht="16.8">
      <c r="A7" s="327" t="s">
        <v>103</v>
      </c>
      <c r="B7" s="68">
        <v>0</v>
      </c>
      <c r="C7" s="142" t="s">
        <v>65</v>
      </c>
      <c r="D7" s="2" t="s">
        <v>101</v>
      </c>
      <c r="E7" s="287" t="s">
        <v>99</v>
      </c>
      <c r="F7" s="143" t="s">
        <v>68</v>
      </c>
      <c r="G7" s="143" t="s">
        <v>69</v>
      </c>
      <c r="H7" s="143" t="s">
        <v>138</v>
      </c>
      <c r="I7" s="1">
        <v>269</v>
      </c>
      <c r="J7" s="347"/>
    </row>
    <row r="8" spans="1:14" ht="16.8">
      <c r="A8" s="329" t="s">
        <v>215</v>
      </c>
      <c r="B8" s="145">
        <v>0</v>
      </c>
      <c r="C8" s="471" t="s">
        <v>149</v>
      </c>
      <c r="D8" s="473" t="s">
        <v>98</v>
      </c>
      <c r="E8" s="475" t="s">
        <v>99</v>
      </c>
      <c r="F8" s="288" t="s">
        <v>68</v>
      </c>
      <c r="G8" s="288" t="s">
        <v>216</v>
      </c>
      <c r="H8" s="288" t="s">
        <v>142</v>
      </c>
      <c r="I8" s="289">
        <v>95</v>
      </c>
      <c r="J8" s="347"/>
    </row>
    <row r="9" spans="1:14" ht="16.8">
      <c r="A9" s="328" t="s">
        <v>208</v>
      </c>
      <c r="B9" s="144">
        <v>1</v>
      </c>
      <c r="C9" s="142" t="s">
        <v>149</v>
      </c>
      <c r="D9" s="2" t="s">
        <v>98</v>
      </c>
      <c r="E9" s="287" t="s">
        <v>99</v>
      </c>
      <c r="F9" s="143" t="s">
        <v>162</v>
      </c>
      <c r="G9" s="143" t="s">
        <v>67</v>
      </c>
      <c r="H9" s="143" t="s">
        <v>138</v>
      </c>
      <c r="I9" s="1">
        <v>216</v>
      </c>
      <c r="J9" s="347"/>
    </row>
    <row r="10" spans="1:14" ht="16.8">
      <c r="A10" s="328" t="s">
        <v>148</v>
      </c>
      <c r="B10" s="144">
        <v>1</v>
      </c>
      <c r="C10" s="142" t="s">
        <v>149</v>
      </c>
      <c r="D10" s="2" t="s">
        <v>150</v>
      </c>
      <c r="E10" s="143" t="s">
        <v>99</v>
      </c>
      <c r="F10" s="143" t="s">
        <v>84</v>
      </c>
      <c r="G10" s="143" t="s">
        <v>70</v>
      </c>
      <c r="H10" s="143" t="s">
        <v>138</v>
      </c>
      <c r="I10" s="1">
        <v>237</v>
      </c>
      <c r="J10" s="347"/>
    </row>
    <row r="11" spans="1:14" ht="16.8">
      <c r="A11" s="493" t="s">
        <v>209</v>
      </c>
      <c r="B11" s="494">
        <v>1</v>
      </c>
      <c r="C11" s="495" t="s">
        <v>141</v>
      </c>
      <c r="D11" s="500" t="s">
        <v>98</v>
      </c>
      <c r="E11" s="497" t="s">
        <v>213</v>
      </c>
      <c r="F11" s="501" t="s">
        <v>68</v>
      </c>
      <c r="G11" s="498" t="s">
        <v>176</v>
      </c>
      <c r="H11" s="498" t="s">
        <v>214</v>
      </c>
      <c r="I11" s="502">
        <v>153</v>
      </c>
      <c r="J11" s="347"/>
    </row>
    <row r="12" spans="1:14" ht="16.8">
      <c r="A12" s="329" t="s">
        <v>210</v>
      </c>
      <c r="B12" s="145">
        <v>1</v>
      </c>
      <c r="C12" s="146" t="s">
        <v>141</v>
      </c>
      <c r="D12" s="147" t="s">
        <v>150</v>
      </c>
      <c r="E12" s="374" t="s">
        <v>99</v>
      </c>
      <c r="F12" s="148" t="s">
        <v>84</v>
      </c>
      <c r="G12" s="148" t="s">
        <v>70</v>
      </c>
      <c r="H12" s="288" t="s">
        <v>138</v>
      </c>
      <c r="I12" s="289">
        <v>292</v>
      </c>
      <c r="J12" s="347"/>
    </row>
    <row r="13" spans="1:14" ht="16.8">
      <c r="A13" s="327" t="s">
        <v>211</v>
      </c>
      <c r="B13" s="68">
        <v>2</v>
      </c>
      <c r="C13" s="142" t="s">
        <v>143</v>
      </c>
      <c r="D13" s="2" t="s">
        <v>98</v>
      </c>
      <c r="E13" s="372" t="s">
        <v>99</v>
      </c>
      <c r="F13" s="143" t="s">
        <v>68</v>
      </c>
      <c r="G13" s="143" t="s">
        <v>69</v>
      </c>
      <c r="H13" s="143" t="s">
        <v>138</v>
      </c>
      <c r="I13" s="373">
        <v>197</v>
      </c>
      <c r="J13" s="347"/>
    </row>
    <row r="14" spans="1:14" ht="16.8">
      <c r="A14" s="493" t="s">
        <v>295</v>
      </c>
      <c r="B14" s="494">
        <v>2</v>
      </c>
      <c r="C14" s="495" t="s">
        <v>149</v>
      </c>
      <c r="D14" s="496" t="s">
        <v>150</v>
      </c>
      <c r="E14" s="497" t="s">
        <v>99</v>
      </c>
      <c r="F14" s="498" t="s">
        <v>100</v>
      </c>
      <c r="G14" s="498" t="s">
        <v>70</v>
      </c>
      <c r="H14" s="498" t="s">
        <v>138</v>
      </c>
      <c r="I14" s="499">
        <v>236</v>
      </c>
      <c r="J14" s="347"/>
    </row>
    <row r="15" spans="1:14" ht="16.8">
      <c r="A15" s="327" t="s">
        <v>293</v>
      </c>
      <c r="B15" s="66">
        <v>2</v>
      </c>
      <c r="C15" s="142" t="s">
        <v>144</v>
      </c>
      <c r="D15" s="2" t="s">
        <v>294</v>
      </c>
      <c r="E15" s="143" t="s">
        <v>99</v>
      </c>
      <c r="F15" s="143" t="s">
        <v>162</v>
      </c>
      <c r="G15" s="143" t="s">
        <v>69</v>
      </c>
      <c r="H15" s="143" t="s">
        <v>138</v>
      </c>
      <c r="I15" s="1">
        <v>245</v>
      </c>
      <c r="J15" s="347"/>
    </row>
    <row r="16" spans="1:14" ht="16.8">
      <c r="A16" s="479" t="s">
        <v>218</v>
      </c>
      <c r="B16" s="369">
        <v>2</v>
      </c>
      <c r="C16" s="471" t="s">
        <v>143</v>
      </c>
      <c r="D16" s="473" t="s">
        <v>150</v>
      </c>
      <c r="E16" s="480" t="s">
        <v>99</v>
      </c>
      <c r="F16" s="288" t="s">
        <v>85</v>
      </c>
      <c r="G16" s="288" t="s">
        <v>219</v>
      </c>
      <c r="H16" s="288" t="s">
        <v>138</v>
      </c>
      <c r="I16" s="481">
        <v>267</v>
      </c>
      <c r="J16" s="347"/>
    </row>
    <row r="17" spans="1:10" ht="16.8">
      <c r="A17" s="327" t="s">
        <v>297</v>
      </c>
      <c r="B17" s="68">
        <v>3</v>
      </c>
      <c r="C17" s="142" t="s">
        <v>141</v>
      </c>
      <c r="D17" s="2" t="s">
        <v>150</v>
      </c>
      <c r="E17" s="372" t="s">
        <v>99</v>
      </c>
      <c r="F17" s="143" t="s">
        <v>117</v>
      </c>
      <c r="G17" s="143" t="s">
        <v>66</v>
      </c>
      <c r="H17" s="143" t="s">
        <v>138</v>
      </c>
      <c r="I17" s="371">
        <v>215</v>
      </c>
      <c r="J17" s="347"/>
    </row>
    <row r="18" spans="1:10" ht="17.399999999999999" thickBot="1">
      <c r="A18" s="330" t="s">
        <v>296</v>
      </c>
      <c r="B18" s="469">
        <v>3</v>
      </c>
      <c r="C18" s="283" t="s">
        <v>143</v>
      </c>
      <c r="D18" s="284" t="s">
        <v>150</v>
      </c>
      <c r="E18" s="476" t="s">
        <v>99</v>
      </c>
      <c r="F18" s="285" t="s">
        <v>84</v>
      </c>
      <c r="G18" s="285" t="s">
        <v>70</v>
      </c>
      <c r="H18" s="285" t="s">
        <v>138</v>
      </c>
      <c r="I18" s="478">
        <v>239</v>
      </c>
      <c r="J18" s="347"/>
    </row>
    <row r="19" spans="1:10" ht="16.2" thickTop="1"/>
    <row r="20" spans="1:10">
      <c r="A20" s="503" t="s">
        <v>300</v>
      </c>
    </row>
  </sheetData>
  <sortState xmlns:xlrd2="http://schemas.microsoft.com/office/spreadsheetml/2017/richdata2" ref="A3:J18">
    <sortCondition ref="B3:B18"/>
    <sortCondition ref="A3:A1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showGridLines="0" workbookViewId="0"/>
  </sheetViews>
  <sheetFormatPr defaultColWidth="11.3984375" defaultRowHeight="16.8"/>
  <cols>
    <col min="1" max="1" width="27.8984375" style="172" bestFit="1" customWidth="1"/>
    <col min="2" max="2" width="2.5" style="171" customWidth="1"/>
    <col min="3" max="3" width="14.69921875" style="150" bestFit="1" customWidth="1"/>
    <col min="4" max="11" width="3.19921875" style="150" customWidth="1"/>
    <col min="12" max="16384" width="11.3984375" style="150"/>
  </cols>
  <sheetData>
    <row r="1" spans="1:11" ht="24" thickTop="1" thickBot="1">
      <c r="A1" s="311" t="s">
        <v>108</v>
      </c>
      <c r="B1" s="150"/>
      <c r="C1" s="151"/>
      <c r="D1" s="346" t="s">
        <v>105</v>
      </c>
      <c r="E1" s="152"/>
      <c r="F1" s="152"/>
      <c r="G1" s="153"/>
      <c r="H1" s="152"/>
      <c r="I1" s="152"/>
      <c r="J1" s="152"/>
      <c r="K1" s="153"/>
    </row>
    <row r="2" spans="1:11" ht="17.399999999999999" thickTop="1">
      <c r="A2" s="286" t="s">
        <v>200</v>
      </c>
      <c r="B2" s="150"/>
      <c r="C2" s="151"/>
      <c r="D2" s="154" t="s">
        <v>106</v>
      </c>
      <c r="E2" s="155"/>
      <c r="F2" s="155"/>
      <c r="G2" s="155"/>
      <c r="H2" s="155"/>
      <c r="I2" s="155"/>
      <c r="J2" s="155"/>
      <c r="K2" s="156"/>
    </row>
    <row r="3" spans="1:11" ht="17.399999999999999" thickBot="1">
      <c r="A3" s="314" t="s">
        <v>201</v>
      </c>
      <c r="B3" s="150"/>
      <c r="C3" s="151"/>
      <c r="D3" s="157">
        <v>0</v>
      </c>
      <c r="E3" s="158">
        <v>1</v>
      </c>
      <c r="F3" s="158">
        <v>2</v>
      </c>
      <c r="G3" s="158">
        <v>3</v>
      </c>
      <c r="H3" s="158">
        <v>4</v>
      </c>
      <c r="I3" s="158">
        <v>5</v>
      </c>
      <c r="J3" s="158">
        <v>6</v>
      </c>
      <c r="K3" s="159">
        <v>7</v>
      </c>
    </row>
    <row r="4" spans="1:11" ht="18" thickTop="1" thickBot="1">
      <c r="A4" s="428" t="s">
        <v>269</v>
      </c>
      <c r="B4" s="150"/>
      <c r="C4" s="160" t="s">
        <v>145</v>
      </c>
      <c r="D4" s="161">
        <v>3</v>
      </c>
      <c r="E4" s="162">
        <v>3</v>
      </c>
      <c r="F4" s="162">
        <v>2</v>
      </c>
      <c r="G4" s="162">
        <v>0</v>
      </c>
      <c r="H4" s="163">
        <v>0</v>
      </c>
      <c r="I4" s="163">
        <v>0</v>
      </c>
      <c r="J4" s="163">
        <v>0</v>
      </c>
      <c r="K4" s="164">
        <v>0</v>
      </c>
    </row>
    <row r="5" spans="1:11" ht="18" thickTop="1" thickBot="1">
      <c r="B5" s="150"/>
      <c r="C5" s="165" t="s">
        <v>131</v>
      </c>
      <c r="D5" s="166">
        <v>0</v>
      </c>
      <c r="E5" s="167">
        <v>2</v>
      </c>
      <c r="F5" s="167">
        <v>1</v>
      </c>
      <c r="G5" s="167">
        <v>1</v>
      </c>
      <c r="H5" s="168">
        <v>1</v>
      </c>
      <c r="I5" s="492">
        <v>1</v>
      </c>
      <c r="J5" s="168">
        <v>0</v>
      </c>
      <c r="K5" s="169">
        <v>0</v>
      </c>
    </row>
    <row r="6" spans="1:11" ht="22.2" thickTop="1" thickBot="1">
      <c r="A6" s="311" t="s">
        <v>89</v>
      </c>
      <c r="B6" s="150"/>
      <c r="C6" s="165" t="s">
        <v>301</v>
      </c>
      <c r="D6" s="166">
        <v>0</v>
      </c>
      <c r="E6" s="167">
        <v>1</v>
      </c>
      <c r="F6" s="167">
        <v>1</v>
      </c>
      <c r="G6" s="167">
        <v>0</v>
      </c>
      <c r="H6" s="168">
        <v>0</v>
      </c>
      <c r="I6" s="168">
        <v>0</v>
      </c>
      <c r="J6" s="168">
        <v>0</v>
      </c>
      <c r="K6" s="169">
        <v>0</v>
      </c>
    </row>
    <row r="7" spans="1:11">
      <c r="A7" s="173" t="str">
        <f>CONCATENATE("Bardic Knowledge 1d20 +",'Personal File'!C13+'Personal File'!E3)</f>
        <v>Bardic Knowledge 1d20 +7</v>
      </c>
      <c r="B7" s="150"/>
      <c r="C7" s="300" t="s">
        <v>107</v>
      </c>
      <c r="D7" s="344">
        <f t="shared" ref="D7:G7" si="0">SUM(D4:D6)</f>
        <v>3</v>
      </c>
      <c r="E7" s="345">
        <f t="shared" si="0"/>
        <v>6</v>
      </c>
      <c r="F7" s="345">
        <f t="shared" si="0"/>
        <v>4</v>
      </c>
      <c r="G7" s="345">
        <f t="shared" si="0"/>
        <v>1</v>
      </c>
      <c r="H7" s="301">
        <v>0</v>
      </c>
      <c r="I7" s="301">
        <v>0</v>
      </c>
      <c r="J7" s="301">
        <v>0</v>
      </c>
      <c r="K7" s="302">
        <v>0</v>
      </c>
    </row>
    <row r="8" spans="1:11">
      <c r="A8" s="173" t="str">
        <f>CONCATENATE("Bardic Music ",('Personal File'!$E$3+'Personal File'!$E$4),"x/day")</f>
        <v>Bardic Music 7x/day</v>
      </c>
      <c r="B8" s="150"/>
      <c r="C8" s="295" t="s">
        <v>90</v>
      </c>
      <c r="D8" s="296">
        <f>10+D3+'Personal File'!$C$15</f>
        <v>15</v>
      </c>
      <c r="E8" s="297">
        <f>10+E3+'Personal File'!$C$15</f>
        <v>16</v>
      </c>
      <c r="F8" s="297">
        <f>10+F3+'Personal File'!$C$15</f>
        <v>17</v>
      </c>
      <c r="G8" s="297">
        <f>10+G3+'Personal File'!$C$15</f>
        <v>18</v>
      </c>
      <c r="H8" s="298" t="s">
        <v>111</v>
      </c>
      <c r="I8" s="298" t="s">
        <v>111</v>
      </c>
      <c r="J8" s="298" t="s">
        <v>111</v>
      </c>
      <c r="K8" s="299" t="s">
        <v>111</v>
      </c>
    </row>
    <row r="9" spans="1:11" ht="17.399999999999999" thickBot="1">
      <c r="A9" s="173" t="s">
        <v>134</v>
      </c>
      <c r="B9" s="150"/>
      <c r="C9" s="170" t="s">
        <v>72</v>
      </c>
      <c r="D9" s="291">
        <v>1</v>
      </c>
      <c r="E9" s="292">
        <v>5</v>
      </c>
      <c r="F9" s="292">
        <v>0</v>
      </c>
      <c r="G9" s="292">
        <v>3</v>
      </c>
      <c r="H9" s="293" t="s">
        <v>111</v>
      </c>
      <c r="I9" s="293" t="s">
        <v>111</v>
      </c>
      <c r="J9" s="293" t="s">
        <v>111</v>
      </c>
      <c r="K9" s="294" t="s">
        <v>111</v>
      </c>
    </row>
    <row r="10" spans="1:11" ht="17.399999999999999" thickTop="1">
      <c r="A10" s="173" t="s">
        <v>135</v>
      </c>
      <c r="B10" s="150"/>
    </row>
    <row r="11" spans="1:11">
      <c r="A11" s="173" t="s">
        <v>217</v>
      </c>
      <c r="B11" s="150"/>
      <c r="C11" s="171" t="s">
        <v>299</v>
      </c>
      <c r="D11" s="490">
        <f>SUM('Personal File'!E3:E4)</f>
        <v>7</v>
      </c>
    </row>
    <row r="12" spans="1:11">
      <c r="A12" s="173" t="s">
        <v>136</v>
      </c>
    </row>
    <row r="13" spans="1:11" ht="17.399999999999999" thickBot="1">
      <c r="A13" s="429" t="s">
        <v>270</v>
      </c>
    </row>
    <row r="14" spans="1:11" ht="18" thickTop="1" thickBot="1"/>
    <row r="15" spans="1:11" ht="22.2" thickTop="1" thickBot="1">
      <c r="A15" s="313" t="s">
        <v>91</v>
      </c>
    </row>
    <row r="16" spans="1:11">
      <c r="A16" s="453" t="s">
        <v>276</v>
      </c>
    </row>
    <row r="17" spans="1:1">
      <c r="A17" s="454" t="s">
        <v>277</v>
      </c>
    </row>
    <row r="18" spans="1:1">
      <c r="A18" s="454" t="s">
        <v>278</v>
      </c>
    </row>
    <row r="19" spans="1:1">
      <c r="A19" s="455" t="s">
        <v>92</v>
      </c>
    </row>
    <row r="20" spans="1:1" ht="17.399999999999999" thickBot="1">
      <c r="A20" s="456" t="s">
        <v>118</v>
      </c>
    </row>
    <row r="21" spans="1:1" ht="18" thickTop="1" thickBot="1"/>
    <row r="22" spans="1:1" ht="22.2" thickTop="1" thickBot="1">
      <c r="A22" s="312" t="s">
        <v>73</v>
      </c>
    </row>
    <row r="23" spans="1:1">
      <c r="A23" s="174" t="s">
        <v>199</v>
      </c>
    </row>
    <row r="24" spans="1:1" ht="17.399999999999999" thickBot="1">
      <c r="A24" s="175" t="s">
        <v>198</v>
      </c>
    </row>
    <row r="25" spans="1:1" ht="17.399999999999999" thickTop="1"/>
  </sheetData>
  <sortState xmlns:xlrd2="http://schemas.microsoft.com/office/spreadsheetml/2017/richdata2" ref="A14:A16">
    <sortCondition ref="A10: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showGridLines="0" zoomScaleNormal="100" workbookViewId="0"/>
  </sheetViews>
  <sheetFormatPr defaultColWidth="13" defaultRowHeight="15.6"/>
  <cols>
    <col min="1" max="1" width="18" style="177" bestFit="1" customWidth="1"/>
    <col min="2" max="2" width="8.5" style="177" bestFit="1" customWidth="1"/>
    <col min="3" max="3" width="4.296875" style="177" bestFit="1" customWidth="1"/>
    <col min="4" max="4" width="6.296875" style="177" bestFit="1" customWidth="1"/>
    <col min="5" max="6" width="8.5" style="177" bestFit="1" customWidth="1"/>
    <col min="7" max="7" width="4.3984375" style="177" bestFit="1" customWidth="1"/>
    <col min="8" max="8" width="4.69921875" style="177" bestFit="1" customWidth="1"/>
    <col min="9" max="9" width="5.69921875" style="177" bestFit="1" customWidth="1"/>
    <col min="10" max="10" width="6.296875" style="177" bestFit="1" customWidth="1"/>
    <col min="11" max="11" width="14.5" style="177" bestFit="1" customWidth="1"/>
    <col min="12" max="12" width="2.69921875" style="17" customWidth="1"/>
    <col min="13" max="13" width="5.796875" style="17" bestFit="1" customWidth="1"/>
    <col min="14" max="14" width="5.296875" style="17" customWidth="1"/>
    <col min="15" max="16384" width="13" style="17"/>
  </cols>
  <sheetData>
    <row r="1" spans="1:13" ht="23.4" thickBot="1">
      <c r="A1" s="176" t="s">
        <v>15</v>
      </c>
      <c r="B1" s="176"/>
      <c r="C1" s="176"/>
      <c r="D1" s="176"/>
      <c r="E1" s="176"/>
      <c r="F1" s="176"/>
      <c r="G1" s="176"/>
      <c r="H1" s="176"/>
      <c r="I1" s="176"/>
      <c r="J1" s="176"/>
      <c r="K1" s="176"/>
      <c r="M1" s="176"/>
    </row>
    <row r="2" spans="1:13" ht="16.8" thickTop="1" thickBot="1">
      <c r="A2" s="178" t="s">
        <v>1</v>
      </c>
      <c r="B2" s="179" t="s">
        <v>2</v>
      </c>
      <c r="C2" s="179" t="s">
        <v>19</v>
      </c>
      <c r="D2" s="179" t="s">
        <v>20</v>
      </c>
      <c r="E2" s="180" t="s">
        <v>58</v>
      </c>
      <c r="F2" s="179" t="s">
        <v>16</v>
      </c>
      <c r="G2" s="179" t="s">
        <v>21</v>
      </c>
      <c r="H2" s="181" t="s">
        <v>93</v>
      </c>
      <c r="I2" s="182" t="s">
        <v>114</v>
      </c>
      <c r="J2" s="181" t="s">
        <v>81</v>
      </c>
      <c r="K2" s="183" t="s">
        <v>79</v>
      </c>
      <c r="M2" s="184" t="s">
        <v>120</v>
      </c>
    </row>
    <row r="3" spans="1:13">
      <c r="A3" s="506" t="s">
        <v>236</v>
      </c>
      <c r="B3" s="3" t="s">
        <v>133</v>
      </c>
      <c r="C3" s="507">
        <f>'Personal File'!$C$10</f>
        <v>-1</v>
      </c>
      <c r="D3" s="508">
        <v>2</v>
      </c>
      <c r="E3" s="509" t="s">
        <v>154</v>
      </c>
      <c r="F3" s="510" t="s">
        <v>155</v>
      </c>
      <c r="G3" s="4">
        <v>4</v>
      </c>
      <c r="H3" s="511" t="str">
        <f>CONCATENATE("+",'Personal File'!$B$8+'Personal File'!$C$10+D3)</f>
        <v>+7</v>
      </c>
      <c r="I3" s="512">
        <f t="shared" ref="I3:I4" ca="1" si="0">RANDBETWEEN(1,20)</f>
        <v>17</v>
      </c>
      <c r="J3" s="513">
        <f t="shared" ref="J3" ca="1" si="1">I3+H3</f>
        <v>24</v>
      </c>
      <c r="K3" s="514"/>
      <c r="M3" s="319">
        <v>15</v>
      </c>
    </row>
    <row r="4" spans="1:13">
      <c r="A4" s="515" t="s">
        <v>263</v>
      </c>
      <c r="B4" s="516" t="s">
        <v>264</v>
      </c>
      <c r="C4" s="517">
        <f>'Personal File'!$C$10</f>
        <v>-1</v>
      </c>
      <c r="D4" s="518">
        <v>2</v>
      </c>
      <c r="E4" s="519" t="s">
        <v>111</v>
      </c>
      <c r="F4" s="520" t="s">
        <v>265</v>
      </c>
      <c r="G4" s="521">
        <v>1</v>
      </c>
      <c r="H4" s="522" t="str">
        <f>CONCATENATE("+",'Personal File'!$B$8+'Personal File'!$C$10+D4)</f>
        <v>+7</v>
      </c>
      <c r="I4" s="523">
        <f t="shared" ca="1" si="0"/>
        <v>6</v>
      </c>
      <c r="J4" s="524">
        <f t="shared" ref="J4" ca="1" si="2">I4+H4</f>
        <v>13</v>
      </c>
      <c r="K4" s="525"/>
      <c r="M4" s="440">
        <v>15</v>
      </c>
    </row>
    <row r="5" spans="1:13" ht="16.2" thickBot="1">
      <c r="A5" s="526" t="s">
        <v>288</v>
      </c>
      <c r="B5" s="527" t="s">
        <v>146</v>
      </c>
      <c r="C5" s="528">
        <f>'Personal File'!$C$10</f>
        <v>-1</v>
      </c>
      <c r="D5" s="529">
        <f>1+2</f>
        <v>3</v>
      </c>
      <c r="E5" s="530" t="s">
        <v>109</v>
      </c>
      <c r="F5" s="531" t="s">
        <v>110</v>
      </c>
      <c r="G5" s="207">
        <v>1</v>
      </c>
      <c r="H5" s="532" t="str">
        <f>CONCATENATE("+",'Personal File'!$B$8+'Personal File'!$C$10+D5)</f>
        <v>+8</v>
      </c>
      <c r="I5" s="533">
        <v>19</v>
      </c>
      <c r="J5" s="534">
        <v>19</v>
      </c>
      <c r="K5" s="535"/>
      <c r="M5" s="315">
        <v>300</v>
      </c>
    </row>
    <row r="6" spans="1:13" ht="16.8" thickTop="1" thickBot="1">
      <c r="M6" s="253"/>
    </row>
    <row r="7" spans="1:13" ht="16.8" thickTop="1" thickBot="1">
      <c r="A7" s="178" t="s">
        <v>4</v>
      </c>
      <c r="B7" s="179" t="s">
        <v>5</v>
      </c>
      <c r="C7" s="179" t="s">
        <v>19</v>
      </c>
      <c r="D7" s="179" t="s">
        <v>20</v>
      </c>
      <c r="E7" s="180" t="s">
        <v>58</v>
      </c>
      <c r="F7" s="179" t="s">
        <v>6</v>
      </c>
      <c r="G7" s="179" t="s">
        <v>21</v>
      </c>
      <c r="H7" s="181" t="s">
        <v>93</v>
      </c>
      <c r="I7" s="182" t="s">
        <v>114</v>
      </c>
      <c r="J7" s="181" t="s">
        <v>81</v>
      </c>
      <c r="K7" s="183" t="s">
        <v>79</v>
      </c>
      <c r="M7" s="316" t="s">
        <v>120</v>
      </c>
    </row>
    <row r="8" spans="1:13">
      <c r="A8" s="334" t="s">
        <v>279</v>
      </c>
      <c r="B8" s="335" t="s">
        <v>133</v>
      </c>
      <c r="C8" s="336" t="s">
        <v>56</v>
      </c>
      <c r="D8" s="337" t="s">
        <v>56</v>
      </c>
      <c r="E8" s="335" t="s">
        <v>109</v>
      </c>
      <c r="F8" s="337" t="s">
        <v>280</v>
      </c>
      <c r="G8" s="338" t="s">
        <v>286</v>
      </c>
      <c r="H8" s="441" t="str">
        <f>CONCATENATE("+",'Personal File'!$B$8+'Personal File'!$C$11+D8)</f>
        <v>+7</v>
      </c>
      <c r="I8" s="442">
        <f t="shared" ref="I8:I10" ca="1" si="3">RANDBETWEEN(1,20)</f>
        <v>17</v>
      </c>
      <c r="J8" s="443">
        <f t="shared" ref="J8" ca="1" si="4">I8+H8</f>
        <v>24</v>
      </c>
      <c r="K8" s="466" t="s">
        <v>287</v>
      </c>
      <c r="M8" s="317">
        <v>35</v>
      </c>
    </row>
    <row r="9" spans="1:13">
      <c r="A9" s="444" t="s">
        <v>272</v>
      </c>
      <c r="B9" s="491" t="s">
        <v>156</v>
      </c>
      <c r="C9" s="445" t="s">
        <v>56</v>
      </c>
      <c r="D9" s="445" t="s">
        <v>56</v>
      </c>
      <c r="E9" s="446">
        <v>20</v>
      </c>
      <c r="F9" s="445" t="s">
        <v>75</v>
      </c>
      <c r="G9" s="447">
        <f>K9</f>
        <v>4</v>
      </c>
      <c r="H9" s="447" t="str">
        <f>CONCATENATE("+",'Personal File'!$B$8+'Personal File'!$C$11+D9)</f>
        <v>+7</v>
      </c>
      <c r="I9" s="448">
        <f t="shared" ca="1" si="3"/>
        <v>17</v>
      </c>
      <c r="J9" s="449">
        <f ca="1">I9+H9</f>
        <v>24</v>
      </c>
      <c r="K9" s="452">
        <v>4</v>
      </c>
      <c r="L9" s="386"/>
      <c r="M9" s="440">
        <f>10*K9</f>
        <v>40</v>
      </c>
    </row>
    <row r="10" spans="1:13" ht="16.2" thickBot="1">
      <c r="A10" s="321" t="s">
        <v>123</v>
      </c>
      <c r="B10" s="322" t="s">
        <v>111</v>
      </c>
      <c r="C10" s="323" t="s">
        <v>111</v>
      </c>
      <c r="D10" s="323" t="s">
        <v>56</v>
      </c>
      <c r="E10" s="322" t="s">
        <v>111</v>
      </c>
      <c r="F10" s="323" t="s">
        <v>111</v>
      </c>
      <c r="G10" s="324" t="s">
        <v>111</v>
      </c>
      <c r="H10" s="450" t="str">
        <f>CONCATENATE("+",'Personal File'!$B$8+'Personal File'!$C$11+D10)</f>
        <v>+7</v>
      </c>
      <c r="I10" s="451">
        <f t="shared" ca="1" si="3"/>
        <v>14</v>
      </c>
      <c r="J10" s="450">
        <f t="shared" ref="J10" ca="1" si="5">I10+H10</f>
        <v>21</v>
      </c>
      <c r="K10" s="325"/>
      <c r="M10" s="320" t="s">
        <v>111</v>
      </c>
    </row>
    <row r="11" spans="1:13" ht="16.8" thickTop="1" thickBot="1">
      <c r="D11" s="185"/>
      <c r="E11" s="185"/>
      <c r="G11" s="186"/>
      <c r="H11" s="186"/>
      <c r="I11" s="186"/>
      <c r="J11" s="186"/>
      <c r="M11" s="253"/>
    </row>
    <row r="12" spans="1:13" ht="16.8" thickTop="1" thickBot="1">
      <c r="A12" s="178" t="s">
        <v>63</v>
      </c>
      <c r="B12" s="179" t="s">
        <v>9</v>
      </c>
      <c r="C12" s="179" t="s">
        <v>28</v>
      </c>
      <c r="D12" s="179" t="s">
        <v>81</v>
      </c>
      <c r="E12" s="179" t="s">
        <v>82</v>
      </c>
      <c r="F12" s="179" t="s">
        <v>83</v>
      </c>
      <c r="G12" s="179" t="s">
        <v>21</v>
      </c>
      <c r="H12" s="187" t="s">
        <v>79</v>
      </c>
      <c r="I12" s="188"/>
      <c r="J12" s="188"/>
      <c r="K12" s="189"/>
      <c r="M12" s="316" t="s">
        <v>120</v>
      </c>
    </row>
    <row r="13" spans="1:13">
      <c r="A13" s="349" t="s">
        <v>238</v>
      </c>
      <c r="B13" s="3">
        <v>6</v>
      </c>
      <c r="C13" s="190">
        <v>6</v>
      </c>
      <c r="D13" s="3">
        <v>0</v>
      </c>
      <c r="E13" s="191">
        <v>0.1</v>
      </c>
      <c r="F13" s="342" t="str">
        <f>'Personal File'!E8</f>
        <v>30’</v>
      </c>
      <c r="G13" s="4">
        <v>12.5</v>
      </c>
      <c r="H13" s="192" t="s">
        <v>157</v>
      </c>
      <c r="I13" s="193"/>
      <c r="J13" s="193"/>
      <c r="K13" s="194"/>
      <c r="M13" s="319">
        <v>2100</v>
      </c>
    </row>
    <row r="14" spans="1:13" ht="16.2" thickBot="1">
      <c r="A14" s="260"/>
      <c r="B14" s="264"/>
      <c r="C14" s="265"/>
      <c r="D14" s="264"/>
      <c r="E14" s="266"/>
      <c r="F14" s="264"/>
      <c r="G14" s="207"/>
      <c r="H14" s="261"/>
      <c r="I14" s="262"/>
      <c r="J14" s="262"/>
      <c r="K14" s="263"/>
      <c r="M14" s="315"/>
    </row>
    <row r="15" spans="1:13" ht="16.8" thickTop="1" thickBot="1">
      <c r="M15" s="253"/>
    </row>
    <row r="16" spans="1:13" ht="16.8" thickTop="1" thickBot="1">
      <c r="D16" s="195" t="s">
        <v>64</v>
      </c>
      <c r="E16" s="196"/>
      <c r="F16" s="187" t="s">
        <v>3</v>
      </c>
      <c r="G16" s="179" t="s">
        <v>21</v>
      </c>
      <c r="H16" s="181" t="s">
        <v>93</v>
      </c>
      <c r="I16" s="187" t="s">
        <v>79</v>
      </c>
      <c r="J16" s="188"/>
      <c r="K16" s="189"/>
      <c r="M16" s="316" t="s">
        <v>120</v>
      </c>
    </row>
    <row r="17" spans="1:14">
      <c r="D17" s="197" t="s">
        <v>281</v>
      </c>
      <c r="E17" s="198"/>
      <c r="F17" s="199">
        <v>20</v>
      </c>
      <c r="G17" s="4">
        <f t="shared" ref="G17:G18" si="6">F17*3/20</f>
        <v>3</v>
      </c>
      <c r="H17" s="200" t="s">
        <v>56</v>
      </c>
      <c r="I17" s="201"/>
      <c r="J17" s="202"/>
      <c r="K17" s="203"/>
      <c r="M17" s="319">
        <f t="shared" ref="M17" si="7">F17/10</f>
        <v>2</v>
      </c>
    </row>
    <row r="18" spans="1:14">
      <c r="D18" s="459" t="s">
        <v>289</v>
      </c>
      <c r="E18" s="460"/>
      <c r="F18" s="461">
        <v>20</v>
      </c>
      <c r="G18" s="421">
        <f t="shared" si="6"/>
        <v>3</v>
      </c>
      <c r="H18" s="462" t="s">
        <v>56</v>
      </c>
      <c r="I18" s="463"/>
      <c r="J18" s="464"/>
      <c r="K18" s="465"/>
      <c r="M18" s="422">
        <f>F18/10+(2*F18)</f>
        <v>42</v>
      </c>
    </row>
    <row r="19" spans="1:14" ht="16.2" thickBot="1">
      <c r="D19" s="204" t="s">
        <v>282</v>
      </c>
      <c r="E19" s="205"/>
      <c r="F19" s="206">
        <v>10</v>
      </c>
      <c r="G19" s="207">
        <f t="shared" ref="G19" si="8">F19*3/20</f>
        <v>1.5</v>
      </c>
      <c r="H19" s="208" t="s">
        <v>56</v>
      </c>
      <c r="I19" s="209"/>
      <c r="J19" s="210"/>
      <c r="K19" s="211"/>
      <c r="M19" s="315">
        <f>F19/5</f>
        <v>2</v>
      </c>
      <c r="N19" s="149"/>
    </row>
    <row r="20" spans="1:14" ht="16.8" thickTop="1" thickBot="1">
      <c r="M20" s="253"/>
    </row>
    <row r="21" spans="1:14" ht="16.8" thickTop="1" thickBot="1">
      <c r="D21" s="195" t="s">
        <v>121</v>
      </c>
      <c r="E21" s="188"/>
      <c r="F21" s="188"/>
      <c r="G21" s="188"/>
      <c r="H21" s="213" t="s">
        <v>3</v>
      </c>
      <c r="I21" s="213" t="s">
        <v>0</v>
      </c>
      <c r="J21" s="213" t="s">
        <v>122</v>
      </c>
      <c r="K21" s="189" t="s">
        <v>79</v>
      </c>
      <c r="L21" s="149"/>
      <c r="M21" s="316" t="s">
        <v>120</v>
      </c>
    </row>
    <row r="22" spans="1:14">
      <c r="D22" s="245" t="s">
        <v>160</v>
      </c>
      <c r="E22" s="246"/>
      <c r="F22" s="246"/>
      <c r="G22" s="247"/>
      <c r="H22" s="248">
        <v>8</v>
      </c>
      <c r="I22" s="248">
        <v>1</v>
      </c>
      <c r="J22" s="248">
        <v>1</v>
      </c>
      <c r="K22" s="249"/>
      <c r="L22" s="149"/>
      <c r="M22" s="352">
        <f>25*H22*I22*J22</f>
        <v>200</v>
      </c>
    </row>
    <row r="23" spans="1:14">
      <c r="D23" s="245" t="s">
        <v>283</v>
      </c>
      <c r="E23" s="246"/>
      <c r="F23" s="246"/>
      <c r="G23" s="247"/>
      <c r="H23" s="248">
        <v>1</v>
      </c>
      <c r="I23" s="248">
        <v>3</v>
      </c>
      <c r="J23" s="248">
        <v>6</v>
      </c>
      <c r="K23" s="249"/>
      <c r="L23" s="149"/>
      <c r="M23" s="318">
        <f t="shared" ref="M23:M24" si="9">25*H23*I23*J23</f>
        <v>450</v>
      </c>
    </row>
    <row r="24" spans="1:14">
      <c r="D24" s="245" t="s">
        <v>284</v>
      </c>
      <c r="E24" s="246"/>
      <c r="F24" s="246"/>
      <c r="G24" s="247"/>
      <c r="H24" s="248">
        <v>0</v>
      </c>
      <c r="I24" s="248">
        <v>3</v>
      </c>
      <c r="J24" s="248">
        <v>6</v>
      </c>
      <c r="K24" s="249"/>
      <c r="L24" s="149"/>
      <c r="M24" s="318">
        <f t="shared" si="9"/>
        <v>0</v>
      </c>
    </row>
    <row r="25" spans="1:14">
      <c r="D25" s="245" t="s">
        <v>161</v>
      </c>
      <c r="E25" s="246"/>
      <c r="F25" s="246"/>
      <c r="G25" s="247"/>
      <c r="H25" s="248">
        <v>2</v>
      </c>
      <c r="I25" s="248">
        <v>1</v>
      </c>
      <c r="J25" s="248">
        <v>1</v>
      </c>
      <c r="K25" s="249"/>
      <c r="L25" s="149"/>
      <c r="M25" s="318">
        <f>25*H25*I25*J25</f>
        <v>50</v>
      </c>
    </row>
    <row r="26" spans="1:14" ht="16.2" thickBot="1">
      <c r="D26" s="215" t="s">
        <v>242</v>
      </c>
      <c r="E26" s="250"/>
      <c r="F26" s="250"/>
      <c r="G26" s="251"/>
      <c r="H26" s="252">
        <v>1</v>
      </c>
      <c r="I26" s="252">
        <v>1</v>
      </c>
      <c r="J26" s="252">
        <v>1</v>
      </c>
      <c r="K26" s="216" t="s">
        <v>305</v>
      </c>
      <c r="L26" s="149"/>
      <c r="M26" s="353">
        <f>25*H26*I26*J26*LEFT(K26,2)</f>
        <v>1175</v>
      </c>
    </row>
    <row r="27" spans="1:14" ht="18.600000000000001" thickTop="1">
      <c r="A27" s="212"/>
      <c r="B27" s="214"/>
    </row>
    <row r="28" spans="1:14" ht="18">
      <c r="A28" s="212"/>
      <c r="B28" s="214"/>
    </row>
    <row r="29" spans="1:14" ht="18">
      <c r="A29" s="212"/>
      <c r="B29" s="214"/>
    </row>
    <row r="30" spans="1:14" ht="18">
      <c r="A30" s="212"/>
      <c r="B30" s="214"/>
    </row>
    <row r="31" spans="1:14" ht="18">
      <c r="A31" s="212"/>
      <c r="B31" s="214"/>
    </row>
    <row r="32" spans="1:14" ht="18">
      <c r="A32" s="212"/>
      <c r="B32" s="214"/>
    </row>
    <row r="33" spans="1:2" ht="18">
      <c r="A33" s="212"/>
      <c r="B33" s="214"/>
    </row>
  </sheetData>
  <sortState xmlns:xlrd2="http://schemas.microsoft.com/office/spreadsheetml/2017/richdata2" ref="D21:M25">
    <sortCondition ref="D21:D25"/>
  </sortState>
  <phoneticPr fontId="0" type="noConversion"/>
  <conditionalFormatting sqref="B14">
    <cfRule type="cellIs" dxfId="14" priority="26" operator="equal">
      <formula>2</formula>
    </cfRule>
  </conditionalFormatting>
  <conditionalFormatting sqref="I3">
    <cfRule type="cellIs" dxfId="13" priority="22" operator="greaterThan">
      <formula>18</formula>
    </cfRule>
    <cfRule type="cellIs" dxfId="12" priority="23" operator="equal">
      <formula>1</formula>
    </cfRule>
  </conditionalFormatting>
  <conditionalFormatting sqref="I8">
    <cfRule type="cellIs" dxfId="11" priority="18" operator="greaterThan">
      <formula>19</formula>
    </cfRule>
    <cfRule type="cellIs" dxfId="10" priority="19" operator="equal">
      <formula>1</formula>
    </cfRule>
  </conditionalFormatting>
  <conditionalFormatting sqref="I5">
    <cfRule type="cellIs" dxfId="9" priority="13" operator="greaterThan">
      <formula>18</formula>
    </cfRule>
    <cfRule type="cellIs" dxfId="8" priority="14" operator="equal">
      <formula>1</formula>
    </cfRule>
  </conditionalFormatting>
  <conditionalFormatting sqref="I10">
    <cfRule type="cellIs" dxfId="7" priority="9" operator="greaterThan">
      <formula>19</formula>
    </cfRule>
    <cfRule type="cellIs" dxfId="6" priority="10" operator="equal">
      <formula>1</formula>
    </cfRule>
  </conditionalFormatting>
  <conditionalFormatting sqref="I4">
    <cfRule type="cellIs" dxfId="5" priority="5" operator="greaterThan">
      <formula>19</formula>
    </cfRule>
    <cfRule type="cellIs" dxfId="4" priority="6" operator="equal">
      <formula>1</formula>
    </cfRule>
  </conditionalFormatting>
  <conditionalFormatting sqref="I9">
    <cfRule type="cellIs" dxfId="3" priority="4" operator="equal">
      <formula>20</formula>
    </cfRule>
  </conditionalFormatting>
  <conditionalFormatting sqref="I9">
    <cfRule type="cellIs" dxfId="2" priority="3"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8"/>
  <sheetViews>
    <sheetView showGridLines="0" workbookViewId="0"/>
  </sheetViews>
  <sheetFormatPr defaultColWidth="13" defaultRowHeight="15.6"/>
  <cols>
    <col min="1" max="1" width="27.3984375" style="177" bestFit="1" customWidth="1"/>
    <col min="2" max="2" width="4.69921875" style="177" bestFit="1" customWidth="1"/>
    <col min="3" max="3" width="4.3984375" style="186" bestFit="1" customWidth="1"/>
    <col min="4" max="5" width="21.69921875" style="17" customWidth="1"/>
    <col min="6" max="6" width="2.8984375" style="177" customWidth="1"/>
    <col min="7" max="7" width="8.296875" style="253" bestFit="1" customWidth="1"/>
    <col min="8" max="16384" width="13" style="17"/>
  </cols>
  <sheetData>
    <row r="1" spans="1:8" ht="23.4" thickBot="1">
      <c r="A1" s="176" t="s">
        <v>76</v>
      </c>
      <c r="B1" s="176"/>
      <c r="C1" s="217"/>
      <c r="D1" s="176"/>
      <c r="E1" s="176"/>
    </row>
    <row r="2" spans="1:8" s="177" customFormat="1" ht="16.8" thickTop="1" thickBot="1">
      <c r="A2" s="218" t="s">
        <v>77</v>
      </c>
      <c r="B2" s="218" t="s">
        <v>3</v>
      </c>
      <c r="C2" s="219" t="s">
        <v>21</v>
      </c>
      <c r="D2" s="220" t="s">
        <v>78</v>
      </c>
      <c r="E2" s="221" t="s">
        <v>79</v>
      </c>
      <c r="G2" s="254" t="s">
        <v>120</v>
      </c>
    </row>
    <row r="3" spans="1:8">
      <c r="A3" s="224" t="s">
        <v>129</v>
      </c>
      <c r="B3" s="225">
        <v>1</v>
      </c>
      <c r="C3" s="226">
        <v>0.5</v>
      </c>
      <c r="D3" s="227"/>
      <c r="E3" s="228"/>
      <c r="G3" s="258">
        <v>1</v>
      </c>
      <c r="H3" s="149"/>
    </row>
    <row r="4" spans="1:8">
      <c r="A4" s="224" t="s">
        <v>113</v>
      </c>
      <c r="B4" s="230">
        <v>1</v>
      </c>
      <c r="C4" s="226">
        <v>1</v>
      </c>
      <c r="D4" s="227"/>
      <c r="E4" s="228"/>
      <c r="G4" s="403">
        <v>2</v>
      </c>
      <c r="H4" s="149"/>
    </row>
    <row r="5" spans="1:8">
      <c r="A5" s="277" t="s">
        <v>262</v>
      </c>
      <c r="B5" s="278">
        <v>1</v>
      </c>
      <c r="C5" s="279">
        <v>1</v>
      </c>
      <c r="D5" s="280"/>
      <c r="E5" s="281"/>
      <c r="G5" s="403">
        <v>4000</v>
      </c>
      <c r="H5" s="149"/>
    </row>
    <row r="6" spans="1:8">
      <c r="A6" s="277" t="s">
        <v>298</v>
      </c>
      <c r="B6" s="278">
        <v>1</v>
      </c>
      <c r="C6" s="279">
        <v>0</v>
      </c>
      <c r="D6" s="280"/>
      <c r="E6" s="281"/>
      <c r="G6" s="403">
        <v>6000</v>
      </c>
      <c r="H6" s="149"/>
    </row>
    <row r="7" spans="1:8">
      <c r="A7" s="282" t="s">
        <v>129</v>
      </c>
      <c r="B7" s="225">
        <v>1</v>
      </c>
      <c r="C7" s="279">
        <v>0</v>
      </c>
      <c r="D7" s="280"/>
      <c r="E7" s="281"/>
      <c r="G7" s="403">
        <v>1</v>
      </c>
      <c r="H7" s="149"/>
    </row>
    <row r="8" spans="1:8">
      <c r="A8" s="414" t="s">
        <v>285</v>
      </c>
      <c r="B8" s="457">
        <v>1</v>
      </c>
      <c r="C8" s="279">
        <v>0</v>
      </c>
      <c r="D8" s="280"/>
      <c r="E8" s="281"/>
      <c r="G8" s="403">
        <v>2200</v>
      </c>
      <c r="H8" s="149"/>
    </row>
    <row r="9" spans="1:8" ht="16.2" thickBot="1">
      <c r="A9" s="231" t="s">
        <v>119</v>
      </c>
      <c r="B9" s="232">
        <v>1</v>
      </c>
      <c r="C9" s="233" t="s">
        <v>116</v>
      </c>
      <c r="D9" s="234"/>
      <c r="E9" s="235"/>
      <c r="G9" s="255" t="s">
        <v>257</v>
      </c>
    </row>
    <row r="10" spans="1:8" ht="24" thickTop="1" thickBot="1">
      <c r="A10" s="176" t="s">
        <v>80</v>
      </c>
      <c r="B10" s="176"/>
      <c r="C10" s="236"/>
      <c r="D10" s="176"/>
      <c r="E10" s="237"/>
      <c r="G10" s="256"/>
    </row>
    <row r="11" spans="1:8" ht="16.8" thickTop="1" thickBot="1">
      <c r="A11" s="218" t="s">
        <v>77</v>
      </c>
      <c r="B11" s="218" t="s">
        <v>3</v>
      </c>
      <c r="C11" s="219" t="s">
        <v>21</v>
      </c>
      <c r="D11" s="220" t="s">
        <v>78</v>
      </c>
      <c r="E11" s="221" t="s">
        <v>79</v>
      </c>
      <c r="G11" s="254" t="s">
        <v>120</v>
      </c>
    </row>
    <row r="12" spans="1:8">
      <c r="A12" s="229" t="s">
        <v>256</v>
      </c>
      <c r="B12" s="230">
        <v>1</v>
      </c>
      <c r="C12" s="279">
        <v>0.5</v>
      </c>
      <c r="D12" s="280"/>
      <c r="E12" s="281"/>
      <c r="G12" s="257">
        <v>1</v>
      </c>
      <c r="H12" s="149"/>
    </row>
    <row r="13" spans="1:8">
      <c r="A13" s="282" t="s">
        <v>255</v>
      </c>
      <c r="B13" s="225">
        <v>1</v>
      </c>
      <c r="C13" s="226">
        <v>0</v>
      </c>
      <c r="D13" s="227"/>
      <c r="E13" s="228"/>
      <c r="F13" s="223"/>
      <c r="G13" s="418">
        <v>0.4</v>
      </c>
      <c r="H13" s="149"/>
    </row>
    <row r="14" spans="1:8" ht="16.2" thickBot="1">
      <c r="A14" s="231" t="s">
        <v>94</v>
      </c>
      <c r="B14" s="232">
        <v>1</v>
      </c>
      <c r="C14" s="240">
        <v>0</v>
      </c>
      <c r="D14" s="241"/>
      <c r="E14" s="235"/>
      <c r="F14" s="223"/>
      <c r="G14" s="412">
        <v>1</v>
      </c>
    </row>
    <row r="15" spans="1:8" ht="22.8" thickTop="1" thickBot="1">
      <c r="A15" s="397"/>
      <c r="B15" s="397"/>
      <c r="C15" s="397"/>
      <c r="D15" s="398" t="s">
        <v>241</v>
      </c>
      <c r="E15" s="399"/>
      <c r="F15" s="379"/>
      <c r="G15" s="379">
        <v>2000</v>
      </c>
    </row>
    <row r="16" spans="1:8" ht="16.8" thickTop="1" thickBot="1">
      <c r="A16" s="218" t="s">
        <v>77</v>
      </c>
      <c r="B16" s="218" t="s">
        <v>3</v>
      </c>
      <c r="C16" s="219" t="s">
        <v>21</v>
      </c>
      <c r="D16" s="220" t="s">
        <v>78</v>
      </c>
      <c r="E16" s="221" t="s">
        <v>79</v>
      </c>
      <c r="F16" s="379"/>
      <c r="G16" s="400" t="s">
        <v>120</v>
      </c>
    </row>
    <row r="17" spans="1:8">
      <c r="A17" s="282" t="s">
        <v>112</v>
      </c>
      <c r="B17" s="401">
        <v>1</v>
      </c>
      <c r="C17" s="348">
        <v>5</v>
      </c>
      <c r="D17" s="402"/>
      <c r="E17" s="351"/>
      <c r="F17"/>
      <c r="G17" s="419">
        <v>0.05</v>
      </c>
    </row>
    <row r="18" spans="1:8">
      <c r="A18" s="282" t="s">
        <v>132</v>
      </c>
      <c r="B18" s="401">
        <v>1</v>
      </c>
      <c r="C18" s="348">
        <v>0</v>
      </c>
      <c r="D18" s="402" t="s">
        <v>303</v>
      </c>
      <c r="E18" s="351"/>
      <c r="F18"/>
      <c r="G18" s="419">
        <v>0</v>
      </c>
    </row>
    <row r="19" spans="1:8">
      <c r="A19" s="282" t="s">
        <v>274</v>
      </c>
      <c r="B19" s="401">
        <v>440</v>
      </c>
      <c r="C19" s="348">
        <f>B19/100</f>
        <v>4.4000000000000004</v>
      </c>
      <c r="D19" s="402"/>
      <c r="E19" s="351"/>
      <c r="F19"/>
      <c r="G19" s="403">
        <f>B19</f>
        <v>440</v>
      </c>
    </row>
    <row r="20" spans="1:8">
      <c r="A20" s="282" t="s">
        <v>245</v>
      </c>
      <c r="B20" s="401">
        <v>1</v>
      </c>
      <c r="C20" s="348">
        <v>0</v>
      </c>
      <c r="D20" s="402"/>
      <c r="E20" s="351"/>
      <c r="F20"/>
      <c r="G20" s="403">
        <v>1</v>
      </c>
    </row>
    <row r="21" spans="1:8">
      <c r="A21" s="282" t="s">
        <v>273</v>
      </c>
      <c r="B21" s="401">
        <v>17</v>
      </c>
      <c r="C21" s="348">
        <f>B21*3/20</f>
        <v>2.5499999999999998</v>
      </c>
      <c r="D21" s="402"/>
      <c r="E21" s="351"/>
      <c r="F21"/>
      <c r="G21" s="403">
        <v>41</v>
      </c>
      <c r="H21" s="149"/>
    </row>
    <row r="22" spans="1:8">
      <c r="A22" s="282" t="s">
        <v>275</v>
      </c>
      <c r="B22" s="401">
        <v>3</v>
      </c>
      <c r="C22" s="348">
        <f>B22</f>
        <v>3</v>
      </c>
      <c r="D22" s="402"/>
      <c r="E22" s="351"/>
      <c r="F22"/>
      <c r="G22" s="419">
        <f>B22/100</f>
        <v>0.03</v>
      </c>
      <c r="H22" s="149"/>
    </row>
    <row r="23" spans="1:8">
      <c r="A23" s="282" t="s">
        <v>246</v>
      </c>
      <c r="B23" s="401">
        <v>1</v>
      </c>
      <c r="C23" s="348">
        <v>0</v>
      </c>
      <c r="D23" s="402"/>
      <c r="E23" s="351"/>
      <c r="F23"/>
      <c r="G23" s="419">
        <v>0.01</v>
      </c>
    </row>
    <row r="24" spans="1:8">
      <c r="A24" s="414" t="s">
        <v>247</v>
      </c>
      <c r="B24" s="415">
        <v>1</v>
      </c>
      <c r="C24" s="340">
        <v>0.5</v>
      </c>
      <c r="D24" s="416"/>
      <c r="E24" s="341"/>
      <c r="F24"/>
      <c r="G24" s="417">
        <v>10</v>
      </c>
    </row>
    <row r="25" spans="1:8">
      <c r="A25" s="414" t="s">
        <v>258</v>
      </c>
      <c r="B25" s="415">
        <v>2</v>
      </c>
      <c r="C25" s="340">
        <v>0</v>
      </c>
      <c r="D25" s="416"/>
      <c r="E25" s="341"/>
      <c r="F25"/>
      <c r="G25" s="419">
        <v>0.01</v>
      </c>
    </row>
    <row r="26" spans="1:8">
      <c r="A26" s="414" t="s">
        <v>243</v>
      </c>
      <c r="B26" s="415">
        <v>1</v>
      </c>
      <c r="C26" s="340">
        <v>6</v>
      </c>
      <c r="D26" s="416" t="s">
        <v>244</v>
      </c>
      <c r="E26" s="341"/>
      <c r="F26"/>
      <c r="G26" s="417">
        <v>100</v>
      </c>
    </row>
    <row r="27" spans="1:8">
      <c r="A27" s="414" t="s">
        <v>249</v>
      </c>
      <c r="B27" s="415">
        <v>1</v>
      </c>
      <c r="C27" s="340">
        <v>5</v>
      </c>
      <c r="D27" s="416" t="s">
        <v>250</v>
      </c>
      <c r="E27" s="341"/>
      <c r="F27"/>
      <c r="G27" s="417">
        <v>10</v>
      </c>
    </row>
    <row r="28" spans="1:8">
      <c r="A28" s="414" t="s">
        <v>130</v>
      </c>
      <c r="B28" s="415">
        <v>1</v>
      </c>
      <c r="C28" s="340">
        <v>0</v>
      </c>
      <c r="D28" s="416"/>
      <c r="E28" s="341"/>
      <c r="F28"/>
      <c r="G28" s="417">
        <v>8</v>
      </c>
    </row>
    <row r="29" spans="1:8">
      <c r="A29" s="414" t="s">
        <v>132</v>
      </c>
      <c r="B29" s="415">
        <v>15</v>
      </c>
      <c r="C29" s="340">
        <v>0</v>
      </c>
      <c r="D29" s="416"/>
      <c r="E29" s="341"/>
      <c r="F29"/>
      <c r="G29" s="419">
        <v>0.02</v>
      </c>
    </row>
    <row r="30" spans="1:8">
      <c r="A30" s="414" t="s">
        <v>252</v>
      </c>
      <c r="B30" s="415">
        <v>1</v>
      </c>
      <c r="C30" s="340">
        <v>8</v>
      </c>
      <c r="D30" s="416"/>
      <c r="E30" s="341"/>
      <c r="F30"/>
      <c r="G30" s="417">
        <v>2</v>
      </c>
    </row>
    <row r="31" spans="1:8">
      <c r="A31" s="414" t="s">
        <v>253</v>
      </c>
      <c r="B31" s="415">
        <v>1</v>
      </c>
      <c r="C31" s="340">
        <v>2</v>
      </c>
      <c r="D31" s="416"/>
      <c r="E31" s="341"/>
      <c r="F31"/>
      <c r="G31" s="419">
        <v>0.25</v>
      </c>
    </row>
    <row r="32" spans="1:8">
      <c r="A32" s="414" t="s">
        <v>254</v>
      </c>
      <c r="B32" s="415">
        <v>1</v>
      </c>
      <c r="C32" s="340">
        <v>5</v>
      </c>
      <c r="D32" s="416"/>
      <c r="E32" s="341"/>
      <c r="F32"/>
      <c r="G32" s="417">
        <v>2</v>
      </c>
    </row>
    <row r="33" spans="1:7">
      <c r="A33" s="414" t="s">
        <v>251</v>
      </c>
      <c r="B33" s="415">
        <v>1</v>
      </c>
      <c r="C33" s="340">
        <v>20</v>
      </c>
      <c r="D33" s="416"/>
      <c r="E33" s="341"/>
      <c r="F33"/>
      <c r="G33" s="417">
        <v>10</v>
      </c>
    </row>
    <row r="34" spans="1:7">
      <c r="A34" s="414" t="s">
        <v>259</v>
      </c>
      <c r="B34" s="415">
        <v>1</v>
      </c>
      <c r="C34" s="340">
        <v>1</v>
      </c>
      <c r="D34" s="416"/>
      <c r="E34" s="341"/>
      <c r="F34"/>
      <c r="G34" s="417">
        <v>1</v>
      </c>
    </row>
    <row r="35" spans="1:7">
      <c r="A35" s="414" t="s">
        <v>260</v>
      </c>
      <c r="B35" s="415">
        <v>1</v>
      </c>
      <c r="C35" s="340">
        <v>0</v>
      </c>
      <c r="D35" s="416"/>
      <c r="E35" s="341"/>
      <c r="F35"/>
      <c r="G35" s="417">
        <v>5</v>
      </c>
    </row>
    <row r="36" spans="1:7">
      <c r="A36" s="414" t="s">
        <v>95</v>
      </c>
      <c r="B36" s="415">
        <v>1</v>
      </c>
      <c r="C36" s="340">
        <v>4</v>
      </c>
      <c r="D36" s="416"/>
      <c r="E36" s="341"/>
      <c r="F36"/>
      <c r="G36" s="417">
        <v>1</v>
      </c>
    </row>
    <row r="37" spans="1:7" ht="16.2" thickBot="1">
      <c r="A37" s="404" t="s">
        <v>248</v>
      </c>
      <c r="B37" s="405">
        <v>1</v>
      </c>
      <c r="C37" s="233">
        <v>3</v>
      </c>
      <c r="D37" s="406"/>
      <c r="E37" s="407"/>
      <c r="F37" s="379"/>
      <c r="G37" s="259">
        <v>12</v>
      </c>
    </row>
    <row r="38" spans="1:7" ht="24" thickTop="1" thickBot="1">
      <c r="A38" s="375" t="s">
        <v>240</v>
      </c>
      <c r="B38" s="408">
        <f>C38/500</f>
        <v>0.1389</v>
      </c>
      <c r="C38" s="409">
        <f>SUM(C17:C37)</f>
        <v>69.45</v>
      </c>
      <c r="D38" s="410" t="s">
        <v>239</v>
      </c>
      <c r="E38" s="176"/>
      <c r="G38" s="413"/>
    </row>
    <row r="39" spans="1:7" s="177" customFormat="1" ht="16.8" thickTop="1" thickBot="1">
      <c r="A39" s="218" t="s">
        <v>77</v>
      </c>
      <c r="B39" s="218" t="s">
        <v>3</v>
      </c>
      <c r="C39" s="219" t="s">
        <v>21</v>
      </c>
      <c r="D39" s="218" t="s">
        <v>163</v>
      </c>
      <c r="E39" s="221" t="s">
        <v>79</v>
      </c>
      <c r="G39" s="254" t="s">
        <v>120</v>
      </c>
    </row>
    <row r="40" spans="1:7">
      <c r="A40" s="238"/>
      <c r="B40" s="239"/>
      <c r="C40" s="222"/>
      <c r="D40" s="350"/>
      <c r="E40" s="351"/>
      <c r="G40" s="258">
        <f>B40</f>
        <v>0</v>
      </c>
    </row>
    <row r="41" spans="1:7">
      <c r="A41" s="224"/>
      <c r="B41" s="225"/>
      <c r="C41" s="226"/>
      <c r="D41" s="350"/>
      <c r="E41" s="351"/>
      <c r="G41" s="411"/>
    </row>
    <row r="42" spans="1:7">
      <c r="A42" s="224"/>
      <c r="B42" s="225"/>
      <c r="C42" s="226"/>
      <c r="D42" s="350"/>
      <c r="E42" s="351"/>
      <c r="G42" s="411"/>
    </row>
    <row r="43" spans="1:7">
      <c r="A43" s="224"/>
      <c r="B43" s="225"/>
      <c r="C43" s="226"/>
      <c r="D43" s="244"/>
      <c r="E43" s="228"/>
      <c r="G43" s="411"/>
    </row>
    <row r="44" spans="1:7">
      <c r="A44" s="229"/>
      <c r="B44" s="230"/>
      <c r="C44" s="226"/>
      <c r="D44" s="227"/>
      <c r="E44" s="228"/>
      <c r="G44" s="257"/>
    </row>
    <row r="45" spans="1:7" ht="16.2" thickBot="1">
      <c r="A45" s="242"/>
      <c r="B45" s="243"/>
      <c r="C45" s="240"/>
      <c r="D45" s="234"/>
      <c r="E45" s="235"/>
      <c r="G45" s="259"/>
    </row>
    <row r="46" spans="1:7" ht="16.2" thickTop="1"/>
    <row r="47" spans="1:7">
      <c r="E47" s="59" t="s">
        <v>151</v>
      </c>
      <c r="F47" s="149"/>
      <c r="G47" s="306">
        <f>SUM(Martial!M3:M26,Equipment!G3:G45)</f>
        <v>19275.769999999997</v>
      </c>
    </row>
    <row r="48" spans="1:7">
      <c r="E48" s="375" t="s">
        <v>302</v>
      </c>
      <c r="F48" s="379"/>
      <c r="G48" s="504">
        <v>19000</v>
      </c>
    </row>
  </sheetData>
  <sortState xmlns:xlrd2="http://schemas.microsoft.com/office/spreadsheetml/2017/richdata2" ref="A7:G13">
    <sortCondition ref="A7:A13"/>
  </sortState>
  <phoneticPr fontId="0" type="noConversion"/>
  <conditionalFormatting sqref="G47">
    <cfRule type="cellIs" dxfId="1" priority="2" operator="lessThan">
      <formula>0</formula>
    </cfRule>
  </conditionalFormatting>
  <conditionalFormatting sqref="B38">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909E-0B0F-4840-AFF5-01864C8A691A}">
  <dimension ref="A1:C17"/>
  <sheetViews>
    <sheetView showGridLines="0" workbookViewId="0"/>
  </sheetViews>
  <sheetFormatPr defaultColWidth="9" defaultRowHeight="15.6"/>
  <cols>
    <col min="1" max="1" width="62.796875" style="22" bestFit="1" customWidth="1"/>
    <col min="2" max="2" width="9.5" style="387" customWidth="1"/>
    <col min="3" max="3" width="6.3984375" style="22" customWidth="1"/>
    <col min="4" max="16384" width="9" style="22"/>
  </cols>
  <sheetData>
    <row r="1" spans="1:3">
      <c r="A1" s="375" t="s">
        <v>222</v>
      </c>
      <c r="B1" s="376" t="str">
        <f>'Personal File'!A1</f>
        <v>Luran</v>
      </c>
      <c r="C1" s="377" t="s">
        <v>223</v>
      </c>
    </row>
    <row r="2" spans="1:3">
      <c r="A2" s="378" t="s">
        <v>261</v>
      </c>
      <c r="B2" s="379" t="s">
        <v>226</v>
      </c>
      <c r="C2" s="380">
        <v>0.2</v>
      </c>
    </row>
    <row r="3" spans="1:3">
      <c r="A3" s="378" t="s">
        <v>224</v>
      </c>
      <c r="B3" s="379" t="s">
        <v>267</v>
      </c>
      <c r="C3" s="380">
        <v>0.16</v>
      </c>
    </row>
    <row r="4" spans="1:3">
      <c r="A4" s="378" t="s">
        <v>225</v>
      </c>
      <c r="B4" s="379" t="s">
        <v>226</v>
      </c>
      <c r="C4" s="380">
        <v>0.2</v>
      </c>
    </row>
    <row r="5" spans="1:3">
      <c r="A5" s="378" t="s">
        <v>227</v>
      </c>
      <c r="B5" s="379" t="s">
        <v>226</v>
      </c>
      <c r="C5" s="380">
        <v>0.2</v>
      </c>
    </row>
    <row r="6" spans="1:3">
      <c r="A6" s="378" t="s">
        <v>228</v>
      </c>
      <c r="B6" s="379" t="s">
        <v>267</v>
      </c>
      <c r="C6" s="380">
        <v>0.16</v>
      </c>
    </row>
    <row r="7" spans="1:3">
      <c r="A7" s="375" t="s">
        <v>57</v>
      </c>
      <c r="B7" s="376"/>
      <c r="C7" s="377">
        <f>SUM(C2:C6)</f>
        <v>0.92</v>
      </c>
    </row>
    <row r="8" spans="1:3">
      <c r="A8" s="375"/>
      <c r="B8" s="376"/>
      <c r="C8" s="377"/>
    </row>
    <row r="9" spans="1:3">
      <c r="A9" s="375" t="s">
        <v>229</v>
      </c>
      <c r="B9" s="381">
        <v>0</v>
      </c>
      <c r="C9" s="382"/>
    </row>
    <row r="10" spans="1:3">
      <c r="A10" s="375" t="s">
        <v>230</v>
      </c>
      <c r="B10" s="381">
        <v>5000</v>
      </c>
      <c r="C10" s="382"/>
    </row>
    <row r="11" spans="1:3">
      <c r="A11" s="375" t="s">
        <v>231</v>
      </c>
      <c r="B11" s="381">
        <f>IF(B9=0,B10*C7,(B10*C7*(1-(B9/4))))</f>
        <v>4600</v>
      </c>
      <c r="C11" s="382"/>
    </row>
    <row r="12" spans="1:3">
      <c r="A12" s="375" t="s">
        <v>232</v>
      </c>
      <c r="B12" s="383">
        <v>0</v>
      </c>
      <c r="C12" s="384"/>
    </row>
    <row r="13" spans="1:3">
      <c r="A13" s="375" t="s">
        <v>57</v>
      </c>
      <c r="B13" s="385">
        <f>SUM(B11:B12)</f>
        <v>4600</v>
      </c>
      <c r="C13" s="382"/>
    </row>
    <row r="14" spans="1:3">
      <c r="A14" s="375" t="s">
        <v>233</v>
      </c>
      <c r="B14" s="381">
        <v>24180</v>
      </c>
      <c r="C14" s="382"/>
    </row>
    <row r="15" spans="1:3">
      <c r="A15" s="375" t="s">
        <v>234</v>
      </c>
      <c r="B15" s="385">
        <f>SUM(B13:B14)</f>
        <v>28780</v>
      </c>
      <c r="C15" s="382"/>
    </row>
    <row r="17" spans="1:1">
      <c r="A17" s="386"/>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2020-07-26T21:33:55Z</cp:lastPrinted>
  <dcterms:created xsi:type="dcterms:W3CDTF">2000-10-24T15:39:59Z</dcterms:created>
  <dcterms:modified xsi:type="dcterms:W3CDTF">2021-04-09T19:35:05Z</dcterms:modified>
</cp:coreProperties>
</file>