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430"/>
  <workbookPr/>
  <mc:AlternateContent xmlns:mc="http://schemas.openxmlformats.org/markup-compatibility/2006">
    <mc:Choice Requires="x15">
      <x15ac:absPath xmlns:x15ac="http://schemas.microsoft.com/office/spreadsheetml/2010/11/ac" url="C:\A\Jue\FoL\NPCs\"/>
    </mc:Choice>
  </mc:AlternateContent>
  <xr:revisionPtr revIDLastSave="0" documentId="13_ncr:1_{D5F5A88C-E445-4DC5-A57E-5D9F54453B54}" xr6:coauthVersionLast="45" xr6:coauthVersionMax="45"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Feats" sheetId="20" r:id="rId3"/>
    <sheet name="Martial" sheetId="6" r:id="rId4"/>
    <sheet name="Equipment" sheetId="19" r:id="rId5"/>
  </sheets>
  <definedNames>
    <definedName name="OLE_LINK1" localSheetId="2">Feats!#REF!</definedName>
    <definedName name="_xlnm.Print_Area" localSheetId="4">Equipment!#REF!</definedName>
    <definedName name="_xlnm.Print_Area" localSheetId="2">Feats!#REF!</definedName>
    <definedName name="_xlnm.Print_Area" localSheetId="3">Martial!#REF!</definedName>
    <definedName name="_xlnm.Print_Area" localSheetId="0">'Personal File'!$A$1:$H$17</definedName>
    <definedName name="_xlnm.Print_Area" localSheetId="1">Skills!$A$1:$K$27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2" i="4" l="1"/>
  <c r="B5" i="15" l="1"/>
  <c r="B4" i="15"/>
  <c r="B3" i="15"/>
  <c r="B14" i="4"/>
  <c r="B15" i="4"/>
  <c r="B16" i="4"/>
  <c r="I4" i="6" l="1"/>
  <c r="F23" i="15" l="1"/>
  <c r="M22" i="6" l="1"/>
  <c r="M23" i="6"/>
  <c r="M24" i="6"/>
  <c r="B9" i="4" l="1"/>
  <c r="I9" i="6" l="1"/>
  <c r="I7" i="6"/>
  <c r="I14" i="6" l="1"/>
  <c r="I11" i="6" l="1"/>
  <c r="G15" i="6" l="1"/>
  <c r="B21" i="6" l="1"/>
  <c r="H24" i="15"/>
  <c r="G38" i="19" l="1"/>
  <c r="I15" i="6" l="1"/>
  <c r="M15" i="6" l="1"/>
  <c r="G40" i="19" s="1"/>
  <c r="M28" i="6"/>
  <c r="M29" i="6"/>
  <c r="G23" i="6" l="1"/>
  <c r="C30" i="19" l="1"/>
  <c r="I3" i="6" l="1"/>
  <c r="I6" i="6" l="1"/>
  <c r="C34" i="19" l="1"/>
  <c r="G22" i="6"/>
  <c r="G24" i="6"/>
  <c r="C14" i="19"/>
  <c r="C38" i="19" l="1"/>
  <c r="I5" i="6" l="1"/>
  <c r="H40" i="15" l="1"/>
  <c r="H39" i="15"/>
  <c r="H38" i="15"/>
  <c r="H37" i="15"/>
  <c r="H36" i="15"/>
  <c r="H35" i="15"/>
  <c r="H34" i="15"/>
  <c r="H33" i="15"/>
  <c r="H32" i="15"/>
  <c r="H31" i="15"/>
  <c r="H30" i="15"/>
  <c r="H29" i="15"/>
  <c r="H28" i="15"/>
  <c r="H27" i="15"/>
  <c r="H26" i="15"/>
  <c r="H25" i="15"/>
  <c r="H23" i="15"/>
  <c r="H22" i="15"/>
  <c r="H21" i="15"/>
  <c r="H20" i="15"/>
  <c r="H19" i="15"/>
  <c r="H18" i="15"/>
  <c r="H17" i="15"/>
  <c r="H16" i="15"/>
  <c r="H15" i="15"/>
  <c r="H14" i="15"/>
  <c r="H13" i="15"/>
  <c r="H12" i="15"/>
  <c r="H11" i="15"/>
  <c r="H10" i="15"/>
  <c r="H9" i="15"/>
  <c r="H5" i="15" l="1"/>
  <c r="H4" i="15"/>
  <c r="H3" i="15"/>
  <c r="C17" i="4" l="1"/>
  <c r="C16" i="4"/>
  <c r="C10" i="20" s="1"/>
  <c r="C15" i="4"/>
  <c r="C14" i="4"/>
  <c r="E14" i="4" s="1"/>
  <c r="C13" i="4"/>
  <c r="C12" i="4"/>
  <c r="H5" i="6" l="1"/>
  <c r="J5" i="6" s="1"/>
  <c r="H4" i="6"/>
  <c r="J4" i="6" s="1"/>
  <c r="H3" i="6"/>
  <c r="J3" i="6" s="1"/>
  <c r="H6" i="6"/>
  <c r="J6" i="6" s="1"/>
  <c r="C3" i="6"/>
  <c r="C4" i="6"/>
  <c r="H15" i="6"/>
  <c r="J15" i="6" s="1"/>
  <c r="H14" i="6"/>
  <c r="J14" i="6" s="1"/>
  <c r="E48" i="15"/>
  <c r="E49" i="15"/>
  <c r="H9" i="6"/>
  <c r="J9" i="6" s="1"/>
  <c r="H7" i="6"/>
  <c r="J7" i="6" s="1"/>
  <c r="D5" i="15"/>
  <c r="G5" i="15" s="1"/>
  <c r="H11" i="6"/>
  <c r="J11" i="6" s="1"/>
  <c r="E15" i="4"/>
  <c r="B25" i="6"/>
  <c r="B10" i="4"/>
  <c r="D3" i="15"/>
  <c r="E3" i="15" s="1"/>
  <c r="C14" i="6"/>
  <c r="B24" i="6"/>
  <c r="B22" i="6" s="1"/>
  <c r="C6" i="6"/>
  <c r="E9" i="4"/>
  <c r="C5" i="6"/>
  <c r="E45" i="15"/>
  <c r="E44" i="15"/>
  <c r="E46" i="15"/>
  <c r="E47" i="15"/>
  <c r="E43" i="15"/>
  <c r="D4" i="15"/>
  <c r="E5" i="15" l="1"/>
  <c r="E42" i="15"/>
  <c r="G3" i="15"/>
  <c r="I3" i="15" s="1"/>
  <c r="I5" i="15"/>
  <c r="E4" i="15"/>
  <c r="G4" i="15"/>
  <c r="I4" i="15" l="1"/>
  <c r="H41" i="15"/>
  <c r="H8" i="15"/>
  <c r="H7" i="15"/>
  <c r="H6" i="15"/>
  <c r="E16" i="4" l="1"/>
  <c r="E17" i="4" s="1"/>
  <c r="C36" i="19" l="1"/>
  <c r="G25" i="6" l="1"/>
  <c r="E13" i="4" l="1"/>
  <c r="B42" i="15"/>
  <c r="B44" i="15" s="1"/>
  <c r="D29" i="15" l="1"/>
  <c r="E29" i="15" l="1"/>
  <c r="G29" i="15"/>
  <c r="D35" i="15"/>
  <c r="D19" i="15"/>
  <c r="D37" i="15"/>
  <c r="D34" i="15"/>
  <c r="D39" i="15"/>
  <c r="D36" i="15"/>
  <c r="D38" i="15"/>
  <c r="D31" i="15"/>
  <c r="D40" i="15"/>
  <c r="D27" i="15"/>
  <c r="D33" i="15"/>
  <c r="D24" i="15"/>
  <c r="D14" i="15"/>
  <c r="D12" i="15"/>
  <c r="D41" i="15"/>
  <c r="D32" i="15"/>
  <c r="D30" i="15"/>
  <c r="D28" i="15"/>
  <c r="D26" i="15"/>
  <c r="D25" i="15"/>
  <c r="D23" i="15"/>
  <c r="D22" i="15"/>
  <c r="D21" i="15"/>
  <c r="D20" i="15"/>
  <c r="D18" i="15"/>
  <c r="D17" i="15"/>
  <c r="D16" i="15"/>
  <c r="D15" i="15"/>
  <c r="D13" i="15"/>
  <c r="D11" i="15"/>
  <c r="D10" i="15"/>
  <c r="D9" i="15"/>
  <c r="D8" i="15"/>
  <c r="D7" i="15"/>
  <c r="D6" i="15"/>
  <c r="I29" i="15" l="1"/>
  <c r="E7" i="15"/>
  <c r="G7" i="15"/>
  <c r="E6" i="15"/>
  <c r="G6" i="15"/>
  <c r="E8" i="15"/>
  <c r="G8" i="15"/>
  <c r="E10" i="15"/>
  <c r="G10" i="15"/>
  <c r="E13" i="15"/>
  <c r="G13" i="15"/>
  <c r="E16" i="15"/>
  <c r="G16" i="15"/>
  <c r="E18" i="15"/>
  <c r="G18" i="15"/>
  <c r="E21" i="15"/>
  <c r="G21" i="15"/>
  <c r="E23" i="15"/>
  <c r="G23" i="15"/>
  <c r="E26" i="15"/>
  <c r="G26" i="15"/>
  <c r="E30" i="15"/>
  <c r="G30" i="15"/>
  <c r="E41" i="15"/>
  <c r="G41" i="15"/>
  <c r="E14" i="15"/>
  <c r="G14" i="15"/>
  <c r="E33" i="15"/>
  <c r="G33" i="15"/>
  <c r="E40" i="15"/>
  <c r="G40" i="15"/>
  <c r="E38" i="15"/>
  <c r="G38" i="15"/>
  <c r="E39" i="15"/>
  <c r="G39" i="15"/>
  <c r="E34" i="15"/>
  <c r="G34" i="15"/>
  <c r="E19" i="15"/>
  <c r="G19" i="15"/>
  <c r="E9" i="15"/>
  <c r="G9" i="15"/>
  <c r="E11" i="15"/>
  <c r="G11" i="15"/>
  <c r="E15" i="15"/>
  <c r="G15" i="15"/>
  <c r="E17" i="15"/>
  <c r="G17" i="15"/>
  <c r="E20" i="15"/>
  <c r="G20" i="15"/>
  <c r="E22" i="15"/>
  <c r="G22" i="15"/>
  <c r="E25" i="15"/>
  <c r="G25" i="15"/>
  <c r="E28" i="15"/>
  <c r="G28" i="15"/>
  <c r="E32" i="15"/>
  <c r="G32" i="15"/>
  <c r="E12" i="15"/>
  <c r="G12" i="15"/>
  <c r="E24" i="15"/>
  <c r="G24" i="15"/>
  <c r="E27" i="15"/>
  <c r="G27" i="15"/>
  <c r="E31" i="15"/>
  <c r="G31" i="15"/>
  <c r="E36" i="15"/>
  <c r="G36" i="15"/>
  <c r="E37" i="15"/>
  <c r="G37" i="15"/>
  <c r="E35" i="15"/>
  <c r="G35" i="15"/>
  <c r="I6" i="15"/>
  <c r="I37" i="15" l="1"/>
  <c r="I31" i="15"/>
  <c r="I32" i="15"/>
  <c r="I20" i="15"/>
  <c r="I15" i="15"/>
  <c r="I9" i="15"/>
  <c r="I34" i="15"/>
  <c r="I38" i="15"/>
  <c r="I33" i="15"/>
  <c r="I41" i="15"/>
  <c r="I35" i="15"/>
  <c r="I27" i="15"/>
  <c r="I12" i="15"/>
  <c r="I28" i="15"/>
  <c r="I22" i="15"/>
  <c r="I17" i="15"/>
  <c r="I11" i="15"/>
  <c r="I19" i="15"/>
  <c r="I39" i="15"/>
  <c r="I40" i="15"/>
  <c r="I14" i="15"/>
  <c r="I30" i="15"/>
  <c r="I18" i="15"/>
  <c r="I13" i="15"/>
  <c r="I8" i="15"/>
  <c r="I26" i="15"/>
  <c r="I21" i="15"/>
  <c r="I16" i="15"/>
  <c r="I10" i="15"/>
  <c r="I7" i="15"/>
  <c r="I36" i="15"/>
  <c r="I24" i="15"/>
  <c r="I25" i="15"/>
  <c r="I23"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9" authorId="0" shapeId="0" xr:uid="{00000000-0006-0000-0000-000001000000}">
      <text>
        <r>
          <rPr>
            <i/>
            <sz val="12"/>
            <color indexed="81"/>
            <rFont val="Times New Roman"/>
            <family val="1"/>
          </rPr>
          <t>BAB +5
aid +1</t>
        </r>
      </text>
    </comment>
    <comment ref="C11" authorId="0" shapeId="0" xr:uid="{00000000-0006-0000-0000-000002000000}">
      <text>
        <r>
          <rPr>
            <sz val="12"/>
            <color indexed="81"/>
            <rFont val="Times New Roman"/>
            <family val="1"/>
          </rPr>
          <t>Next level at 28,000 XPs</t>
        </r>
      </text>
    </comment>
    <comment ref="B12" authorId="0" shapeId="0" xr:uid="{00000000-0006-0000-0000-000003000000}">
      <text>
        <r>
          <rPr>
            <sz val="12"/>
            <color indexed="81"/>
            <rFont val="Times New Roman"/>
            <family val="1"/>
          </rPr>
          <t xml:space="preserve">drunk
</t>
        </r>
        <r>
          <rPr>
            <i/>
            <sz val="12"/>
            <color indexed="81"/>
            <rFont val="Times New Roman"/>
            <family val="1"/>
          </rPr>
          <t>ray of enfeeblement -3</t>
        </r>
      </text>
    </comment>
    <comment ref="E12" authorId="0" shapeId="0" xr:uid="{00000000-0006-0000-0000-000004000000}">
      <text>
        <r>
          <rPr>
            <sz val="12"/>
            <color indexed="81"/>
            <rFont val="Times New Roman"/>
            <family val="1"/>
          </rPr>
          <t>See PHB 162</t>
        </r>
      </text>
    </comment>
    <comment ref="E14" authorId="0" shapeId="0" xr:uid="{00000000-0006-0000-0000-000005000000}">
      <text>
        <r>
          <rPr>
            <sz val="12"/>
            <color indexed="81"/>
            <rFont val="Times New Roman"/>
            <family val="1"/>
          </rPr>
          <t>[(4 * 8 Monk) * 75%]
+ [(2 * 10 Fighter) * 75%]
+ [(1 * 10 Drunken Master) * 75%]
+ (7 * 0 Con)</t>
        </r>
      </text>
    </comment>
    <comment ref="E15" authorId="0" shapeId="0" xr:uid="{00000000-0006-0000-0000-000006000000}">
      <text>
        <r>
          <rPr>
            <sz val="12"/>
            <color indexed="81"/>
            <rFont val="Times New Roman"/>
            <family val="1"/>
          </rPr>
          <t>Dex +4, Wis +2
Luck of Heroes +1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3" authorId="0" shapeId="0" xr:uid="{00000000-0006-0000-0100-000001000000}">
      <text>
        <r>
          <rPr>
            <sz val="12"/>
            <color indexed="81"/>
            <rFont val="Times New Roman"/>
            <family val="1"/>
          </rPr>
          <t>Luck of Heroes +1</t>
        </r>
      </text>
    </comment>
    <comment ref="F4" authorId="0" shapeId="0" xr:uid="{00000000-0006-0000-0100-000002000000}">
      <text>
        <r>
          <rPr>
            <sz val="12"/>
            <color indexed="81"/>
            <rFont val="Times New Roman"/>
            <family val="1"/>
          </rPr>
          <t>Luck of Heroes +1</t>
        </r>
      </text>
    </comment>
    <comment ref="F5" authorId="0" shapeId="0" xr:uid="{00000000-0006-0000-0100-000003000000}">
      <text>
        <r>
          <rPr>
            <sz val="12"/>
            <color indexed="81"/>
            <rFont val="Times New Roman"/>
            <family val="1"/>
          </rPr>
          <t>Luck of Heroes +1</t>
        </r>
      </text>
    </comment>
    <comment ref="F7" authorId="0" shapeId="0" xr:uid="{00000000-0006-0000-0100-000004000000}">
      <text>
        <r>
          <rPr>
            <sz val="12"/>
            <color indexed="81"/>
            <rFont val="Times New Roman"/>
            <family val="1"/>
          </rPr>
          <t>Tumble synergy +2</t>
        </r>
      </text>
    </comment>
    <comment ref="F23" authorId="0" shapeId="0" xr:uid="{00000000-0006-0000-0100-000005000000}">
      <text>
        <r>
          <rPr>
            <sz val="12"/>
            <color indexed="81"/>
            <rFont val="Times New Roman"/>
            <family val="1"/>
          </rPr>
          <t>Tumble synergy +2
Dimension Stride Boots +2</t>
        </r>
      </text>
    </comment>
    <comment ref="F25" authorId="0" shapeId="0" xr:uid="{00000000-0006-0000-0100-000006000000}">
      <text>
        <r>
          <rPr>
            <sz val="12"/>
            <color indexed="81"/>
            <rFont val="Times New Roman"/>
            <family val="1"/>
          </rPr>
          <t>Elf bonus</t>
        </r>
      </text>
    </comment>
    <comment ref="F36" authorId="0" shapeId="0" xr:uid="{00000000-0006-0000-0100-000007000000}">
      <text>
        <r>
          <rPr>
            <sz val="12"/>
            <color indexed="81"/>
            <rFont val="Times New Roman"/>
            <family val="1"/>
          </rPr>
          <t>Elf bonus</t>
        </r>
      </text>
    </comment>
    <comment ref="F39" authorId="0" shapeId="0" xr:uid="{00000000-0006-0000-0100-000008000000}">
      <text>
        <r>
          <rPr>
            <sz val="12"/>
            <color indexed="81"/>
            <rFont val="Times New Roman"/>
            <family val="1"/>
          </rPr>
          <t>Jump synergy +2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00000000-0006-0000-0200-000001000000}">
      <text>
        <r>
          <rPr>
            <sz val="12"/>
            <color indexed="81"/>
            <rFont val="Times New Roman"/>
            <family val="1"/>
          </rPr>
          <t xml:space="preserve">You are especially skilled at using weapons that can benefit as much from Dexterity as from Strength.
</t>
        </r>
        <r>
          <rPr>
            <b/>
            <sz val="12"/>
            <color indexed="81"/>
            <rFont val="Times New Roman"/>
            <family val="1"/>
          </rPr>
          <t xml:space="preserve">Prerequisite:  </t>
        </r>
        <r>
          <rPr>
            <sz val="12"/>
            <color indexed="81"/>
            <rFont val="Times New Roman"/>
            <family val="1"/>
          </rPr>
          <t xml:space="preserve">Base attack bonus +1.
</t>
        </r>
        <r>
          <rPr>
            <b/>
            <sz val="12"/>
            <color indexed="81"/>
            <rFont val="Times New Roman"/>
            <family val="1"/>
          </rPr>
          <t xml:space="preserve">Benefit:  </t>
        </r>
        <r>
          <rPr>
            <sz val="12"/>
            <color indexed="81"/>
            <rFont val="Times New Roman"/>
            <family val="1"/>
          </rPr>
          <t xml:space="preserve">With a light weapon, rapier, whip, or spiked chain made for a creature of your size category, you may use your Dexterity modifier instead of your Strength modifier on attack rolls.  If you carry a shield, its armor check penalty applies to your attack rolls.
</t>
        </r>
        <r>
          <rPr>
            <b/>
            <sz val="12"/>
            <color indexed="81"/>
            <rFont val="Times New Roman"/>
            <family val="1"/>
          </rPr>
          <t xml:space="preserve">Special:  </t>
        </r>
        <r>
          <rPr>
            <sz val="12"/>
            <color indexed="81"/>
            <rFont val="Times New Roman"/>
            <family val="1"/>
          </rPr>
          <t>A fighter may select Weapon Finesse as one of his fighter bonus feats (see page 38).
Natural weapons are always considered light weapons.
PHB 102</t>
        </r>
      </text>
    </comment>
    <comment ref="C2" authorId="0" shapeId="0" xr:uid="{00000000-0006-0000-0200-000002000000}">
      <text>
        <r>
          <rPr>
            <sz val="12"/>
            <color indexed="81"/>
            <rFont val="Times New Roman"/>
            <family val="1"/>
          </rPr>
          <t>A monk of 2nd level or higher can avoid even magical and unusual attacks with great agility.  If she makes a successful Reflex saving throw against an attack that normally deals half damage on a successful save (such as a red dragon’s fiery breath or a fireball), she instead takes no damage. Evasion can be used only if a monk is wearing light armor or no armor.  A helpless monk (such as one who is unconscious or paralysed) does not gain the benefit of evasion.
PHB 41</t>
        </r>
      </text>
    </comment>
    <comment ref="E2" authorId="0" shapeId="0" xr:uid="{5983070F-3C50-420A-996C-FEA68F22AE1B}">
      <text>
        <r>
          <rPr>
            <sz val="12"/>
            <color indexed="81"/>
            <rFont val="Times New Roman"/>
            <family val="1"/>
          </rPr>
          <t>A drunken master’s body handles alcohol differently from other people’s.  He can drink a large tankard of ale, a bottle of wine, or a corresponding amount of stronger alcohol as a move action.  Every bottle or tankard of alcohol he consumes during combat reduces his Wisdom and Intelligence by 2 points each, but increases his Strength or Constitution (character’s choice) by 2 points.  A drunken master may benefit from a number of drinks equal to his class level.  The duration of both the penalty and the bonus is a number of rounds equal to the character’s drunken master level + 3.
Complete Warrior 28</t>
        </r>
      </text>
    </comment>
    <comment ref="A3" authorId="0" shapeId="0" xr:uid="{00000000-0006-0000-0200-000003000000}">
      <text>
        <r>
          <rPr>
            <sz val="12"/>
            <color indexed="81"/>
            <rFont val="Times New Roman"/>
            <family val="1"/>
          </rPr>
          <t xml:space="preserve">You are adept at dodging blows.
</t>
        </r>
        <r>
          <rPr>
            <b/>
            <sz val="12"/>
            <color indexed="81"/>
            <rFont val="Times New Roman"/>
            <family val="1"/>
          </rPr>
          <t xml:space="preserve">Prerequisite:  </t>
        </r>
        <r>
          <rPr>
            <sz val="12"/>
            <color indexed="81"/>
            <rFont val="Times New Roman"/>
            <family val="1"/>
          </rPr>
          <t xml:space="preserve">Dex 13.
</t>
        </r>
        <r>
          <rPr>
            <b/>
            <sz val="12"/>
            <color indexed="81"/>
            <rFont val="Times New Roman"/>
            <family val="1"/>
          </rPr>
          <t xml:space="preserve">Benefit:  </t>
        </r>
        <r>
          <rPr>
            <sz val="12"/>
            <color indexed="81"/>
            <rFont val="Times New Roman"/>
            <family val="1"/>
          </rPr>
          <t xml:space="preserve">During your action, you designate an opponent and receive a +1 dodge bonus to Armor Class against attacks from that opponent. You can select a new opponent on any action.
A condition that makes you lose your Dexterity bonus to Armor Class (if any) also makes you lose dodge bonuses. Also, dodge bonuses (such as this one and a dwarf’s racial bonus on dodge attempts against giants) stack with each other, unlike most other types of bonuses.
</t>
        </r>
        <r>
          <rPr>
            <b/>
            <sz val="12"/>
            <color indexed="81"/>
            <rFont val="Times New Roman"/>
            <family val="1"/>
          </rPr>
          <t xml:space="preserve">Special:  </t>
        </r>
        <r>
          <rPr>
            <sz val="12"/>
            <color indexed="81"/>
            <rFont val="Times New Roman"/>
            <family val="1"/>
          </rPr>
          <t>A fighter may select Dodge as one of his fighter bonus feats (see page 38).
PHB 93</t>
        </r>
      </text>
    </comment>
    <comment ref="C3" authorId="0" shapeId="0" xr:uid="{00000000-0006-0000-0200-00000400000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 ref="E3" authorId="0" shapeId="0" xr:uid="{582334E3-DB77-484B-A1C7-248BAE40D727}">
      <text>
        <r>
          <rPr>
            <sz val="12"/>
            <color indexed="81"/>
            <rFont val="Times New Roman"/>
            <family val="1"/>
          </rPr>
          <t>While bottles and tankards are a drunken master’s preferred improvised weapons, he can use furniture, farm implements, or nearly anything else at hand to attack his foes.  A drunken master’s improvised weapon deals as much damage as his unarmed strike plus an extra 1d4 points.  Most improvised weapons deal bludgeoning damage, although some (a broken glass bottle, for example) would deal piercing or slashing damage.  When a drunken master rolls a natural 1 on an attack roll while using an improvised weapon, that weapon breaks apart and becomes useless.
Complete Warrior 28</t>
        </r>
      </text>
    </comment>
    <comment ref="C4" authorId="0" shapeId="0" xr:uid="{00000000-0006-0000-0200-000006000000}">
      <text>
        <r>
          <rPr>
            <sz val="12"/>
            <color indexed="81"/>
            <rFont val="Times New Roman"/>
            <family val="1"/>
          </rPr>
          <t>A monk’s land speed is faster than the norm for his race by +10 feet. This benefit applies only when he is wearing no armor, light armor, or medium armor and not carrying a heavy load. Apply this bonus before modifying the monk’s speed because of any load carried or armor worn. For example, a human monk has a speed of 40 feet, rather than 30 feet, when wearing light or no armor. When wearing medium armor or carrying a medium load, his speed drops to 30 feet. A halfling monk has a speed of 30 feet, rather than 20 feet, in light or no armor. When wearing medium armor or carrying a medium load, his speed drops to 20 feet.
PHB 25 and 41</t>
        </r>
      </text>
    </comment>
    <comment ref="A5" authorId="0" shapeId="0" xr:uid="{00000000-0006-0000-0200-000009000000}">
      <text>
        <r>
          <rPr>
            <sz val="12"/>
            <color indexed="81"/>
            <rFont val="Times New Roman"/>
            <family val="1"/>
          </rPr>
          <t xml:space="preserve">Your land is known for producing heroes. Through pluck,  determination, and resilience, you survive when no one expects you to come through.
</t>
        </r>
        <r>
          <rPr>
            <b/>
            <sz val="12"/>
            <color indexed="81"/>
            <rFont val="Times New Roman"/>
            <family val="1"/>
          </rPr>
          <t xml:space="preserve">Prerequisite:  </t>
        </r>
        <r>
          <rPr>
            <sz val="12"/>
            <color indexed="81"/>
            <rFont val="Times New Roman"/>
            <family val="1"/>
          </rPr>
          <t xml:space="preserve">Elf (Elven Court, the Forest of Lethyr, or the Yuirwood), gloaming (Sphur Upra), half-elf (Aglarond), halfling, (Channath Vale or the Western Heartlands), or human (Aglarond, the Dalelands, Tethyr, Turmish, or the Vast).
</t>
        </r>
        <r>
          <rPr>
            <b/>
            <sz val="12"/>
            <color indexed="81"/>
            <rFont val="Times New Roman"/>
            <family val="1"/>
          </rPr>
          <t xml:space="preserve">Benefit:  </t>
        </r>
        <r>
          <rPr>
            <sz val="12"/>
            <color indexed="81"/>
            <rFont val="Times New Roman"/>
            <family val="1"/>
          </rPr>
          <t xml:space="preserve">You receive a +1 luck bonus on all saving throws and a +1 luck bonus to Armor Class.
</t>
        </r>
        <r>
          <rPr>
            <b/>
            <sz val="12"/>
            <color indexed="81"/>
            <rFont val="Times New Roman"/>
            <family val="1"/>
          </rPr>
          <t xml:space="preserve">Special:  </t>
        </r>
        <r>
          <rPr>
            <sz val="12"/>
            <color indexed="81"/>
            <rFont val="Times New Roman"/>
            <family val="1"/>
          </rPr>
          <t>You may select this feat only as a 1st-level character.  You may have only one regional feat.
Player’s Guide to Faerûn 40</t>
        </r>
      </text>
    </comment>
    <comment ref="C5" authorId="0" shapeId="0" xr:uid="{00000000-0006-0000-0200-00000800000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 ref="C6" authorId="0" shapeId="0" xr:uid="{00000000-0006-0000-0200-00000A000000}">
      <text>
        <r>
          <rPr>
            <sz val="12"/>
            <color indexed="81"/>
            <rFont val="Times New Roman"/>
            <family val="1"/>
          </rPr>
          <t xml:space="preserve">Choose one of the creature’s special attacks.  This attack becomes more potent than normal.
</t>
        </r>
        <r>
          <rPr>
            <b/>
            <sz val="12"/>
            <color indexed="81"/>
            <rFont val="Times New Roman"/>
            <family val="1"/>
          </rPr>
          <t xml:space="preserve">Prerequisite:  </t>
        </r>
        <r>
          <rPr>
            <sz val="12"/>
            <color indexed="81"/>
            <rFont val="Times New Roman"/>
            <family val="1"/>
          </rPr>
          <t xml:space="preserve">Special attack.
</t>
        </r>
        <r>
          <rPr>
            <b/>
            <sz val="12"/>
            <color indexed="81"/>
            <rFont val="Times New Roman"/>
            <family val="1"/>
          </rPr>
          <t xml:space="preserve">Benefit:  </t>
        </r>
        <r>
          <rPr>
            <sz val="12"/>
            <color indexed="81"/>
            <rFont val="Times New Roman"/>
            <family val="1"/>
          </rPr>
          <t xml:space="preserve">Add +2 to the DC for all saving throws against the special attack on which the creature focuses.
</t>
        </r>
        <r>
          <rPr>
            <b/>
            <sz val="12"/>
            <color indexed="81"/>
            <rFont val="Times New Roman"/>
            <family val="1"/>
          </rPr>
          <t xml:space="preserve">Special:  </t>
        </r>
        <r>
          <rPr>
            <sz val="12"/>
            <color indexed="81"/>
            <rFont val="Times New Roman"/>
            <family val="1"/>
          </rPr>
          <t>A creature can gain this feat multiple times.  Its effects do not stack.  Each time the creature takes the feat, it applies to a different special attack.
MM 303</t>
        </r>
      </text>
    </comment>
    <comment ref="C7" authorId="0" shapeId="0" xr:uid="{00000000-0006-0000-0200-00000B000000}">
      <text>
        <r>
          <rPr>
            <sz val="12"/>
            <color indexed="81"/>
            <rFont val="Times New Roman"/>
            <family val="1"/>
          </rPr>
          <t>When unarmored, a monk may strike with a flurry of blows at the expense of accuracy. When doing so, she may make one extra attack in a round at her highest base attack bonus, but this attack takes a –2 penalty, as does each other attack made that round. The resulting modified base attack bonuses are shown in the Flurry of Blows Attack Bonus column on Table 3–10: The Monk.  This penalty applies for 1 round, so it also affects attacks of opportunity the monk might make before her next action. When a monk reaches 5th level, the penalty lessens to –1, and at 9th level it disappears. A monk must use a full attack action (see page 143) to strike with a flurry of blows.
More details on PHB 40 - 41</t>
        </r>
      </text>
    </comment>
    <comment ref="A8" authorId="0" shapeId="0" xr:uid="{00000000-0006-0000-0200-00000D000000}">
      <text>
        <r>
          <rPr>
            <sz val="12"/>
            <color indexed="81"/>
            <rFont val="Times New Roman"/>
            <family val="1"/>
          </rPr>
          <t>Longsword, rapier, longbow (including composite longbow), and shortbow (including composite shortbow) as bonus feats. Elves esteem the arts of swordplay and archery, so all elves are familiar with these weapons.
PHB 16</t>
        </r>
      </text>
    </comment>
    <comment ref="C8" authorId="0" shapeId="0" xr:uid="{00000000-0006-0000-0200-00000C000000}">
      <text>
        <r>
          <rPr>
            <sz val="12"/>
            <color indexed="81"/>
            <rFont val="Times New Roman"/>
            <family val="1"/>
          </rPr>
          <t>Monks are highly trained in fighting unarmed, giving them considerable advantages when doing so. At 1st level, a monk gains Improved Unarmed Strike as a bonus feat. A monk’s attacks may be with either fist interchangeably or even from elbows, knees, and feet. This means that a monk may even make unarmed strikes with her hands full. There is no such thing as an off-hand attack for a monk striking unarmed. A monk may thus apply her full Strength bonus on damage rolls for all her unarmed strikes. Usually a monk’s unarmed strikes deal lethal damage, but she can choose to deal nonlethal damage instead with no penalty on her attack roll. She has the same choice to deal lethal or nonlethal damage while grappling.
A monk’s unarmed strike is treated both as a manufactured weapon and a natural weapon for the purpose of spells and effects that enhance or improve either manufactured weapons or natural weapons (such as the magic fang and magic weapon spells).  A monk also deals more damage with her unarmed strikes than a normal person would, as shown on Table 3–10: The Monk. The unarmed damage on Table 3–10 is for Medium monks. A Small monk deals less damage than the amount given there with her unarmed attacks, while a Large monk deals more damage; see Table:  Small or Large Monk Unarmed Damage.
PHB 41</t>
        </r>
      </text>
    </comment>
    <comment ref="C9" authorId="0" shapeId="0" xr:uid="{00000000-0006-0000-0200-00000E000000}">
      <text>
        <r>
          <rPr>
            <sz val="12"/>
            <color indexed="81"/>
            <rFont val="Times New Roman"/>
            <family val="1"/>
          </rPr>
          <t>At 4th level, a monk’s unarmed attacks are empowered with ki.  Her unarmed attacks are treated as magic weapons for the purpose of dealing damage to creatures with damage reduction (see Damage Reduction, page 291 of the Dungeon Master’s Guide).  Ki strike improves with the character’s monk level.  At 10th level, her unarmed attacks are also treated as lawful weapons for the purpose of dealing damage to creatures with damage reduction. At 16th level, her unarmed attacks are treated as adamantine weapons for the purpose of dealing damage to creatures with damage reduction and bypassing hardness (see Smashing an Object, page 165).
PHB 41</t>
        </r>
      </text>
    </comment>
    <comment ref="A10" authorId="0" shapeId="0" xr:uid="{00000000-0006-0000-0200-00000F000000}">
      <text>
        <r>
          <rPr>
            <sz val="12"/>
            <color indexed="81"/>
            <rFont val="Times New Roman"/>
            <family val="1"/>
          </rPr>
          <t>Handaxe, Javelin, Kama, Nunchaku, Quarterstaff, Sai, Shuriken, Siangham, Sling
PHB 40</t>
        </r>
      </text>
    </comment>
    <comment ref="C10" authorId="0" shapeId="0" xr:uid="{00000000-0006-0000-0200-000010000000}">
      <text>
        <r>
          <rPr>
            <sz val="12"/>
            <color indexed="81"/>
            <rFont val="Times New Roman"/>
            <family val="1"/>
          </rPr>
          <t xml:space="preserve">You know how to strike opponents in vulnerable areas.
</t>
        </r>
        <r>
          <rPr>
            <b/>
            <sz val="12"/>
            <color indexed="81"/>
            <rFont val="Times New Roman"/>
            <family val="1"/>
          </rPr>
          <t xml:space="preserve">Prerequisites:  </t>
        </r>
        <r>
          <rPr>
            <sz val="12"/>
            <color indexed="81"/>
            <rFont val="Times New Roman"/>
            <family val="1"/>
          </rPr>
          <t xml:space="preserve">Dex 13, Wis 13, Improved Unarmed Strike, base attack bonus +8.
</t>
        </r>
        <r>
          <rPr>
            <b/>
            <sz val="12"/>
            <color indexed="81"/>
            <rFont val="Times New Roman"/>
            <family val="1"/>
          </rPr>
          <t xml:space="preserve">Benefit:  </t>
        </r>
        <r>
          <rPr>
            <sz val="12"/>
            <color indexed="81"/>
            <rFont val="Times New Roman"/>
            <family val="1"/>
          </rPr>
          <t xml:space="preserve">You must declare that you are using this feat before you make your attack roll (thus, a failed attack roll ruins the attempt).
Stunning Fist forces a foe damaged by your unarmed attack to make a Fortitude saving throw (DC 10 + 1/2 your character level + your Wis modifier), in addition to dealing damage normally. A defender who fails this saving throw is stunned for 1 round (until just before your next action). See glossary (page 313) for effects of being stunned. You may attempt a stunning attack once per day for every four levels you have attained (but see Special), and no more than once per round. Constructs, oozes, plants, undead, incorporeal creatures, and creatures immune to critical hits cannot be stunned.
</t>
        </r>
        <r>
          <rPr>
            <b/>
            <sz val="12"/>
            <color indexed="81"/>
            <rFont val="Times New Roman"/>
            <family val="1"/>
          </rPr>
          <t xml:space="preserve">Special:  </t>
        </r>
        <r>
          <rPr>
            <sz val="12"/>
            <color indexed="81"/>
            <rFont val="Times New Roman"/>
            <family val="1"/>
          </rPr>
          <t>A monk may select Stunning Fist as a bonus feat at 1st level, even if she does not meet the prerequisites. A monk who selects this feat may attempt a stunning attack a number of times per day equal to her monk level, plus one more time per day for every four levels she has in classes other than monk.
A fighter may select Stunning Fist as one of his fighter bonus
feats (see page 38).
PHB 100</t>
        </r>
      </text>
    </comment>
    <comment ref="C11" authorId="0" shapeId="0" xr:uid="{00000000-0006-0000-0200-000011000000}">
      <text>
        <r>
          <rPr>
            <sz val="12"/>
            <color indexed="81"/>
            <rFont val="Times New Roman"/>
            <family val="1"/>
          </rPr>
          <t xml:space="preserve">You can respond quickly and repeatedly to opponents who let their defenses down.
</t>
        </r>
        <r>
          <rPr>
            <b/>
            <sz val="12"/>
            <color indexed="81"/>
            <rFont val="Times New Roman"/>
            <family val="1"/>
          </rPr>
          <t xml:space="preserve">Benefit:  </t>
        </r>
        <r>
          <rPr>
            <sz val="12"/>
            <color indexed="81"/>
            <rFont val="Times New Roman"/>
            <family val="1"/>
          </rPr>
          <t xml:space="preserve">When foes leave themselves open, you may make a number of additional attacks of opportunity equal to your Dexterity bonus.  For example, a fighter with a Dexterity of 15 can make a total of three attacks of opportunity in 1 round—the one attack of opportunity any character is entitled to, plus two more because of his +2 Dexterity bonus.  If four goblins move out of the character’s threatened squares, he can make one attack of opportunity each against three of the four. You can still make only one attack of opportunity per opportunity.
With this feat, you may also make attacks of opportunity while flat-footed.
</t>
        </r>
        <r>
          <rPr>
            <b/>
            <sz val="12"/>
            <color indexed="81"/>
            <rFont val="Times New Roman"/>
            <family val="1"/>
          </rPr>
          <t xml:space="preserve">Normal: </t>
        </r>
        <r>
          <rPr>
            <sz val="12"/>
            <color indexed="81"/>
            <rFont val="Times New Roman"/>
            <family val="1"/>
          </rPr>
          <t xml:space="preserve"> A character without this feat can make only one attack of opportunity per round and can’t make attacks of opportunity while flat-footed.
</t>
        </r>
        <r>
          <rPr>
            <b/>
            <sz val="12"/>
            <color indexed="81"/>
            <rFont val="Times New Roman"/>
            <family val="1"/>
          </rPr>
          <t xml:space="preserve">Special:  </t>
        </r>
        <r>
          <rPr>
            <sz val="12"/>
            <color indexed="81"/>
            <rFont val="Times New Roman"/>
            <family val="1"/>
          </rPr>
          <t>The Combat Reflexes feat does not allow a rogue to use her opportunist ability (see page 51) more than once per round.
A fighter may select Combat Reflexes as one of his fighter bonus feats (see page 38)
A monk may select Combat Reflexes as a bonus feat at 2nd level.
PHB 92</t>
        </r>
      </text>
    </comment>
    <comment ref="C12" authorId="0" shapeId="0" xr:uid="{00000000-0006-0000-0200-000012000000}">
      <text>
        <r>
          <rPr>
            <sz val="12"/>
            <color indexed="81"/>
            <rFont val="Times New Roman"/>
            <family val="1"/>
          </rPr>
          <t>At 4th level or higher, a monk within arm’s reach of a wall can use it to slow her descent.  When first using this ability, she takes damage as if the fall were 20 feet shorter than it actually is.
The monk’s ability to slow her fall (that is, to reduce the effective distance of the fall when next to a wall) improves with her monk level until at 20th level she can use a nearby wall to slow her descent and fall any distance without harm.  See the Special column on Table 3–10 for details.
PHB 41</t>
        </r>
      </text>
    </comment>
    <comment ref="C13" authorId="0" shapeId="0" xr:uid="{00000000-0006-0000-0200-000013000000}">
      <text>
        <r>
          <rPr>
            <sz val="12"/>
            <color indexed="81"/>
            <rFont val="Times New Roman"/>
            <family val="1"/>
          </rPr>
          <t>A monk of 3rd level or higher gains a +2 bonus on saving throws against spells and effects from the school of enchantment, since her meditation and training improve her resistance to mind-affecting attacks.
PHB 41</t>
        </r>
      </text>
    </comment>
    <comment ref="C19" authorId="0" shapeId="0" xr:uid="{00000000-0006-0000-0200-000014000000}">
      <text>
        <r>
          <rPr>
            <sz val="12"/>
            <color indexed="81"/>
            <rFont val="Times New Roman"/>
            <family val="1"/>
          </rPr>
          <t xml:space="preserve">Your extraordinary leaping ability carries you over great distances.
</t>
        </r>
        <r>
          <rPr>
            <b/>
            <sz val="12"/>
            <color indexed="81"/>
            <rFont val="Times New Roman"/>
            <family val="1"/>
          </rPr>
          <t xml:space="preserve">Prerequisite:  </t>
        </r>
        <r>
          <rPr>
            <sz val="12"/>
            <color indexed="81"/>
            <rFont val="Times New Roman"/>
            <family val="1"/>
          </rPr>
          <t xml:space="preserve">Jump 5 ranks.
</t>
        </r>
        <r>
          <rPr>
            <b/>
            <sz val="12"/>
            <color indexed="81"/>
            <rFont val="Times New Roman"/>
            <family val="1"/>
          </rPr>
          <t xml:space="preserve">Benefit:  </t>
        </r>
        <r>
          <rPr>
            <sz val="12"/>
            <color indexed="81"/>
            <rFont val="Times New Roman"/>
            <family val="1"/>
          </rPr>
          <t>If you make a horizontal jump of at least 10 feet during your turn, you can spend a swift action to move an additional 10 feet on that turn.
Complete Scoundrel 86</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17" authorId="0" shapeId="0" xr:uid="{00000000-0006-0000-0300-000001000000}">
      <text>
        <r>
          <rPr>
            <sz val="12"/>
            <color indexed="81"/>
            <rFont val="Times New Roman"/>
            <family val="1"/>
          </rPr>
          <t>Balance, Climb, Escape Artist, Hide, Jump, Move Silently, Sleight of Hand, Tumble.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4" authorId="0" shapeId="0" xr:uid="{00000000-0006-0000-0400-000001000000}">
      <text>
        <r>
          <rPr>
            <b/>
            <sz val="12"/>
            <color indexed="81"/>
            <rFont val="Times New Roman"/>
            <family val="1"/>
          </rPr>
          <t xml:space="preserve">Price (Item Level):  </t>
        </r>
        <r>
          <rPr>
            <sz val="12"/>
            <color indexed="81"/>
            <rFont val="Times New Roman"/>
            <family val="1"/>
          </rPr>
          <t xml:space="preserve">2,000 gp (6th)
</t>
        </r>
        <r>
          <rPr>
            <b/>
            <sz val="12"/>
            <color indexed="81"/>
            <rFont val="Times New Roman"/>
            <family val="1"/>
          </rPr>
          <t xml:space="preserve">Body Slot:  </t>
        </r>
        <r>
          <rPr>
            <sz val="12"/>
            <color indexed="81"/>
            <rFont val="Times New Roman"/>
            <family val="1"/>
          </rPr>
          <t xml:space="preserve">Feet
</t>
        </r>
        <r>
          <rPr>
            <b/>
            <sz val="12"/>
            <color indexed="81"/>
            <rFont val="Times New Roman"/>
            <family val="1"/>
          </rPr>
          <t xml:space="preserve">Caster Level:  </t>
        </r>
        <r>
          <rPr>
            <sz val="12"/>
            <color indexed="81"/>
            <rFont val="Times New Roman"/>
            <family val="1"/>
          </rPr>
          <t xml:space="preserve">7th
</t>
        </r>
        <r>
          <rPr>
            <b/>
            <sz val="12"/>
            <color indexed="81"/>
            <rFont val="Times New Roman"/>
            <family val="1"/>
          </rPr>
          <t xml:space="preserve">Aura:  </t>
        </r>
        <r>
          <rPr>
            <sz val="12"/>
            <color indexed="81"/>
            <rFont val="Times New Roman"/>
            <family val="1"/>
          </rPr>
          <t xml:space="preserve">Faint; (DC 16) conjuration
</t>
        </r>
        <r>
          <rPr>
            <b/>
            <sz val="12"/>
            <color indexed="81"/>
            <rFont val="Times New Roman"/>
            <family val="1"/>
          </rPr>
          <t xml:space="preserve">Activation:  </t>
        </r>
        <r>
          <rPr>
            <sz val="12"/>
            <color indexed="81"/>
            <rFont val="Times New Roman"/>
            <family val="1"/>
          </rPr>
          <t xml:space="preserve">— and standard (command)
</t>
        </r>
        <r>
          <rPr>
            <b/>
            <sz val="12"/>
            <color indexed="81"/>
            <rFont val="Times New Roman"/>
            <family val="1"/>
          </rPr>
          <t xml:space="preserve">Weight:  </t>
        </r>
        <r>
          <rPr>
            <sz val="12"/>
            <color indexed="81"/>
            <rFont val="Times New Roman"/>
            <family val="1"/>
          </rPr>
          <t xml:space="preserve">1 lb.
These sleek leather boots lean slightly forward, as if poised to leap.
While wearing dimension stride boots, you gain a +2 competence bonus on Jump checks.  This is a continuous effect and requires no activation.
In addition, the boots have 5 charges, which are renewed each day at dawn.
Spending 1 or more charges allows you to teleport a short distance (with no chance of error).  You must have line of sight and line of effect to your destination.  You
can’t use the boots to move into a space occupied by another creature, nor can you teleport into a solid object; if you attempt to do so, the boots’ activation is wasted.
You can bring along objects weighing up to your maximum load, but you can’t bring other creatures.
</t>
        </r>
        <r>
          <rPr>
            <b/>
            <sz val="12"/>
            <color indexed="81"/>
            <rFont val="Times New Roman"/>
            <family val="1"/>
          </rPr>
          <t xml:space="preserve">1 charge:  </t>
        </r>
        <r>
          <rPr>
            <sz val="12"/>
            <color indexed="81"/>
            <rFont val="Times New Roman"/>
            <family val="1"/>
          </rPr>
          <t xml:space="preserve">Teleport 20 feet.
</t>
        </r>
        <r>
          <rPr>
            <b/>
            <sz val="12"/>
            <color indexed="81"/>
            <rFont val="Times New Roman"/>
            <family val="1"/>
          </rPr>
          <t xml:space="preserve">3 charges:  </t>
        </r>
        <r>
          <rPr>
            <sz val="12"/>
            <color indexed="81"/>
            <rFont val="Times New Roman"/>
            <family val="1"/>
          </rPr>
          <t xml:space="preserve">Teleport 40 feet.
</t>
        </r>
        <r>
          <rPr>
            <b/>
            <sz val="12"/>
            <color indexed="81"/>
            <rFont val="Times New Roman"/>
            <family val="1"/>
          </rPr>
          <t xml:space="preserve">5 charges:  </t>
        </r>
        <r>
          <rPr>
            <sz val="12"/>
            <color indexed="81"/>
            <rFont val="Times New Roman"/>
            <family val="1"/>
          </rPr>
          <t>Teleport 60 feet.
MIC 94</t>
        </r>
      </text>
    </comment>
    <comment ref="A5" authorId="0" shapeId="0" xr:uid="{00000000-0006-0000-0400-000002000000}">
      <text>
        <r>
          <rPr>
            <b/>
            <sz val="12"/>
            <color indexed="81"/>
            <rFont val="Times New Roman"/>
            <family val="1"/>
          </rPr>
          <t xml:space="preserve">Price (Item Level):  </t>
        </r>
        <r>
          <rPr>
            <sz val="12"/>
            <color indexed="81"/>
            <rFont val="Times New Roman"/>
            <family val="1"/>
          </rPr>
          <t xml:space="preserve">750 gp (3rd)
</t>
        </r>
        <r>
          <rPr>
            <b/>
            <sz val="12"/>
            <color indexed="81"/>
            <rFont val="Times New Roman"/>
            <family val="1"/>
          </rPr>
          <t xml:space="preserve">Body Slot:  </t>
        </r>
        <r>
          <rPr>
            <sz val="12"/>
            <color indexed="81"/>
            <rFont val="Times New Roman"/>
            <family val="1"/>
          </rPr>
          <t xml:space="preserve">Waist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conjuration
</t>
        </r>
        <r>
          <rPr>
            <b/>
            <sz val="12"/>
            <color indexed="81"/>
            <rFont val="Times New Roman"/>
            <family val="1"/>
          </rPr>
          <t xml:space="preserve">Activation:  </t>
        </r>
        <r>
          <rPr>
            <sz val="12"/>
            <color indexed="81"/>
            <rFont val="Times New Roman"/>
            <family val="1"/>
          </rPr>
          <t xml:space="preserve">— and standard (command)
</t>
        </r>
        <r>
          <rPr>
            <b/>
            <sz val="12"/>
            <color indexed="81"/>
            <rFont val="Times New Roman"/>
            <family val="1"/>
          </rPr>
          <t xml:space="preserve">Weight:  </t>
        </r>
        <r>
          <rPr>
            <sz val="12"/>
            <color indexed="81"/>
            <rFont val="Times New Roman"/>
            <family val="1"/>
          </rPr>
          <t>1 lb.
This broad leather belt is studded with three moonstones.
While wearing a healing belt, you gain a +2 competence bonus on Heal checks.
This is a continuous effect and requires no activation.
In addition, the belt has 3 charges, which are renewed each day at dawn.
Spending 1 or more charges allows you to channel positive energy and heal damage with a touch. (You can also use this ability to harm undead, dealing them an equivalent amount of damage instead.)
1 charge:  Heals 2d8 points of damage.
2 charges:  Heals 3d8 points of damage.
3 charges:  Heals 4d8 points of damage.
Prerequisites:  Craft Wondrous Item, cure moderate wounds.
Cost to Create:  500 gp, 40 XP, 1 day.
MIC 110</t>
        </r>
      </text>
    </comment>
    <comment ref="A18" authorId="0" shapeId="0" xr:uid="{00000000-0006-0000-0400-000003000000}">
      <text>
        <r>
          <rPr>
            <b/>
            <sz val="12"/>
            <color indexed="81"/>
            <rFont val="Times New Roman"/>
            <family val="1"/>
          </rPr>
          <t xml:space="preserve">Price (Item Level):  </t>
        </r>
        <r>
          <rPr>
            <sz val="12"/>
            <color indexed="81"/>
            <rFont val="Times New Roman"/>
            <family val="1"/>
          </rPr>
          <t xml:space="preserve">350 gp (2nd)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conjuration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2 lb.
This nondescript, small leather pouch has a light blue silk drawstring.
This pouch contains enough trail rations to feed a Medium creature for one day.  Every morning at sunrise, the pouch magically creates another day’s worth of rations.
</t>
        </r>
        <r>
          <rPr>
            <b/>
            <sz val="12"/>
            <color indexed="81"/>
            <rFont val="Times New Roman"/>
            <family val="1"/>
          </rPr>
          <t xml:space="preserve">Prerequisites:  </t>
        </r>
        <r>
          <rPr>
            <sz val="12"/>
            <color indexed="81"/>
            <rFont val="Times New Roman"/>
            <family val="1"/>
          </rPr>
          <t xml:space="preserve">Craft Wondrous Item,
create food and water.
</t>
        </r>
        <r>
          <rPr>
            <b/>
            <sz val="12"/>
            <color indexed="81"/>
            <rFont val="Times New Roman"/>
            <family val="1"/>
          </rPr>
          <t xml:space="preserve">Cost to Create:  </t>
        </r>
        <r>
          <rPr>
            <sz val="12"/>
            <color indexed="81"/>
            <rFont val="Times New Roman"/>
            <family val="1"/>
          </rPr>
          <t>175 gp, 14 XP, 1 day.
MIC 160</t>
        </r>
      </text>
    </comment>
    <comment ref="A37" authorId="0" shapeId="0" xr:uid="{00000000-0006-0000-0400-000004000000}">
      <text>
        <r>
          <rPr>
            <b/>
            <sz val="12"/>
            <color indexed="81"/>
            <rFont val="Times New Roman"/>
            <family val="1"/>
          </rPr>
          <t xml:space="preserve">Price (Item Level):  </t>
        </r>
        <r>
          <rPr>
            <sz val="12"/>
            <color indexed="81"/>
            <rFont val="Times New Roman"/>
            <family val="1"/>
          </rPr>
          <t xml:space="preserve">200 gp (2nd)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conjuration
</t>
        </r>
        <r>
          <rPr>
            <b/>
            <sz val="12"/>
            <color indexed="81"/>
            <rFont val="Times New Roman"/>
            <family val="1"/>
          </rPr>
          <t xml:space="preserve">Activation:  </t>
        </r>
        <r>
          <rPr>
            <sz val="12"/>
            <color indexed="81"/>
            <rFont val="Times New Roman"/>
            <family val="1"/>
          </rPr>
          <t xml:space="preserve">Standard (command)
</t>
        </r>
        <r>
          <rPr>
            <b/>
            <sz val="12"/>
            <color indexed="81"/>
            <rFont val="Times New Roman"/>
            <family val="1"/>
          </rPr>
          <t xml:space="preserve">Weight:  </t>
        </r>
        <r>
          <rPr>
            <sz val="12"/>
            <color indexed="81"/>
            <rFont val="Times New Roman"/>
            <family val="1"/>
          </rPr>
          <t xml:space="preserve">—
This common-looking brown clay mug has persistent stains just under the rim.
Three times per day, when you recite the command word, this mug fills with 12 ounces of water, cheap ale, or watery wine (your choice).
</t>
        </r>
        <r>
          <rPr>
            <b/>
            <sz val="12"/>
            <color indexed="81"/>
            <rFont val="Times New Roman"/>
            <family val="1"/>
          </rPr>
          <t xml:space="preserve">Prerequisites:  </t>
        </r>
        <r>
          <rPr>
            <sz val="12"/>
            <color indexed="81"/>
            <rFont val="Times New Roman"/>
            <family val="1"/>
          </rPr>
          <t xml:space="preserve">Craft Wondrous Item, create water.
</t>
        </r>
        <r>
          <rPr>
            <b/>
            <sz val="12"/>
            <color indexed="81"/>
            <rFont val="Times New Roman"/>
            <family val="1"/>
          </rPr>
          <t xml:space="preserve">Cost to Create:  </t>
        </r>
        <r>
          <rPr>
            <sz val="12"/>
            <color indexed="81"/>
            <rFont val="Times New Roman"/>
            <family val="1"/>
          </rPr>
          <t>100 gp, 8 XP, 1 day.
MIC 160</t>
        </r>
      </text>
    </comment>
  </commentList>
</comments>
</file>

<file path=xl/sharedStrings.xml><?xml version="1.0" encoding="utf-8"?>
<sst xmlns="http://schemas.openxmlformats.org/spreadsheetml/2006/main" count="421" uniqueCount="251">
  <si>
    <t>Skill</t>
  </si>
  <si>
    <t>Properties</t>
  </si>
  <si>
    <t>Melee Weapon</t>
  </si>
  <si>
    <t>Dmg</t>
  </si>
  <si>
    <t>Qty.</t>
  </si>
  <si>
    <t>Ranged Weapon</t>
  </si>
  <si>
    <t>Dmg.</t>
  </si>
  <si>
    <t>Rng.</t>
  </si>
  <si>
    <t>Skills</t>
  </si>
  <si>
    <t>Concentration</t>
  </si>
  <si>
    <t>AC Mod.</t>
  </si>
  <si>
    <t>Handle Animal</t>
  </si>
  <si>
    <t>Move Silently</t>
  </si>
  <si>
    <t>Ride</t>
  </si>
  <si>
    <t>Search</t>
  </si>
  <si>
    <t>Swim</t>
  </si>
  <si>
    <t>Weapons and Armor</t>
  </si>
  <si>
    <t>Type</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</si>
  <si>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</si>
  <si>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</si>
  <si>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</si>
  <si>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</si>
  <si>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</si>
  <si>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</si>
  <si>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</si>
  <si>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</si>
  <si>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</si>
  <si>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</si>
  <si>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</si>
  <si>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</si>
  <si>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</si>
  <si>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</si>
  <si>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</si>
  <si>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</si>
  <si>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</si>
  <si>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</si>
  <si>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</si>
  <si>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</si>
  <si>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</si>
  <si>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</si>
  <si>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</si>
  <si>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</si>
  <si>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</si>
  <si>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</si>
  <si>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</si>
  <si>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</si>
  <si>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</si>
  <si>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</si>
  <si>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</si>
  <si>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</si>
  <si>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</si>
  <si>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</si>
  <si>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</si>
  <si>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</si>
  <si>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</si>
  <si>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</si>
  <si>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</si>
  <si>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</si>
  <si>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Fortitude</t>
  </si>
  <si>
    <t>Reflex</t>
  </si>
  <si>
    <t>Will</t>
  </si>
  <si>
    <t>Armor &amp; Shield</t>
  </si>
  <si>
    <t>Missiles</t>
  </si>
  <si>
    <t>+0</t>
  </si>
  <si>
    <t>Languages</t>
  </si>
  <si>
    <t>Equipment Worn</t>
  </si>
  <si>
    <t>Item</t>
  </si>
  <si>
    <t>Effects/</t>
  </si>
  <si>
    <t>Notes</t>
  </si>
  <si>
    <t>Equipment Carried</t>
  </si>
  <si>
    <t>Check</t>
  </si>
  <si>
    <t>Arcane</t>
  </si>
  <si>
    <t>Speed</t>
  </si>
  <si>
    <t>Speak Language</t>
  </si>
  <si>
    <t>Sleight of Hand</t>
  </si>
  <si>
    <t>Survival</t>
  </si>
  <si>
    <t>Class Features</t>
  </si>
  <si>
    <t>Weapon Proficiencies</t>
  </si>
  <si>
    <t>Atk</t>
  </si>
  <si>
    <t>Feats</t>
  </si>
  <si>
    <t>Fast Movement</t>
  </si>
  <si>
    <t>Monk</t>
  </si>
  <si>
    <t>Lawful Neutral</t>
  </si>
  <si>
    <t>1d6</t>
  </si>
  <si>
    <t>Common, Elven</t>
  </si>
  <si>
    <t>Flurry of Blows</t>
  </si>
  <si>
    <t>Evasion</t>
  </si>
  <si>
    <t>Still Mind</t>
  </si>
  <si>
    <t>none</t>
  </si>
  <si>
    <t>Bludgeon</t>
  </si>
  <si>
    <t>x2</t>
  </si>
  <si>
    <t>Backpack</t>
  </si>
  <si>
    <t>1</t>
  </si>
  <si>
    <t>1d4</t>
  </si>
  <si>
    <t>two</t>
  </si>
  <si>
    <t>Bullets</t>
  </si>
  <si>
    <t>Flint and Steel</t>
  </si>
  <si>
    <t>Torches</t>
  </si>
  <si>
    <t>Roll</t>
  </si>
  <si>
    <t>MW Sling</t>
  </si>
  <si>
    <t>Monk 1</t>
  </si>
  <si>
    <t>Monk 2</t>
  </si>
  <si>
    <t>Monk 3</t>
  </si>
  <si>
    <t>Monk’s Outfit</t>
  </si>
  <si>
    <t>5’ 6”</t>
  </si>
  <si>
    <t>120 lbs.</t>
  </si>
  <si>
    <t>Sun</t>
  </si>
  <si>
    <t>40’</t>
  </si>
  <si>
    <r>
      <t>33</t>
    </r>
    <r>
      <rPr>
        <sz val="13"/>
        <rFont val="Times New Roman"/>
        <family val="1"/>
      </rPr>
      <t>/</t>
    </r>
    <r>
      <rPr>
        <sz val="13"/>
        <color indexed="52"/>
        <rFont val="Times New Roman"/>
        <family val="1"/>
      </rPr>
      <t>66</t>
    </r>
    <r>
      <rPr>
        <sz val="13"/>
        <rFont val="Times New Roman"/>
        <family val="1"/>
      </rPr>
      <t>/</t>
    </r>
    <r>
      <rPr>
        <sz val="13"/>
        <color indexed="10"/>
        <rFont val="Times New Roman"/>
        <family val="1"/>
      </rPr>
      <t>100</t>
    </r>
  </si>
  <si>
    <t>50’</t>
  </si>
  <si>
    <t>Elven Weapons</t>
  </si>
  <si>
    <t>Monk Weapons</t>
  </si>
  <si>
    <t>Racial Abilities</t>
  </si>
  <si>
    <t>+2 versus Enchantments</t>
  </si>
  <si>
    <t>Immunity to Sleep</t>
  </si>
  <si>
    <t>Low-light Vision</t>
  </si>
  <si>
    <t>2</t>
  </si>
  <si>
    <t>Improved Unarmed Strike</t>
  </si>
  <si>
    <t>Profession:  Scribe</t>
  </si>
  <si>
    <t>Perform:  [type]</t>
  </si>
  <si>
    <t>Craft:  [type]</t>
  </si>
  <si>
    <t>Gold Pieces</t>
  </si>
  <si>
    <t>Regional:  Luck of Heroes</t>
  </si>
  <si>
    <t>+2 (elf) +2 (still mind) vs. Enchantments</t>
  </si>
  <si>
    <t>Skill Tricks</t>
  </si>
  <si>
    <t>Extreme Leap</t>
  </si>
  <si>
    <t>Sunrods</t>
  </si>
  <si>
    <t>Cold Bullets</t>
  </si>
  <si>
    <t>Slow Fall 20’</t>
  </si>
  <si>
    <t>1d8</t>
  </si>
  <si>
    <t>Ki-Strike (Magic)</t>
  </si>
  <si>
    <t>Winter Blanket</t>
  </si>
  <si>
    <t>Candles</t>
  </si>
  <si>
    <t>Chalk</t>
  </si>
  <si>
    <t>Ink</t>
  </si>
  <si>
    <t>Inkpen</t>
  </si>
  <si>
    <t>Scroll Case</t>
  </si>
  <si>
    <t>Small Mirror</t>
  </si>
  <si>
    <t>Sheets of Paper</t>
  </si>
  <si>
    <t>Belt Pouches</t>
  </si>
  <si>
    <t>Sack</t>
  </si>
  <si>
    <t>Sewing Needle</t>
  </si>
  <si>
    <t>Signal Whistle</t>
  </si>
  <si>
    <t>Thunderstones</t>
  </si>
  <si>
    <t>Soap</t>
  </si>
  <si>
    <t>Whetstone</t>
  </si>
  <si>
    <t>Holy Water</t>
  </si>
  <si>
    <t>Courtier’s Outfit</t>
  </si>
  <si>
    <t>Grapple:</t>
  </si>
  <si>
    <t>Flurry of Blows, 1st Blow</t>
  </si>
  <si>
    <t>Flurry of Blows, 2nd Blow</t>
  </si>
  <si>
    <t>-2</t>
  </si>
  <si>
    <t>Ring of Protection +1</t>
  </si>
  <si>
    <t>-</t>
  </si>
  <si>
    <t>Slashing</t>
  </si>
  <si>
    <t>3rd:  Dodge</t>
  </si>
  <si>
    <t>Skill Tricks:</t>
  </si>
  <si>
    <t>Leather Belt</t>
  </si>
  <si>
    <t>8 potion slots</t>
  </si>
  <si>
    <t>Scrolls and Potions</t>
  </si>
  <si>
    <t>Potion of Cure Light Wounds</t>
  </si>
  <si>
    <t>Level</t>
  </si>
  <si>
    <t>CLev</t>
  </si>
  <si>
    <t>Value</t>
  </si>
  <si>
    <t>Vial of Holy Water</t>
  </si>
  <si>
    <t>Alchemist’s Fire</t>
  </si>
  <si>
    <t>Caltrops</t>
  </si>
  <si>
    <t>Fire Bullets</t>
  </si>
  <si>
    <t>Smokesticks</t>
  </si>
  <si>
    <t>Headband of Continuous Flame</t>
  </si>
  <si>
    <t>BAB:</t>
  </si>
  <si>
    <t>Str Mod.:</t>
  </si>
  <si>
    <t>Dex Mod.:</t>
  </si>
  <si>
    <t>Temporary Bonuses:</t>
  </si>
  <si>
    <t>Temporary Penalties:</t>
  </si>
  <si>
    <t>10’</t>
  </si>
  <si>
    <t>Fighter</t>
  </si>
  <si>
    <t>Knowledge:  Local</t>
  </si>
  <si>
    <t>Monk 4</t>
  </si>
  <si>
    <t>Fighter 1</t>
  </si>
  <si>
    <t>Fighter 2</t>
  </si>
  <si>
    <t>Sun Elf</t>
  </si>
  <si>
    <t>Potion of Neutralize Poison</t>
  </si>
  <si>
    <t>Gold Ring</t>
  </si>
  <si>
    <t>Platinum Ring</t>
  </si>
  <si>
    <t>Hematite Ring</t>
  </si>
  <si>
    <t>Earrings</t>
  </si>
  <si>
    <t>Healing Belt</t>
  </si>
  <si>
    <t>Bracers of Armor +1</t>
  </si>
  <si>
    <t>Everlasting Rations</t>
  </si>
  <si>
    <t>Fighter 1:  Weapon Focus (Unarmed)</t>
  </si>
  <si>
    <t>Monk 2:  Combat Reflexes</t>
  </si>
  <si>
    <t>Fighter 2:  Ability Focus (Stunning Fist)</t>
  </si>
  <si>
    <t>also has fire arrows, which no one else claimed</t>
  </si>
  <si>
    <t>Flaming Kama</t>
  </si>
  <si>
    <t>Ice Kama</t>
  </si>
  <si>
    <t>+1d6</t>
  </si>
  <si>
    <t>Dimension Stride Boots</t>
  </si>
  <si>
    <t>Total Equity:</t>
  </si>
  <si>
    <t>Total:</t>
  </si>
  <si>
    <t>Skill Points:</t>
  </si>
  <si>
    <t>Dodge Bonus +1</t>
  </si>
  <si>
    <t>23980</t>
  </si>
  <si>
    <t>Crystal of Fire Assault, Lesser</t>
  </si>
  <si>
    <t>Crystal of Ice Assault, Lesser</t>
  </si>
  <si>
    <t>Everful Mug</t>
  </si>
  <si>
    <t>Unarmed Damage, 1st Blow</t>
  </si>
  <si>
    <t>Unarmed Damage, 2nd Blow</t>
  </si>
  <si>
    <t>Race</t>
  </si>
  <si>
    <t>Subrace</t>
  </si>
  <si>
    <t>Class</t>
  </si>
  <si>
    <t>Region</t>
  </si>
  <si>
    <t>Age</t>
  </si>
  <si>
    <t>Deity</t>
  </si>
  <si>
    <t>Height</t>
  </si>
  <si>
    <t>Alignment</t>
  </si>
  <si>
    <t>Weight</t>
  </si>
  <si>
    <t>Attack Bonus</t>
  </si>
  <si>
    <t>Grapple</t>
  </si>
  <si>
    <t>Initiative</t>
  </si>
  <si>
    <t>Base Speed</t>
  </si>
  <si>
    <t>XP</t>
  </si>
  <si>
    <t>Actual Speed</t>
  </si>
  <si>
    <t>Strength</t>
  </si>
  <si>
    <t>Lb. Capacity</t>
  </si>
  <si>
    <t>Dexterity</t>
  </si>
  <si>
    <t>Lb. Carried</t>
  </si>
  <si>
    <t>Constitution</t>
  </si>
  <si>
    <t>Hit Points</t>
  </si>
  <si>
    <t>Intelligence</t>
  </si>
  <si>
    <t>Touch AC</t>
  </si>
  <si>
    <t>Wisdom</t>
  </si>
  <si>
    <t>Modified AC</t>
  </si>
  <si>
    <t>Charisma</t>
  </si>
  <si>
    <t>FF AC</t>
  </si>
  <si>
    <t>NPC</t>
  </si>
  <si>
    <t>Drunken Master</t>
  </si>
  <si>
    <t>Bornoflove</t>
  </si>
  <si>
    <t>Brother</t>
  </si>
  <si>
    <t>Corellon Larethian</t>
  </si>
  <si>
    <t>Evermeet</t>
  </si>
  <si>
    <t>All Weapons and Armor</t>
  </si>
  <si>
    <t>Drunken Master Features</t>
  </si>
  <si>
    <t>Drink like a Demon</t>
  </si>
  <si>
    <t>Improvised Weapons</t>
  </si>
  <si>
    <t>6th:  Great Foritude</t>
  </si>
  <si>
    <t>1st: Improved Unarmed Strike</t>
  </si>
  <si>
    <t>1d6 fire</t>
  </si>
  <si>
    <t>Drinks Consumed</t>
  </si>
  <si>
    <t>+2 jump, 5/day, 1 20’ 3 40’ 5 60’ dimension door</t>
  </si>
  <si>
    <t>Drunken Master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</si>
</sst>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4">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b/>
      <sz val="18"/>
      <name val="Times New Roman"/>
      <family val="1"/>
    </font>
    <font>
      <sz val="13"/>
      <color indexed="17"/>
      <name val="Times New Roman"/>
      <family val="1"/>
    </font>
    <font>
      <sz val="13"/>
      <color indexed="10"/>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2"/>
      <color indexed="42"/>
      <name val="Times New Roman"/>
      <family val="1"/>
    </font>
    <font>
      <sz val="10"/>
      <name val="Arial"/>
      <family val="2"/>
    </font>
    <font>
      <b/>
      <i/>
      <sz val="13"/>
      <color indexed="53"/>
      <name val="Times New Roman"/>
      <family val="1"/>
    </font>
    <font>
      <b/>
      <i/>
      <sz val="13"/>
      <color indexed="57"/>
      <name val="Times New Roman"/>
      <family val="1"/>
    </font>
    <font>
      <b/>
      <i/>
      <sz val="13"/>
      <color indexed="10"/>
      <name val="Times New Roman"/>
      <family val="1"/>
    </font>
    <font>
      <sz val="12"/>
      <name val="Times New Roman"/>
      <family val="1"/>
      <charset val="1"/>
    </font>
    <font>
      <b/>
      <sz val="13"/>
      <color rgb="FF00CC00"/>
      <name val="Times New Roman"/>
      <family val="1"/>
    </font>
    <font>
      <sz val="13"/>
      <color rgb="FFFF0000"/>
      <name val="Times New Roman"/>
      <family val="1"/>
    </font>
    <font>
      <b/>
      <sz val="12"/>
      <color indexed="81"/>
      <name val="Times New Roman"/>
      <family val="1"/>
    </font>
    <font>
      <i/>
      <sz val="22"/>
      <color theme="0" tint="-4.9989318521683403E-2"/>
      <name val="Times New Roman"/>
      <family val="1"/>
    </font>
    <font>
      <sz val="13"/>
      <color rgb="FF0000FF"/>
      <name val="Times New Roman"/>
      <family val="1"/>
    </font>
    <font>
      <b/>
      <sz val="13"/>
      <color rgb="FFFF0000"/>
      <name val="Times New Roman"/>
      <family val="1"/>
    </font>
    <font>
      <b/>
      <sz val="13"/>
      <color rgb="FF0000FF"/>
      <name val="Times New Roman"/>
      <family val="1"/>
    </font>
    <font>
      <sz val="13"/>
      <color rgb="FFFFC000"/>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b/>
      <sz val="13"/>
      <color rgb="FF00B050"/>
      <name val="Times New Roman"/>
      <family val="1"/>
    </font>
    <font>
      <i/>
      <sz val="14"/>
      <color indexed="17"/>
      <name val="Times New Roman"/>
      <family val="1"/>
    </font>
    <font>
      <b/>
      <i/>
      <sz val="13"/>
      <color rgb="FFFFC000"/>
      <name val="Times New Roman"/>
      <family val="1"/>
    </font>
    <font>
      <b/>
      <sz val="12"/>
      <color rgb="FF00FFFF"/>
      <name val="Times New Roman"/>
      <family val="1"/>
    </font>
    <font>
      <b/>
      <sz val="12"/>
      <color rgb="FFFFFF00"/>
      <name val="Times New Roman"/>
      <family val="1"/>
    </font>
    <font>
      <b/>
      <sz val="12"/>
      <color theme="7" tint="0.79998168889431442"/>
      <name val="Times New Roman"/>
      <family val="1"/>
    </font>
    <font>
      <sz val="12"/>
      <color theme="7" tint="0.79998168889431442"/>
      <name val="Times New Roman"/>
      <family val="1"/>
    </font>
    <font>
      <b/>
      <sz val="16"/>
      <name val="Times New Roman"/>
      <family val="1"/>
    </font>
    <font>
      <b/>
      <sz val="14"/>
      <name val="Times New Roman"/>
      <family val="1"/>
    </font>
    <font>
      <sz val="14"/>
      <name val="Times New Roman"/>
      <family val="1"/>
    </font>
    <font>
      <i/>
      <sz val="12"/>
      <color indexed="81"/>
      <name val="Times New Roman"/>
      <family val="1"/>
    </font>
    <font>
      <b/>
      <i/>
      <sz val="13"/>
      <name val="Times New Roman"/>
      <family val="1"/>
    </font>
    <font>
      <b/>
      <sz val="13"/>
      <color theme="0"/>
      <name val="Times New Roman"/>
      <family val="1"/>
    </font>
  </fonts>
  <fills count="15">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11"/>
        <bgColor indexed="64"/>
      </patternFill>
    </fill>
    <fill>
      <patternFill patternType="solid">
        <fgColor rgb="FFCCFFCC"/>
        <bgColor indexed="64"/>
      </patternFill>
    </fill>
    <fill>
      <patternFill patternType="solid">
        <fgColor rgb="FFFF0000"/>
        <bgColor indexed="64"/>
      </patternFill>
    </fill>
    <fill>
      <patternFill patternType="solid">
        <fgColor theme="0" tint="-0.249977111117893"/>
        <bgColor indexed="64"/>
      </patternFill>
    </fill>
    <fill>
      <patternFill patternType="solid">
        <fgColor rgb="FF7030A0"/>
        <bgColor indexed="64"/>
      </patternFill>
    </fill>
    <fill>
      <patternFill patternType="solid">
        <fgColor rgb="FFFFC000"/>
        <bgColor indexed="64"/>
      </patternFill>
    </fill>
    <fill>
      <patternFill patternType="solid">
        <fgColor theme="0" tint="-0.14999847407452621"/>
        <bgColor indexed="64"/>
      </patternFill>
    </fill>
    <fill>
      <patternFill patternType="solid">
        <fgColor rgb="FF0000FF"/>
        <bgColor indexed="64"/>
      </patternFill>
    </fill>
    <fill>
      <patternFill patternType="solid">
        <fgColor theme="7" tint="0.39997558519241921"/>
        <bgColor indexed="64"/>
      </patternFill>
    </fill>
    <fill>
      <patternFill patternType="solid">
        <fgColor rgb="FFCC66FF"/>
        <bgColor indexed="64"/>
      </patternFill>
    </fill>
  </fills>
  <borders count="105">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style="double">
        <color indexed="64"/>
      </left>
      <right/>
      <top style="double">
        <color indexed="64"/>
      </top>
      <bottom style="thick">
        <color rgb="FFFF0000"/>
      </bottom>
      <diagonal/>
    </border>
    <border>
      <left/>
      <right/>
      <top style="double">
        <color indexed="64"/>
      </top>
      <bottom style="thick">
        <color rgb="FFFF0000"/>
      </bottom>
      <diagonal/>
    </border>
    <border>
      <left/>
      <right style="double">
        <color indexed="64"/>
      </right>
      <top style="double">
        <color indexed="64"/>
      </top>
      <bottom style="thick">
        <color rgb="FFFF0000"/>
      </bottom>
      <diagonal/>
    </border>
    <border>
      <left style="double">
        <color indexed="64"/>
      </left>
      <right style="hair">
        <color indexed="64"/>
      </right>
      <top style="hair">
        <color indexed="64"/>
      </top>
      <bottom style="hair">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right style="double">
        <color indexed="64"/>
      </right>
      <top/>
      <bottom style="thin">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style="thin">
        <color auto="1"/>
      </left>
      <right style="double">
        <color auto="1"/>
      </right>
      <top style="double">
        <color auto="1"/>
      </top>
      <bottom style="thin">
        <color auto="1"/>
      </bottom>
      <diagonal/>
    </border>
    <border>
      <left style="thin">
        <color auto="1"/>
      </left>
      <right style="medium">
        <color auto="1"/>
      </right>
      <top style="thin">
        <color auto="1"/>
      </top>
      <bottom style="double">
        <color indexed="64"/>
      </bottom>
      <diagonal/>
    </border>
    <border>
      <left/>
      <right/>
      <top style="double">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thin">
        <color indexed="64"/>
      </left>
      <right style="thin">
        <color indexed="64"/>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double">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double">
        <color indexed="64"/>
      </left>
      <right/>
      <top style="medium">
        <color indexed="64"/>
      </top>
      <bottom style="hair">
        <color indexed="64"/>
      </bottom>
      <diagonal/>
    </border>
    <border>
      <left style="double">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medium">
        <color auto="1"/>
      </left>
      <right style="thin">
        <color auto="1"/>
      </right>
      <top style="double">
        <color auto="1"/>
      </top>
      <bottom style="thin">
        <color indexed="64"/>
      </bottom>
      <diagonal/>
    </border>
    <border>
      <left/>
      <right style="thin">
        <color auto="1"/>
      </right>
      <top/>
      <bottom style="thin">
        <color auto="1"/>
      </bottom>
      <diagonal/>
    </border>
    <border>
      <left/>
      <right style="medium">
        <color auto="1"/>
      </right>
      <top style="thin">
        <color auto="1"/>
      </top>
      <bottom style="thin">
        <color auto="1"/>
      </bottom>
      <diagonal/>
    </border>
    <border>
      <left style="thin">
        <color indexed="64"/>
      </left>
      <right style="thin">
        <color indexed="64"/>
      </right>
      <top style="double">
        <color indexed="64"/>
      </top>
      <bottom style="medium">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double">
        <color indexed="64"/>
      </right>
      <top style="medium">
        <color indexed="64"/>
      </top>
      <bottom/>
      <diagonal/>
    </border>
    <border>
      <left style="double">
        <color rgb="FF0000FF"/>
      </left>
      <right style="double">
        <color rgb="FF0000FF"/>
      </right>
      <top style="double">
        <color rgb="FF0000FF"/>
      </top>
      <bottom style="double">
        <color rgb="FF0000FF"/>
      </bottom>
      <diagonal/>
    </border>
    <border>
      <left/>
      <right style="hair">
        <color indexed="64"/>
      </right>
      <top style="hair">
        <color indexed="64"/>
      </top>
      <bottom style="hair">
        <color indexed="64"/>
      </bottom>
      <diagonal/>
    </border>
    <border>
      <left style="double">
        <color indexed="64"/>
      </left>
      <right style="hair">
        <color indexed="64"/>
      </right>
      <top/>
      <bottom/>
      <diagonal/>
    </border>
    <border>
      <left style="hair">
        <color indexed="64"/>
      </left>
      <right style="hair">
        <color indexed="64"/>
      </right>
      <top/>
      <bottom/>
      <diagonal/>
    </border>
    <border>
      <left style="hair">
        <color indexed="64"/>
      </left>
      <right style="double">
        <color indexed="64"/>
      </right>
      <top/>
      <bottom/>
      <diagonal/>
    </border>
    <border>
      <left style="double">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double">
        <color indexed="64"/>
      </right>
      <top/>
      <bottom style="double">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
      <left style="double">
        <color indexed="64"/>
      </left>
      <right style="double">
        <color indexed="64"/>
      </right>
      <top style="hair">
        <color indexed="64"/>
      </top>
      <bottom/>
      <diagonal/>
    </border>
    <border>
      <left style="double">
        <color indexed="64"/>
      </left>
      <right style="hair">
        <color indexed="64"/>
      </right>
      <top style="medium">
        <color indexed="64"/>
      </top>
      <bottom/>
      <diagonal/>
    </border>
    <border>
      <left style="hair">
        <color indexed="64"/>
      </left>
      <right style="hair">
        <color indexed="64"/>
      </right>
      <top style="medium">
        <color indexed="64"/>
      </top>
      <bottom/>
      <diagonal/>
    </border>
    <border>
      <left style="double">
        <color indexed="64"/>
      </left>
      <right style="double">
        <color indexed="64"/>
      </right>
      <top/>
      <bottom/>
      <diagonal/>
    </border>
    <border>
      <left style="hair">
        <color indexed="64"/>
      </left>
      <right style="double">
        <color indexed="64"/>
      </right>
      <top style="medium">
        <color indexed="64"/>
      </top>
      <bottom/>
      <diagonal/>
    </border>
  </borders>
  <cellStyleXfs count="9">
    <xf numFmtId="0" fontId="0" fillId="0" borderId="0"/>
    <xf numFmtId="0" fontId="31" fillId="0" borderId="0" applyNumberFormat="0" applyFill="0" applyBorder="0" applyAlignment="0" applyProtection="0">
      <alignment vertical="top"/>
      <protection locked="0"/>
    </xf>
    <xf numFmtId="9" fontId="1" fillId="0" borderId="0" applyFont="0" applyFill="0" applyBorder="0" applyAlignment="0" applyProtection="0"/>
    <xf numFmtId="9" fontId="4" fillId="0" borderId="0" applyFont="0" applyFill="0" applyBorder="0" applyAlignment="0" applyProtection="0"/>
    <xf numFmtId="0" fontId="34" fillId="0" borderId="0"/>
    <xf numFmtId="0" fontId="1" fillId="0" borderId="0"/>
    <xf numFmtId="0" fontId="38" fillId="0" borderId="0"/>
    <xf numFmtId="0" fontId="1" fillId="0" borderId="0"/>
    <xf numFmtId="9" fontId="1" fillId="0" borderId="0" applyFont="0" applyFill="0" applyBorder="0" applyAlignment="0" applyProtection="0"/>
  </cellStyleXfs>
  <cellXfs count="403">
    <xf numFmtId="0" fontId="0" fillId="0" borderId="0" xfId="0"/>
    <xf numFmtId="0" fontId="36" fillId="0" borderId="28" xfId="0" applyFont="1" applyBorder="1" applyAlignment="1">
      <alignment horizontal="centerContinuous" vertical="center" wrapText="1"/>
    </xf>
    <xf numFmtId="0" fontId="37" fillId="0" borderId="28" xfId="0" applyFont="1" applyBorder="1" applyAlignment="1">
      <alignment horizontal="centerContinuous" vertical="center" wrapText="1"/>
    </xf>
    <xf numFmtId="0" fontId="1" fillId="0" borderId="65" xfId="0" applyFont="1" applyFill="1" applyBorder="1" applyAlignment="1">
      <alignment horizontal="center" vertical="center"/>
    </xf>
    <xf numFmtId="0" fontId="11" fillId="3" borderId="57" xfId="0" applyFont="1" applyFill="1" applyBorder="1" applyAlignment="1">
      <alignment horizontal="centerContinuous" vertical="center"/>
    </xf>
    <xf numFmtId="0" fontId="11" fillId="3" borderId="33" xfId="0" applyFont="1" applyFill="1" applyBorder="1" applyAlignment="1">
      <alignment horizontal="center" vertical="center"/>
    </xf>
    <xf numFmtId="0" fontId="11" fillId="3" borderId="33" xfId="0" applyFont="1" applyFill="1" applyBorder="1" applyAlignment="1">
      <alignment horizontal="center" vertical="center" wrapText="1"/>
    </xf>
    <xf numFmtId="0" fontId="11" fillId="3" borderId="33" xfId="0" applyNumberFormat="1" applyFont="1" applyFill="1" applyBorder="1" applyAlignment="1">
      <alignment horizontal="center" vertical="center" wrapText="1"/>
    </xf>
    <xf numFmtId="0" fontId="11" fillId="3" borderId="33" xfId="0" applyNumberFormat="1" applyFont="1" applyFill="1" applyBorder="1" applyAlignment="1">
      <alignment horizontal="center" vertical="center"/>
    </xf>
    <xf numFmtId="0" fontId="11" fillId="3" borderId="58" xfId="0" applyFont="1" applyFill="1" applyBorder="1" applyAlignment="1">
      <alignment horizontal="center" vertical="center"/>
    </xf>
    <xf numFmtId="0" fontId="3" fillId="0" borderId="0" xfId="0" applyFont="1" applyBorder="1" applyAlignment="1">
      <alignment vertical="center"/>
    </xf>
    <xf numFmtId="0" fontId="48" fillId="9" borderId="32" xfId="0" applyNumberFormat="1" applyFont="1" applyFill="1" applyBorder="1" applyAlignment="1">
      <alignment horizontal="center" vertical="center" wrapText="1"/>
    </xf>
    <xf numFmtId="0" fontId="52" fillId="0" borderId="28" xfId="0" applyFont="1" applyBorder="1" applyAlignment="1">
      <alignment horizontal="centerContinuous" vertical="center" wrapText="1"/>
    </xf>
    <xf numFmtId="0" fontId="53" fillId="0" borderId="28" xfId="0" applyFont="1" applyBorder="1" applyAlignment="1">
      <alignment horizontal="centerContinuous" vertical="center" wrapText="1"/>
    </xf>
    <xf numFmtId="0" fontId="1" fillId="0" borderId="66" xfId="0" applyFont="1" applyFill="1" applyBorder="1" applyAlignment="1">
      <alignment horizontal="center" vertical="center"/>
    </xf>
    <xf numFmtId="49" fontId="1" fillId="0" borderId="35" xfId="2" applyNumberFormat="1" applyFont="1" applyBorder="1" applyAlignment="1">
      <alignment horizontal="center" vertical="center"/>
    </xf>
    <xf numFmtId="0" fontId="1" fillId="0" borderId="35" xfId="0" applyFont="1" applyBorder="1" applyAlignment="1">
      <alignment horizontal="center" vertical="center" shrinkToFit="1"/>
    </xf>
    <xf numFmtId="164" fontId="1" fillId="0" borderId="35" xfId="0" applyNumberFormat="1" applyFont="1" applyBorder="1" applyAlignment="1">
      <alignment horizontal="center" vertical="center"/>
    </xf>
    <xf numFmtId="0" fontId="42" fillId="2" borderId="50" xfId="0" applyFont="1" applyFill="1" applyBorder="1" applyAlignment="1">
      <alignment horizontal="right" vertical="center"/>
    </xf>
    <xf numFmtId="0" fontId="42" fillId="2" borderId="51" xfId="0" applyFont="1" applyFill="1" applyBorder="1" applyAlignment="1">
      <alignment horizontal="left" vertical="center"/>
    </xf>
    <xf numFmtId="0" fontId="18" fillId="2" borderId="51" xfId="0" applyFont="1" applyFill="1" applyBorder="1" applyAlignment="1">
      <alignment horizontal="left" vertical="center"/>
    </xf>
    <xf numFmtId="0" fontId="3" fillId="2" borderId="51" xfId="0" applyFont="1" applyFill="1" applyBorder="1" applyAlignment="1">
      <alignment horizontal="centerContinuous" vertical="center"/>
    </xf>
    <xf numFmtId="0" fontId="4" fillId="2" borderId="51" xfId="0" applyFont="1" applyFill="1" applyBorder="1" applyAlignment="1">
      <alignment horizontal="centerContinuous" vertical="center"/>
    </xf>
    <xf numFmtId="0" fontId="33" fillId="2" borderId="52" xfId="1" applyFont="1" applyFill="1" applyBorder="1" applyAlignment="1" applyProtection="1">
      <alignment horizontal="right" vertical="center"/>
    </xf>
    <xf numFmtId="0" fontId="4" fillId="0" borderId="0" xfId="0" applyFont="1" applyBorder="1" applyAlignment="1">
      <alignment vertical="center"/>
    </xf>
    <xf numFmtId="0" fontId="5" fillId="0" borderId="1" xfId="0" applyFont="1" applyBorder="1" applyAlignment="1">
      <alignment horizontal="right" vertical="center"/>
    </xf>
    <xf numFmtId="0" fontId="6" fillId="0" borderId="0" xfId="0" applyFont="1" applyBorder="1" applyAlignment="1">
      <alignment horizontal="centerContinuous" vertical="center"/>
    </xf>
    <xf numFmtId="0" fontId="5" fillId="0" borderId="0" xfId="0" applyFont="1" applyBorder="1" applyAlignment="1">
      <alignment horizontal="right" vertical="center"/>
    </xf>
    <xf numFmtId="0" fontId="6" fillId="0" borderId="0" xfId="0" applyFont="1" applyBorder="1" applyAlignment="1">
      <alignment horizontal="center" vertical="center"/>
    </xf>
    <xf numFmtId="0" fontId="0" fillId="0" borderId="0" xfId="0" applyAlignment="1">
      <alignment vertical="center"/>
    </xf>
    <xf numFmtId="0" fontId="6" fillId="0" borderId="2" xfId="0" applyFont="1" applyBorder="1" applyAlignment="1">
      <alignment horizontal="left" vertical="center"/>
    </xf>
    <xf numFmtId="0" fontId="6" fillId="0" borderId="0" xfId="0" applyFont="1" applyFill="1" applyBorder="1" applyAlignment="1">
      <alignment horizontal="centerContinuous" vertical="center"/>
    </xf>
    <xf numFmtId="0" fontId="5" fillId="4" borderId="59" xfId="0" applyFont="1" applyFill="1" applyBorder="1" applyAlignment="1">
      <alignment horizontal="right" vertical="center"/>
    </xf>
    <xf numFmtId="0" fontId="1" fillId="0" borderId="61" xfId="0" applyFont="1" applyFill="1" applyBorder="1" applyAlignment="1">
      <alignment horizontal="centerContinuous" vertical="center"/>
    </xf>
    <xf numFmtId="0" fontId="5" fillId="4" borderId="81" xfId="0" applyFont="1" applyFill="1" applyBorder="1" applyAlignment="1">
      <alignment horizontal="right" vertical="center"/>
    </xf>
    <xf numFmtId="49" fontId="6" fillId="0" borderId="62" xfId="0" applyNumberFormat="1" applyFont="1" applyFill="1" applyBorder="1" applyAlignment="1">
      <alignment horizontal="center" vertical="center"/>
    </xf>
    <xf numFmtId="0" fontId="6" fillId="0" borderId="0" xfId="0" applyFont="1" applyBorder="1" applyAlignment="1">
      <alignment horizontal="left" vertical="center"/>
    </xf>
    <xf numFmtId="0" fontId="5" fillId="4" borderId="11" xfId="0" applyFont="1" applyFill="1" applyBorder="1" applyAlignment="1">
      <alignment horizontal="right" vertical="center"/>
    </xf>
    <xf numFmtId="49" fontId="6" fillId="0" borderId="3" xfId="0" applyNumberFormat="1" applyFont="1" applyBorder="1" applyAlignment="1">
      <alignment horizontal="centerContinuous" vertical="center"/>
    </xf>
    <xf numFmtId="0" fontId="1" fillId="0" borderId="83" xfId="0" applyFont="1" applyBorder="1" applyAlignment="1">
      <alignment horizontal="centerContinuous" vertical="center"/>
    </xf>
    <xf numFmtId="0" fontId="5" fillId="4" borderId="82" xfId="0" applyFont="1" applyFill="1" applyBorder="1" applyAlignment="1">
      <alignment horizontal="right" vertical="center"/>
    </xf>
    <xf numFmtId="49" fontId="6" fillId="0" borderId="29" xfId="0" applyNumberFormat="1" applyFont="1" applyFill="1" applyBorder="1" applyAlignment="1">
      <alignment horizontal="center" vertical="center"/>
    </xf>
    <xf numFmtId="0" fontId="3" fillId="4" borderId="8" xfId="0" applyFont="1" applyFill="1" applyBorder="1" applyAlignment="1">
      <alignment horizontal="right" vertical="center"/>
    </xf>
    <xf numFmtId="49" fontId="6" fillId="0" borderId="9" xfId="0" applyNumberFormat="1" applyFont="1" applyBorder="1" applyAlignment="1">
      <alignment horizontal="centerContinuous" vertical="center"/>
    </xf>
    <xf numFmtId="0" fontId="6" fillId="0" borderId="63" xfId="0" applyFont="1" applyBorder="1" applyAlignment="1">
      <alignment horizontal="centerContinuous" vertical="center"/>
    </xf>
    <xf numFmtId="0" fontId="51" fillId="4" borderId="27" xfId="0" applyFont="1" applyFill="1" applyBorder="1" applyAlignment="1">
      <alignment horizontal="right" vertical="center"/>
    </xf>
    <xf numFmtId="0" fontId="6" fillId="0" borderId="10" xfId="0" applyFont="1" applyFill="1" applyBorder="1" applyAlignment="1">
      <alignment horizontal="center" vertical="center"/>
    </xf>
    <xf numFmtId="0" fontId="7" fillId="2" borderId="11" xfId="0" applyFont="1" applyFill="1" applyBorder="1" applyAlignment="1">
      <alignment horizontal="right" vertical="center"/>
    </xf>
    <xf numFmtId="0" fontId="24" fillId="0" borderId="12" xfId="0" applyNumberFormat="1" applyFont="1" applyBorder="1" applyAlignment="1">
      <alignment horizontal="center" vertical="center"/>
    </xf>
    <xf numFmtId="0" fontId="7" fillId="4" borderId="46" xfId="0" applyFont="1" applyFill="1" applyBorder="1" applyAlignment="1">
      <alignment horizontal="right" vertical="center"/>
    </xf>
    <xf numFmtId="49" fontId="15" fillId="0" borderId="29" xfId="0" applyNumberFormat="1" applyFont="1" applyFill="1" applyBorder="1" applyAlignment="1">
      <alignment horizontal="center" vertical="center" shrinkToFit="1"/>
    </xf>
    <xf numFmtId="0" fontId="12" fillId="2" borderId="4" xfId="0" applyFont="1" applyFill="1" applyBorder="1" applyAlignment="1">
      <alignment horizontal="right" vertical="center"/>
    </xf>
    <xf numFmtId="0" fontId="6" fillId="0" borderId="3" xfId="0" quotePrefix="1" applyFont="1" applyFill="1" applyBorder="1" applyAlignment="1">
      <alignment horizontal="center" vertical="center"/>
    </xf>
    <xf numFmtId="49" fontId="24" fillId="0" borderId="12" xfId="0" applyNumberFormat="1" applyFont="1" applyBorder="1" applyAlignment="1">
      <alignment horizontal="center" vertical="center"/>
    </xf>
    <xf numFmtId="0" fontId="7" fillId="4" borderId="45" xfId="0" applyFont="1" applyFill="1" applyBorder="1" applyAlignment="1">
      <alignment horizontal="right" vertical="center"/>
    </xf>
    <xf numFmtId="164" fontId="5" fillId="5" borderId="26" xfId="0" applyNumberFormat="1" applyFont="1" applyFill="1" applyBorder="1" applyAlignment="1">
      <alignment horizontal="center" vertical="center"/>
    </xf>
    <xf numFmtId="0" fontId="9" fillId="2" borderId="4" xfId="0" applyFont="1" applyFill="1" applyBorder="1" applyAlignment="1">
      <alignment horizontal="right" vertical="center"/>
    </xf>
    <xf numFmtId="49" fontId="24" fillId="0" borderId="3" xfId="0" applyNumberFormat="1" applyFont="1" applyBorder="1" applyAlignment="1">
      <alignment horizontal="center" vertical="center"/>
    </xf>
    <xf numFmtId="0" fontId="5" fillId="0" borderId="25" xfId="0" applyFont="1" applyBorder="1" applyAlignment="1">
      <alignment horizontal="center" vertical="center"/>
    </xf>
    <xf numFmtId="0" fontId="39" fillId="2" borderId="4" xfId="0" applyFont="1" applyFill="1" applyBorder="1" applyAlignment="1">
      <alignment horizontal="right" vertical="center"/>
    </xf>
    <xf numFmtId="0" fontId="10" fillId="4" borderId="72" xfId="0" applyFont="1" applyFill="1" applyBorder="1" applyAlignment="1">
      <alignment horizontal="right" vertical="center"/>
    </xf>
    <xf numFmtId="49" fontId="6" fillId="0" borderId="25" xfId="0" applyNumberFormat="1" applyFont="1" applyBorder="1" applyAlignment="1">
      <alignment horizontal="center" vertical="center"/>
    </xf>
    <xf numFmtId="0" fontId="20" fillId="2" borderId="4" xfId="0" applyFont="1" applyFill="1" applyBorder="1" applyAlignment="1">
      <alignment horizontal="right" vertical="center"/>
    </xf>
    <xf numFmtId="0" fontId="13" fillId="2" borderId="13" xfId="0" applyFont="1" applyFill="1" applyBorder="1" applyAlignment="1">
      <alignment horizontal="right" vertical="center"/>
    </xf>
    <xf numFmtId="0" fontId="6" fillId="0" borderId="21" xfId="0" quotePrefix="1" applyFont="1" applyFill="1" applyBorder="1" applyAlignment="1">
      <alignment horizontal="center" vertical="center"/>
    </xf>
    <xf numFmtId="49" fontId="24" fillId="0" borderId="21" xfId="0" applyNumberFormat="1" applyFont="1" applyBorder="1" applyAlignment="1">
      <alignment horizontal="center" vertical="center"/>
    </xf>
    <xf numFmtId="0" fontId="10" fillId="4" borderId="73" xfId="0" applyFont="1" applyFill="1" applyBorder="1" applyAlignment="1">
      <alignment horizontal="right" vertical="center"/>
    </xf>
    <xf numFmtId="49" fontId="6" fillId="0" borderId="10" xfId="0" applyNumberFormat="1" applyFont="1" applyBorder="1" applyAlignment="1">
      <alignment horizontal="center" vertical="center"/>
    </xf>
    <xf numFmtId="0" fontId="3" fillId="0" borderId="0" xfId="0" applyFont="1" applyBorder="1" applyAlignment="1">
      <alignment horizontal="right" vertical="center"/>
    </xf>
    <xf numFmtId="0" fontId="4" fillId="0" borderId="0" xfId="0" applyFont="1" applyBorder="1" applyAlignment="1">
      <alignment horizontal="left" vertical="center"/>
    </xf>
    <xf numFmtId="0" fontId="23" fillId="0" borderId="20" xfId="0" applyFont="1" applyBorder="1" applyAlignment="1">
      <alignment horizontal="centerContinuous" vertical="center"/>
    </xf>
    <xf numFmtId="0" fontId="14" fillId="0" borderId="0" xfId="0" applyFont="1" applyBorder="1" applyAlignment="1">
      <alignment horizontal="centerContinuous" vertical="center"/>
    </xf>
    <xf numFmtId="0" fontId="14" fillId="0" borderId="0" xfId="0" applyNumberFormat="1" applyFont="1" applyBorder="1" applyAlignment="1">
      <alignment horizontal="centerContinuous" vertical="center"/>
    </xf>
    <xf numFmtId="0" fontId="44" fillId="0" borderId="1" xfId="0" applyFont="1" applyFill="1" applyBorder="1" applyAlignment="1">
      <alignment vertical="center"/>
    </xf>
    <xf numFmtId="0" fontId="5" fillId="0" borderId="22" xfId="0" applyFont="1" applyFill="1" applyBorder="1" applyAlignment="1">
      <alignment horizontal="center" vertical="center"/>
    </xf>
    <xf numFmtId="0" fontId="6" fillId="0" borderId="22" xfId="0" applyFont="1" applyFill="1" applyBorder="1" applyAlignment="1">
      <alignment horizontal="center" vertical="center"/>
    </xf>
    <xf numFmtId="0" fontId="45" fillId="0" borderId="22" xfId="0" applyFont="1" applyFill="1" applyBorder="1" applyAlignment="1">
      <alignment horizontal="center" vertical="center" wrapText="1"/>
    </xf>
    <xf numFmtId="0" fontId="6" fillId="0" borderId="22" xfId="0" applyFont="1" applyFill="1" applyBorder="1" applyAlignment="1">
      <alignment horizontal="center" vertical="center" wrapText="1"/>
    </xf>
    <xf numFmtId="1" fontId="6" fillId="0" borderId="22" xfId="0" applyNumberFormat="1" applyFont="1" applyFill="1" applyBorder="1" applyAlignment="1">
      <alignment horizontal="center" vertical="center" wrapText="1"/>
    </xf>
    <xf numFmtId="0" fontId="46" fillId="9" borderId="23" xfId="0" applyNumberFormat="1" applyFont="1" applyFill="1" applyBorder="1" applyAlignment="1">
      <alignment horizontal="center" vertical="center"/>
    </xf>
    <xf numFmtId="49" fontId="6" fillId="0" borderId="22" xfId="0" applyNumberFormat="1" applyFont="1" applyFill="1" applyBorder="1" applyAlignment="1">
      <alignment horizontal="center" vertical="center" wrapText="1"/>
    </xf>
    <xf numFmtId="0" fontId="1" fillId="0" borderId="2" xfId="0" quotePrefix="1" applyFont="1" applyFill="1" applyBorder="1" applyAlignment="1">
      <alignment horizontal="center" vertical="center"/>
    </xf>
    <xf numFmtId="0" fontId="47" fillId="0" borderId="1" xfId="0" applyFont="1" applyFill="1" applyBorder="1" applyAlignment="1">
      <alignment vertical="center"/>
    </xf>
    <xf numFmtId="0" fontId="12" fillId="0" borderId="23" xfId="0" applyNumberFormat="1" applyFont="1" applyFill="1" applyBorder="1" applyAlignment="1">
      <alignment horizontal="center" vertical="center"/>
    </xf>
    <xf numFmtId="0" fontId="45" fillId="0" borderId="54" xfId="0" applyFont="1" applyFill="1" applyBorder="1" applyAlignment="1">
      <alignment vertical="center"/>
    </xf>
    <xf numFmtId="0" fontId="5" fillId="0" borderId="55" xfId="0" applyFont="1" applyFill="1" applyBorder="1" applyAlignment="1">
      <alignment horizontal="center" vertical="center"/>
    </xf>
    <xf numFmtId="0" fontId="6" fillId="0" borderId="55" xfId="0" applyFont="1" applyFill="1" applyBorder="1" applyAlignment="1">
      <alignment horizontal="center" vertical="center"/>
    </xf>
    <xf numFmtId="0" fontId="48" fillId="0" borderId="55" xfId="0" applyFont="1" applyFill="1" applyBorder="1" applyAlignment="1">
      <alignment horizontal="center" vertical="center" wrapText="1"/>
    </xf>
    <xf numFmtId="0" fontId="6" fillId="0" borderId="55" xfId="0" applyFont="1" applyFill="1" applyBorder="1" applyAlignment="1">
      <alignment horizontal="center" vertical="center" wrapText="1"/>
    </xf>
    <xf numFmtId="1" fontId="6" fillId="0" borderId="55" xfId="0" applyNumberFormat="1" applyFont="1" applyFill="1" applyBorder="1" applyAlignment="1">
      <alignment horizontal="center" vertical="center" wrapText="1"/>
    </xf>
    <xf numFmtId="0" fontId="46" fillId="9" borderId="55" xfId="0" applyNumberFormat="1" applyFont="1" applyFill="1" applyBorder="1" applyAlignment="1">
      <alignment horizontal="center" vertical="center"/>
    </xf>
    <xf numFmtId="49" fontId="6" fillId="0" borderId="55" xfId="0" applyNumberFormat="1" applyFont="1" applyFill="1" applyBorder="1" applyAlignment="1">
      <alignment horizontal="center" vertical="center" wrapText="1"/>
    </xf>
    <xf numFmtId="0" fontId="1" fillId="0" borderId="56" xfId="0" quotePrefix="1" applyFont="1" applyFill="1" applyBorder="1" applyAlignment="1">
      <alignment horizontal="center" vertical="center"/>
    </xf>
    <xf numFmtId="0" fontId="10" fillId="0" borderId="1" xfId="0" applyFont="1" applyFill="1" applyBorder="1" applyAlignment="1">
      <alignment vertical="center"/>
    </xf>
    <xf numFmtId="0" fontId="6" fillId="0" borderId="22" xfId="0" applyNumberFormat="1" applyFont="1" applyFill="1" applyBorder="1" applyAlignment="1">
      <alignment horizontal="center" vertical="center"/>
    </xf>
    <xf numFmtId="49" fontId="15" fillId="0" borderId="22" xfId="0" applyNumberFormat="1" applyFont="1" applyFill="1" applyBorder="1" applyAlignment="1">
      <alignment horizontal="center" vertical="center"/>
    </xf>
    <xf numFmtId="0" fontId="15" fillId="0" borderId="23" xfId="0" applyNumberFormat="1" applyFont="1" applyFill="1" applyBorder="1" applyAlignment="1">
      <alignment horizontal="center" vertical="center"/>
    </xf>
    <xf numFmtId="0" fontId="10" fillId="0" borderId="23" xfId="0" applyNumberFormat="1" applyFont="1" applyFill="1" applyBorder="1" applyAlignment="1">
      <alignment horizontal="center" vertical="center"/>
    </xf>
    <xf numFmtId="49" fontId="6" fillId="0" borderId="23" xfId="0" applyNumberFormat="1" applyFont="1" applyFill="1" applyBorder="1" applyAlignment="1">
      <alignment horizontal="center" vertical="center"/>
    </xf>
    <xf numFmtId="0" fontId="6" fillId="0" borderId="24" xfId="0" applyNumberFormat="1" applyFont="1" applyFill="1" applyBorder="1" applyAlignment="1">
      <alignment horizontal="center" vertical="center"/>
    </xf>
    <xf numFmtId="0" fontId="17" fillId="0" borderId="0" xfId="0" applyFont="1" applyBorder="1" applyAlignment="1">
      <alignment vertical="center"/>
    </xf>
    <xf numFmtId="0" fontId="12" fillId="6" borderId="1" xfId="0" applyFont="1" applyFill="1" applyBorder="1" applyAlignment="1">
      <alignment vertical="center"/>
    </xf>
    <xf numFmtId="0" fontId="6" fillId="6" borderId="22" xfId="0" applyNumberFormat="1" applyFont="1" applyFill="1" applyBorder="1" applyAlignment="1">
      <alignment horizontal="center" vertical="center"/>
    </xf>
    <xf numFmtId="49" fontId="22" fillId="6" borderId="22" xfId="0" applyNumberFormat="1" applyFont="1" applyFill="1" applyBorder="1" applyAlignment="1">
      <alignment horizontal="center" vertical="center"/>
    </xf>
    <xf numFmtId="0" fontId="22" fillId="6" borderId="23" xfId="0" applyNumberFormat="1" applyFont="1" applyFill="1" applyBorder="1" applyAlignment="1">
      <alignment horizontal="center" vertical="center"/>
    </xf>
    <xf numFmtId="0" fontId="12" fillId="6" borderId="23" xfId="0" applyNumberFormat="1" applyFont="1" applyFill="1" applyBorder="1" applyAlignment="1">
      <alignment horizontal="center" vertical="center"/>
    </xf>
    <xf numFmtId="49" fontId="6" fillId="6" borderId="23" xfId="0" applyNumberFormat="1" applyFont="1" applyFill="1" applyBorder="1" applyAlignment="1">
      <alignment horizontal="center" vertical="center"/>
    </xf>
    <xf numFmtId="0" fontId="6" fillId="6" borderId="24" xfId="0" applyNumberFormat="1" applyFont="1" applyFill="1" applyBorder="1" applyAlignment="1">
      <alignment horizontal="center" vertical="center"/>
    </xf>
    <xf numFmtId="0" fontId="30" fillId="0" borderId="0" xfId="0" applyFont="1" applyBorder="1" applyAlignment="1">
      <alignment vertical="center"/>
    </xf>
    <xf numFmtId="0" fontId="13" fillId="0" borderId="1" xfId="0" applyFont="1" applyFill="1" applyBorder="1" applyAlignment="1">
      <alignment vertical="center"/>
    </xf>
    <xf numFmtId="49" fontId="21" fillId="0" borderId="22" xfId="0" applyNumberFormat="1" applyFont="1" applyFill="1" applyBorder="1" applyAlignment="1">
      <alignment horizontal="center" vertical="center"/>
    </xf>
    <xf numFmtId="0" fontId="21" fillId="0" borderId="23" xfId="0" applyNumberFormat="1" applyFont="1" applyFill="1" applyBorder="1" applyAlignment="1">
      <alignment horizontal="center" vertical="center"/>
    </xf>
    <xf numFmtId="0" fontId="13" fillId="0" borderId="23" xfId="0" applyNumberFormat="1" applyFont="1" applyFill="1" applyBorder="1" applyAlignment="1">
      <alignment horizontal="center" vertical="center"/>
    </xf>
    <xf numFmtId="0" fontId="28" fillId="0" borderId="0" xfId="0" applyFont="1" applyBorder="1" applyAlignment="1">
      <alignment vertical="center"/>
    </xf>
    <xf numFmtId="0" fontId="7" fillId="0" borderId="1" xfId="0" applyFont="1" applyFill="1" applyBorder="1" applyAlignment="1">
      <alignment vertical="center"/>
    </xf>
    <xf numFmtId="49" fontId="16" fillId="0" borderId="22" xfId="0" applyNumberFormat="1" applyFont="1" applyFill="1" applyBorder="1" applyAlignment="1">
      <alignment horizontal="center" vertical="center"/>
    </xf>
    <xf numFmtId="0" fontId="16" fillId="0" borderId="23" xfId="0" applyNumberFormat="1" applyFont="1" applyFill="1" applyBorder="1" applyAlignment="1">
      <alignment horizontal="center" vertical="center"/>
    </xf>
    <xf numFmtId="0" fontId="7" fillId="0" borderId="23" xfId="0" applyNumberFormat="1" applyFont="1" applyFill="1" applyBorder="1" applyAlignment="1">
      <alignment horizontal="center" vertical="center"/>
    </xf>
    <xf numFmtId="0" fontId="27" fillId="0" borderId="0" xfId="0" applyFont="1" applyBorder="1" applyAlignment="1">
      <alignment vertical="center"/>
    </xf>
    <xf numFmtId="0" fontId="9" fillId="0" borderId="1" xfId="0" applyFont="1" applyFill="1" applyBorder="1" applyAlignment="1">
      <alignment vertical="center"/>
    </xf>
    <xf numFmtId="49" fontId="25" fillId="0" borderId="22" xfId="0" applyNumberFormat="1" applyFont="1" applyFill="1" applyBorder="1" applyAlignment="1">
      <alignment horizontal="center" vertical="center"/>
    </xf>
    <xf numFmtId="0" fontId="25" fillId="0" borderId="23" xfId="0" applyNumberFormat="1" applyFont="1" applyFill="1" applyBorder="1" applyAlignment="1">
      <alignment horizontal="center" vertical="center"/>
    </xf>
    <xf numFmtId="0" fontId="9" fillId="0" borderId="23" xfId="0" applyNumberFormat="1" applyFont="1" applyFill="1" applyBorder="1" applyAlignment="1">
      <alignment horizontal="center" vertical="center"/>
    </xf>
    <xf numFmtId="0" fontId="10" fillId="8" borderId="1" xfId="0" applyFont="1" applyFill="1" applyBorder="1" applyAlignment="1">
      <alignment vertical="center"/>
    </xf>
    <xf numFmtId="0" fontId="6" fillId="8" borderId="22" xfId="0" applyNumberFormat="1" applyFont="1" applyFill="1" applyBorder="1" applyAlignment="1">
      <alignment horizontal="center" vertical="center"/>
    </xf>
    <xf numFmtId="49" fontId="15" fillId="8" borderId="22" xfId="0" applyNumberFormat="1" applyFont="1" applyFill="1" applyBorder="1" applyAlignment="1">
      <alignment horizontal="center" vertical="center"/>
    </xf>
    <xf numFmtId="0" fontId="15" fillId="8" borderId="23" xfId="0" applyNumberFormat="1" applyFont="1" applyFill="1" applyBorder="1" applyAlignment="1">
      <alignment horizontal="center" vertical="center"/>
    </xf>
    <xf numFmtId="0" fontId="10" fillId="8" borderId="23" xfId="0" applyNumberFormat="1" applyFont="1" applyFill="1" applyBorder="1" applyAlignment="1">
      <alignment horizontal="center" vertical="center"/>
    </xf>
    <xf numFmtId="49" fontId="6" fillId="8" borderId="23" xfId="0" applyNumberFormat="1" applyFont="1" applyFill="1" applyBorder="1" applyAlignment="1">
      <alignment horizontal="center" vertical="center"/>
    </xf>
    <xf numFmtId="0" fontId="6" fillId="8" borderId="24" xfId="0" applyNumberFormat="1" applyFont="1" applyFill="1" applyBorder="1" applyAlignment="1">
      <alignment horizontal="center" vertical="center"/>
    </xf>
    <xf numFmtId="0" fontId="29" fillId="0" borderId="0" xfId="0" applyFont="1" applyBorder="1" applyAlignment="1">
      <alignment vertical="center"/>
    </xf>
    <xf numFmtId="0" fontId="20" fillId="0" borderId="1" xfId="0" applyFont="1" applyFill="1" applyBorder="1" applyAlignment="1">
      <alignment vertical="center"/>
    </xf>
    <xf numFmtId="49" fontId="26" fillId="0" borderId="22" xfId="0" applyNumberFormat="1" applyFont="1" applyFill="1" applyBorder="1" applyAlignment="1">
      <alignment horizontal="center" vertical="center"/>
    </xf>
    <xf numFmtId="0" fontId="26" fillId="0" borderId="23" xfId="0" applyNumberFormat="1" applyFont="1" applyFill="1" applyBorder="1" applyAlignment="1">
      <alignment horizontal="center" vertical="center"/>
    </xf>
    <xf numFmtId="0" fontId="20" fillId="0" borderId="23" xfId="0" applyNumberFormat="1" applyFont="1" applyFill="1" applyBorder="1" applyAlignment="1">
      <alignment horizontal="center" vertical="center"/>
    </xf>
    <xf numFmtId="0" fontId="7" fillId="6" borderId="1" xfId="0" applyFont="1" applyFill="1" applyBorder="1" applyAlignment="1">
      <alignment vertical="center"/>
    </xf>
    <xf numFmtId="49" fontId="16" fillId="6" borderId="22" xfId="0" applyNumberFormat="1" applyFont="1" applyFill="1" applyBorder="1" applyAlignment="1">
      <alignment horizontal="center" vertical="center"/>
    </xf>
    <xf numFmtId="0" fontId="16" fillId="6" borderId="23" xfId="0" applyNumberFormat="1" applyFont="1" applyFill="1" applyBorder="1" applyAlignment="1">
      <alignment horizontal="center" vertical="center"/>
    </xf>
    <xf numFmtId="0" fontId="7" fillId="6" borderId="23" xfId="0" applyNumberFormat="1" applyFont="1" applyFill="1" applyBorder="1" applyAlignment="1">
      <alignment horizontal="center" vertical="center"/>
    </xf>
    <xf numFmtId="0" fontId="20" fillId="6" borderId="1" xfId="0" applyFont="1" applyFill="1" applyBorder="1" applyAlignment="1">
      <alignment vertical="center"/>
    </xf>
    <xf numFmtId="49" fontId="26" fillId="6" borderId="22" xfId="0" applyNumberFormat="1" applyFont="1" applyFill="1" applyBorder="1" applyAlignment="1">
      <alignment horizontal="center" vertical="center"/>
    </xf>
    <xf numFmtId="0" fontId="26" fillId="6" borderId="23" xfId="0" applyNumberFormat="1" applyFont="1" applyFill="1" applyBorder="1" applyAlignment="1">
      <alignment horizontal="center" vertical="center"/>
    </xf>
    <xf numFmtId="0" fontId="20" fillId="6" borderId="23" xfId="0" applyNumberFormat="1" applyFont="1" applyFill="1" applyBorder="1" applyAlignment="1">
      <alignment horizontal="center" vertical="center"/>
    </xf>
    <xf numFmtId="0" fontId="12" fillId="8" borderId="1" xfId="0" applyFont="1" applyFill="1" applyBorder="1" applyAlignment="1">
      <alignment vertical="center"/>
    </xf>
    <xf numFmtId="49" fontId="22" fillId="8" borderId="22" xfId="0" applyNumberFormat="1" applyFont="1" applyFill="1" applyBorder="1" applyAlignment="1">
      <alignment horizontal="center" vertical="center"/>
    </xf>
    <xf numFmtId="0" fontId="22" fillId="8" borderId="23" xfId="0" applyNumberFormat="1" applyFont="1" applyFill="1" applyBorder="1" applyAlignment="1">
      <alignment horizontal="center" vertical="center"/>
    </xf>
    <xf numFmtId="0" fontId="12" fillId="8" borderId="23" xfId="0" applyNumberFormat="1" applyFont="1" applyFill="1" applyBorder="1" applyAlignment="1">
      <alignment horizontal="center" vertical="center"/>
    </xf>
    <xf numFmtId="0" fontId="13" fillId="6" borderId="1" xfId="0" applyFont="1" applyFill="1" applyBorder="1" applyAlignment="1">
      <alignment vertical="center"/>
    </xf>
    <xf numFmtId="0" fontId="12" fillId="0" borderId="1" xfId="0" applyFont="1" applyFill="1" applyBorder="1" applyAlignment="1">
      <alignment vertical="center"/>
    </xf>
    <xf numFmtId="49" fontId="22" fillId="0" borderId="22" xfId="0" applyNumberFormat="1" applyFont="1" applyFill="1" applyBorder="1" applyAlignment="1">
      <alignment horizontal="center" vertical="center"/>
    </xf>
    <xf numFmtId="0" fontId="22" fillId="0" borderId="23" xfId="0" applyNumberFormat="1" applyFont="1" applyFill="1" applyBorder="1" applyAlignment="1">
      <alignment horizontal="center" vertical="center"/>
    </xf>
    <xf numFmtId="0" fontId="6" fillId="8" borderId="24" xfId="0" quotePrefix="1" applyNumberFormat="1" applyFont="1" applyFill="1" applyBorder="1" applyAlignment="1">
      <alignment horizontal="center" vertical="center"/>
    </xf>
    <xf numFmtId="0" fontId="13" fillId="8" borderId="1" xfId="0" applyFont="1" applyFill="1" applyBorder="1" applyAlignment="1">
      <alignment vertical="center"/>
    </xf>
    <xf numFmtId="49" fontId="21" fillId="8" borderId="22" xfId="0" applyNumberFormat="1" applyFont="1" applyFill="1" applyBorder="1" applyAlignment="1">
      <alignment horizontal="center" vertical="center"/>
    </xf>
    <xf numFmtId="0" fontId="21" fillId="8" borderId="23" xfId="0" applyNumberFormat="1" applyFont="1" applyFill="1" applyBorder="1" applyAlignment="1">
      <alignment horizontal="center" vertical="center"/>
    </xf>
    <xf numFmtId="0" fontId="13" fillId="8" borderId="23" xfId="0" applyNumberFormat="1" applyFont="1" applyFill="1" applyBorder="1" applyAlignment="1">
      <alignment horizontal="center" vertical="center"/>
    </xf>
    <xf numFmtId="0" fontId="12" fillId="0" borderId="5" xfId="0" applyFont="1" applyFill="1" applyBorder="1" applyAlignment="1">
      <alignment vertical="center"/>
    </xf>
    <xf numFmtId="0" fontId="6" fillId="0" borderId="41" xfId="0" applyNumberFormat="1" applyFont="1" applyFill="1" applyBorder="1" applyAlignment="1">
      <alignment horizontal="center" vertical="center"/>
    </xf>
    <xf numFmtId="49" fontId="22" fillId="0" borderId="41" xfId="0" applyNumberFormat="1" applyFont="1" applyFill="1" applyBorder="1" applyAlignment="1">
      <alignment horizontal="center" vertical="center"/>
    </xf>
    <xf numFmtId="0" fontId="22" fillId="0" borderId="42" xfId="0" applyNumberFormat="1" applyFont="1" applyFill="1" applyBorder="1" applyAlignment="1">
      <alignment horizontal="center" vertical="center"/>
    </xf>
    <xf numFmtId="0" fontId="12" fillId="0" borderId="42" xfId="0" applyNumberFormat="1" applyFont="1" applyFill="1" applyBorder="1" applyAlignment="1">
      <alignment horizontal="center" vertical="center"/>
    </xf>
    <xf numFmtId="49" fontId="6" fillId="0" borderId="42" xfId="0" applyNumberFormat="1" applyFont="1" applyFill="1" applyBorder="1" applyAlignment="1">
      <alignment horizontal="center" vertical="center"/>
    </xf>
    <xf numFmtId="0" fontId="46" fillId="9" borderId="41" xfId="0" applyNumberFormat="1" applyFont="1" applyFill="1" applyBorder="1" applyAlignment="1">
      <alignment horizontal="center" vertical="center"/>
    </xf>
    <xf numFmtId="0" fontId="6" fillId="0" borderId="30" xfId="0" applyNumberFormat="1"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4" fillId="0" borderId="0" xfId="0" applyNumberFormat="1" applyFont="1" applyBorder="1" applyAlignment="1">
      <alignment horizontal="left" vertical="center"/>
    </xf>
    <xf numFmtId="0" fontId="1" fillId="0" borderId="0" xfId="0" applyFont="1" applyBorder="1" applyAlignment="1">
      <alignment horizontal="center" vertical="center"/>
    </xf>
    <xf numFmtId="0" fontId="1" fillId="0" borderId="0" xfId="0" applyFont="1" applyBorder="1" applyAlignment="1">
      <alignment horizontal="left" vertical="center"/>
    </xf>
    <xf numFmtId="0" fontId="4" fillId="0" borderId="0" xfId="0" applyFont="1" applyBorder="1" applyAlignment="1">
      <alignment horizontal="center" vertical="center"/>
    </xf>
    <xf numFmtId="0" fontId="35" fillId="0" borderId="28" xfId="0" applyFont="1" applyBorder="1" applyAlignment="1">
      <alignment horizontal="centerContinuous" vertical="center"/>
    </xf>
    <xf numFmtId="0" fontId="6" fillId="0" borderId="0" xfId="0" applyFont="1" applyBorder="1" applyAlignment="1">
      <alignment vertical="center" wrapText="1"/>
    </xf>
    <xf numFmtId="0" fontId="40" fillId="0" borderId="31" xfId="0" applyFont="1" applyFill="1" applyBorder="1" applyAlignment="1">
      <alignment horizontal="centerContinuous" vertical="center"/>
    </xf>
    <xf numFmtId="0" fontId="40" fillId="0" borderId="31" xfId="0" applyFont="1" applyFill="1" applyBorder="1" applyAlignment="1">
      <alignment horizontal="center" vertical="center" shrinkToFit="1"/>
    </xf>
    <xf numFmtId="0" fontId="43" fillId="0" borderId="31" xfId="0" applyFont="1" applyFill="1" applyBorder="1" applyAlignment="1">
      <alignment horizontal="center" vertical="center" shrinkToFit="1"/>
    </xf>
    <xf numFmtId="0" fontId="6" fillId="0" borderId="0" xfId="0" applyFont="1" applyBorder="1" applyAlignment="1">
      <alignment horizontal="left" vertical="center" wrapText="1"/>
    </xf>
    <xf numFmtId="0" fontId="6" fillId="0" borderId="47" xfId="0" applyFont="1" applyFill="1" applyBorder="1" applyAlignment="1">
      <alignment horizontal="centerContinuous" vertical="center"/>
    </xf>
    <xf numFmtId="0" fontId="6" fillId="0" borderId="43" xfId="0" applyFont="1" applyFill="1" applyBorder="1" applyAlignment="1">
      <alignment horizontal="centerContinuous" vertical="center"/>
    </xf>
    <xf numFmtId="0" fontId="40" fillId="0" borderId="48" xfId="0" applyFont="1" applyFill="1" applyBorder="1" applyAlignment="1">
      <alignment horizontal="center" vertical="center" shrinkToFit="1"/>
    </xf>
    <xf numFmtId="0" fontId="6" fillId="0" borderId="49" xfId="0" quotePrefix="1" applyFont="1" applyFill="1" applyBorder="1" applyAlignment="1">
      <alignment horizontal="centerContinuous" vertical="center"/>
    </xf>
    <xf numFmtId="0" fontId="6" fillId="0" borderId="49" xfId="0" applyFont="1" applyFill="1" applyBorder="1" applyAlignment="1">
      <alignment horizontal="centerContinuous" vertical="center"/>
    </xf>
    <xf numFmtId="0" fontId="5" fillId="0" borderId="0" xfId="0" applyFont="1" applyBorder="1" applyAlignment="1">
      <alignment horizontal="right" vertical="center" wrapText="1"/>
    </xf>
    <xf numFmtId="0" fontId="6" fillId="0" borderId="43" xfId="0" quotePrefix="1" applyFont="1" applyFill="1" applyBorder="1" applyAlignment="1">
      <alignment horizontal="centerContinuous" vertical="center"/>
    </xf>
    <xf numFmtId="0" fontId="6" fillId="0" borderId="48" xfId="0" applyFont="1" applyFill="1" applyBorder="1" applyAlignment="1">
      <alignment horizontal="centerContinuous" vertical="center"/>
    </xf>
    <xf numFmtId="0" fontId="2" fillId="0" borderId="0" xfId="0" applyFont="1" applyBorder="1" applyAlignment="1">
      <alignment horizontal="centerContinuous" vertical="center"/>
    </xf>
    <xf numFmtId="0" fontId="19" fillId="7" borderId="14" xfId="0" applyFont="1" applyFill="1" applyBorder="1" applyAlignment="1">
      <alignment horizontal="center" vertical="center"/>
    </xf>
    <xf numFmtId="0" fontId="19" fillId="7" borderId="15" xfId="0" applyFont="1" applyFill="1" applyBorder="1" applyAlignment="1">
      <alignment horizontal="center" vertical="center"/>
    </xf>
    <xf numFmtId="49" fontId="19" fillId="7" borderId="15" xfId="0" applyNumberFormat="1" applyFont="1" applyFill="1" applyBorder="1" applyAlignment="1">
      <alignment horizontal="center" vertical="center"/>
    </xf>
    <xf numFmtId="0" fontId="19" fillId="7" borderId="19" xfId="0" applyFont="1" applyFill="1" applyBorder="1" applyAlignment="1">
      <alignment horizontal="center" vertical="center"/>
    </xf>
    <xf numFmtId="0" fontId="49" fillId="9" borderId="19" xfId="0" applyFont="1" applyFill="1" applyBorder="1" applyAlignment="1">
      <alignment horizontal="center" vertical="center"/>
    </xf>
    <xf numFmtId="0" fontId="19" fillId="7" borderId="16" xfId="0" applyFont="1" applyFill="1" applyBorder="1" applyAlignment="1">
      <alignment horizontal="center" vertical="center"/>
    </xf>
    <xf numFmtId="0" fontId="19" fillId="7" borderId="28" xfId="0" applyFont="1" applyFill="1" applyBorder="1" applyAlignment="1">
      <alignment horizontal="center" vertical="center"/>
    </xf>
    <xf numFmtId="0" fontId="4" fillId="0" borderId="0" xfId="0" applyFont="1" applyBorder="1" applyAlignment="1">
      <alignment horizontal="centerContinuous" vertical="center"/>
    </xf>
    <xf numFmtId="164" fontId="4" fillId="0" borderId="0" xfId="0" applyNumberFormat="1" applyFont="1" applyBorder="1" applyAlignment="1">
      <alignment horizontal="center" vertical="center"/>
    </xf>
    <xf numFmtId="0" fontId="19" fillId="7" borderId="19" xfId="0" applyFont="1" applyFill="1" applyBorder="1" applyAlignment="1">
      <alignment horizontal="centerContinuous" vertical="center"/>
    </xf>
    <xf numFmtId="0" fontId="19" fillId="7" borderId="64" xfId="0" applyFont="1" applyFill="1" applyBorder="1" applyAlignment="1">
      <alignment horizontal="centerContinuous" vertical="center"/>
    </xf>
    <xf numFmtId="0" fontId="19" fillId="7" borderId="44" xfId="0" applyFont="1" applyFill="1" applyBorder="1" applyAlignment="1">
      <alignment horizontal="centerContinuous" vertical="center"/>
    </xf>
    <xf numFmtId="164" fontId="1" fillId="0" borderId="67" xfId="0" applyNumberFormat="1" applyFont="1" applyFill="1" applyBorder="1" applyAlignment="1">
      <alignment horizontal="centerContinuous" vertical="center"/>
    </xf>
    <xf numFmtId="0" fontId="1" fillId="0" borderId="68" xfId="0" quotePrefix="1" applyFont="1" applyBorder="1" applyAlignment="1">
      <alignment horizontal="centerContinuous" vertical="center"/>
    </xf>
    <xf numFmtId="164" fontId="1" fillId="0" borderId="6" xfId="0" applyNumberFormat="1" applyFont="1" applyBorder="1" applyAlignment="1">
      <alignment horizontal="centerContinuous" vertical="center"/>
    </xf>
    <xf numFmtId="0" fontId="1" fillId="0" borderId="7" xfId="0" applyFont="1" applyBorder="1" applyAlignment="1">
      <alignment horizontal="centerContinuous" vertical="center"/>
    </xf>
    <xf numFmtId="0" fontId="58" fillId="0" borderId="0" xfId="0" applyFont="1" applyBorder="1" applyAlignment="1">
      <alignment horizontal="right" vertical="center"/>
    </xf>
    <xf numFmtId="0" fontId="19" fillId="7" borderId="17" xfId="0" applyFont="1" applyFill="1" applyBorder="1" applyAlignment="1">
      <alignment horizontal="centerContinuous" vertical="center"/>
    </xf>
    <xf numFmtId="0" fontId="19" fillId="7" borderId="18" xfId="0" applyFont="1" applyFill="1" applyBorder="1" applyAlignment="1">
      <alignment horizontal="centerContinuous" vertical="center"/>
    </xf>
    <xf numFmtId="0" fontId="58" fillId="13" borderId="89" xfId="0" applyFont="1" applyFill="1" applyBorder="1" applyAlignment="1">
      <alignment horizontal="center" vertical="center"/>
    </xf>
    <xf numFmtId="0" fontId="54" fillId="12" borderId="74" xfId="0" applyFont="1" applyFill="1" applyBorder="1" applyAlignment="1">
      <alignment horizontal="centerContinuous" vertical="center"/>
    </xf>
    <xf numFmtId="49" fontId="1" fillId="0" borderId="67" xfId="0" applyNumberFormat="1" applyFont="1" applyFill="1" applyBorder="1" applyAlignment="1">
      <alignment horizontal="centerContinuous" vertical="center"/>
    </xf>
    <xf numFmtId="0" fontId="1" fillId="0" borderId="68" xfId="0" applyFont="1" applyFill="1" applyBorder="1" applyAlignment="1">
      <alignment horizontal="centerContinuous" vertical="center"/>
    </xf>
    <xf numFmtId="0" fontId="55" fillId="7" borderId="85" xfId="0" applyFont="1" applyFill="1" applyBorder="1" applyAlignment="1">
      <alignment horizontal="centerContinuous" vertical="center"/>
    </xf>
    <xf numFmtId="49" fontId="1" fillId="0" borderId="86" xfId="0" applyNumberFormat="1" applyFont="1" applyFill="1" applyBorder="1" applyAlignment="1">
      <alignment horizontal="centerContinuous" vertical="center"/>
    </xf>
    <xf numFmtId="0" fontId="1" fillId="0" borderId="87" xfId="0" applyFont="1" applyFill="1" applyBorder="1" applyAlignment="1">
      <alignment horizontal="centerContinuous" vertical="center"/>
    </xf>
    <xf numFmtId="0" fontId="59" fillId="0" borderId="0" xfId="0" applyFont="1" applyBorder="1" applyAlignment="1">
      <alignment horizontal="right" vertical="center"/>
    </xf>
    <xf numFmtId="0" fontId="60" fillId="0" borderId="0" xfId="0" applyNumberFormat="1" applyFont="1" applyBorder="1" applyAlignment="1">
      <alignment horizontal="center" vertical="center"/>
    </xf>
    <xf numFmtId="0" fontId="56" fillId="9" borderId="85" xfId="0" applyFont="1" applyFill="1" applyBorder="1" applyAlignment="1">
      <alignment horizontal="centerContinuous" vertical="center"/>
    </xf>
    <xf numFmtId="0" fontId="1" fillId="0" borderId="75" xfId="0" applyFont="1" applyFill="1" applyBorder="1" applyAlignment="1">
      <alignment horizontal="centerContinuous" vertical="center"/>
    </xf>
    <xf numFmtId="49" fontId="1" fillId="0" borderId="69" xfId="0" applyNumberFormat="1" applyFont="1" applyFill="1" applyBorder="1" applyAlignment="1">
      <alignment horizontal="center" vertical="center"/>
    </xf>
    <xf numFmtId="49" fontId="1" fillId="0" borderId="76" xfId="0" applyNumberFormat="1" applyFont="1" applyFill="1" applyBorder="1" applyAlignment="1">
      <alignment horizontal="center" vertical="center"/>
    </xf>
    <xf numFmtId="0" fontId="4" fillId="0" borderId="77" xfId="0" applyFont="1" applyFill="1" applyBorder="1" applyAlignment="1">
      <alignment horizontal="center" vertical="center"/>
    </xf>
    <xf numFmtId="0" fontId="60" fillId="0" borderId="0" xfId="0" applyFont="1" applyBorder="1" applyAlignment="1">
      <alignment horizontal="center" vertical="center"/>
    </xf>
    <xf numFmtId="0" fontId="19" fillId="7" borderId="84" xfId="0" applyFont="1" applyFill="1" applyBorder="1" applyAlignment="1">
      <alignment horizontal="center" vertical="center"/>
    </xf>
    <xf numFmtId="0" fontId="1" fillId="0" borderId="74" xfId="0" applyFont="1" applyFill="1" applyBorder="1" applyAlignment="1">
      <alignment horizontal="centerContinuous" vertical="center" shrinkToFit="1"/>
    </xf>
    <xf numFmtId="0" fontId="19" fillId="0" borderId="67" xfId="0" applyFont="1" applyFill="1" applyBorder="1" applyAlignment="1">
      <alignment horizontal="centerContinuous" vertical="center"/>
    </xf>
    <xf numFmtId="0" fontId="1" fillId="0" borderId="85" xfId="0" applyFont="1" applyFill="1" applyBorder="1" applyAlignment="1">
      <alignment horizontal="centerContinuous" vertical="center" shrinkToFit="1"/>
    </xf>
    <xf numFmtId="0" fontId="19" fillId="0" borderId="86" xfId="0" applyFont="1" applyFill="1" applyBorder="1" applyAlignment="1">
      <alignment horizontal="centerContinuous" vertical="center"/>
    </xf>
    <xf numFmtId="0" fontId="1" fillId="11" borderId="65" xfId="0" applyFont="1" applyFill="1" applyBorder="1" applyAlignment="1">
      <alignment horizontal="center" vertical="center"/>
    </xf>
    <xf numFmtId="0" fontId="1" fillId="0" borderId="75" xfId="0" applyFont="1" applyFill="1" applyBorder="1" applyAlignment="1">
      <alignment horizontal="centerContinuous" vertical="center" shrinkToFit="1"/>
    </xf>
    <xf numFmtId="0" fontId="1" fillId="0" borderId="76" xfId="0" applyFont="1" applyFill="1" applyBorder="1" applyAlignment="1">
      <alignment horizontal="centerContinuous" vertical="center"/>
    </xf>
    <xf numFmtId="0" fontId="1" fillId="0" borderId="77" xfId="0" applyFont="1" applyFill="1" applyBorder="1" applyAlignment="1">
      <alignment horizontal="centerContinuous" vertical="center"/>
    </xf>
    <xf numFmtId="164" fontId="2" fillId="0" borderId="0" xfId="0" applyNumberFormat="1" applyFont="1" applyBorder="1" applyAlignment="1">
      <alignment horizontal="centerContinuous" vertical="center"/>
    </xf>
    <xf numFmtId="0" fontId="19" fillId="3" borderId="32" xfId="0" applyFont="1" applyFill="1" applyBorder="1" applyAlignment="1">
      <alignment horizontal="center" vertical="center"/>
    </xf>
    <xf numFmtId="164" fontId="19" fillId="3" borderId="33" xfId="0" applyNumberFormat="1" applyFont="1" applyFill="1" applyBorder="1" applyAlignment="1">
      <alignment horizontal="center" vertical="center"/>
    </xf>
    <xf numFmtId="0" fontId="19" fillId="3" borderId="32" xfId="0" applyFont="1" applyFill="1" applyBorder="1" applyAlignment="1">
      <alignment horizontal="right" vertical="center"/>
    </xf>
    <xf numFmtId="0" fontId="19" fillId="3" borderId="34" xfId="0" applyFont="1" applyFill="1" applyBorder="1" applyAlignment="1">
      <alignment vertical="center"/>
    </xf>
    <xf numFmtId="0" fontId="1" fillId="0" borderId="70" xfId="0" applyFont="1" applyBorder="1" applyAlignment="1">
      <alignment horizontal="center" vertical="center" shrinkToFit="1"/>
    </xf>
    <xf numFmtId="0" fontId="1" fillId="0" borderId="40" xfId="0" applyFont="1" applyBorder="1" applyAlignment="1">
      <alignment horizontal="center" vertical="center" shrinkToFit="1"/>
    </xf>
    <xf numFmtId="164" fontId="4" fillId="0" borderId="40" xfId="0" applyNumberFormat="1" applyFont="1" applyBorder="1" applyAlignment="1">
      <alignment horizontal="center" vertical="center" shrinkToFit="1"/>
    </xf>
    <xf numFmtId="0" fontId="4" fillId="0" borderId="40" xfId="0" applyFont="1" applyBorder="1" applyAlignment="1">
      <alignment horizontal="left" vertical="center"/>
    </xf>
    <xf numFmtId="0" fontId="4" fillId="0" borderId="39" xfId="0" applyFont="1" applyBorder="1" applyAlignment="1">
      <alignment horizontal="left" vertical="center" shrinkToFit="1"/>
    </xf>
    <xf numFmtId="0" fontId="1" fillId="0" borderId="78" xfId="0" applyFont="1" applyBorder="1" applyAlignment="1">
      <alignment horizontal="center" vertical="center" shrinkToFit="1"/>
    </xf>
    <xf numFmtId="0" fontId="1" fillId="0" borderId="79" xfId="0" applyFont="1" applyBorder="1" applyAlignment="1">
      <alignment horizontal="center" vertical="center" shrinkToFit="1"/>
    </xf>
    <xf numFmtId="164" fontId="4" fillId="0" borderId="79" xfId="0" applyNumberFormat="1" applyFont="1" applyBorder="1" applyAlignment="1">
      <alignment horizontal="center" vertical="center" shrinkToFit="1"/>
    </xf>
    <xf numFmtId="0" fontId="4" fillId="0" borderId="79" xfId="0" applyFont="1" applyBorder="1" applyAlignment="1">
      <alignment horizontal="left" vertical="center"/>
    </xf>
    <xf numFmtId="0" fontId="4" fillId="0" borderId="80" xfId="0" applyFont="1" applyBorder="1" applyAlignment="1">
      <alignment horizontal="left" vertical="center" shrinkToFit="1"/>
    </xf>
    <xf numFmtId="0" fontId="1" fillId="0" borderId="79" xfId="0" applyFont="1" applyBorder="1" applyAlignment="1">
      <alignment horizontal="left" vertical="center"/>
    </xf>
    <xf numFmtId="0" fontId="1" fillId="0" borderId="53" xfId="0" applyFont="1" applyBorder="1" applyAlignment="1">
      <alignment horizontal="center" vertical="center" shrinkToFit="1"/>
    </xf>
    <xf numFmtId="164" fontId="1" fillId="0" borderId="35" xfId="0" applyNumberFormat="1" applyFont="1" applyBorder="1" applyAlignment="1">
      <alignment horizontal="center" vertical="center" shrinkToFit="1"/>
    </xf>
    <xf numFmtId="0" fontId="4" fillId="0" borderId="35" xfId="0" applyFont="1" applyBorder="1" applyAlignment="1">
      <alignment horizontal="left" vertical="center"/>
    </xf>
    <xf numFmtId="0" fontId="4" fillId="0" borderId="36" xfId="0" applyFont="1" applyBorder="1" applyAlignment="1">
      <alignment horizontal="left" vertical="center" shrinkToFit="1"/>
    </xf>
    <xf numFmtId="0" fontId="1" fillId="0" borderId="71" xfId="0" applyFont="1" applyBorder="1" applyAlignment="1">
      <alignment horizontal="center" vertical="center" shrinkToFit="1"/>
    </xf>
    <xf numFmtId="0" fontId="1" fillId="0" borderId="37" xfId="0" applyFont="1" applyBorder="1" applyAlignment="1">
      <alignment horizontal="center" vertical="center" shrinkToFit="1"/>
    </xf>
    <xf numFmtId="164" fontId="4" fillId="0" borderId="37" xfId="0" applyNumberFormat="1" applyFont="1" applyBorder="1" applyAlignment="1">
      <alignment horizontal="center" vertical="center" shrinkToFit="1"/>
    </xf>
    <xf numFmtId="0" fontId="4" fillId="0" borderId="37" xfId="0" applyFont="1" applyBorder="1" applyAlignment="1">
      <alignment horizontal="left" vertical="center"/>
    </xf>
    <xf numFmtId="0" fontId="4" fillId="0" borderId="38" xfId="0" applyFont="1" applyBorder="1" applyAlignment="1">
      <alignment horizontal="left" vertical="center" shrinkToFit="1"/>
    </xf>
    <xf numFmtId="164" fontId="2" fillId="0" borderId="0" xfId="0" applyNumberFormat="1" applyFont="1" applyBorder="1" applyAlignment="1">
      <alignment horizontal="centerContinuous" vertical="center" shrinkToFit="1"/>
    </xf>
    <xf numFmtId="0" fontId="2" fillId="0" borderId="0" xfId="0" applyFont="1" applyBorder="1" applyAlignment="1">
      <alignment horizontal="centerContinuous" vertical="center" shrinkToFit="1"/>
    </xf>
    <xf numFmtId="164" fontId="4" fillId="0" borderId="35" xfId="0" applyNumberFormat="1" applyFont="1" applyBorder="1" applyAlignment="1">
      <alignment horizontal="center" vertical="center" shrinkToFit="1"/>
    </xf>
    <xf numFmtId="0" fontId="1" fillId="0" borderId="53" xfId="0" applyFont="1" applyFill="1" applyBorder="1" applyAlignment="1">
      <alignment horizontal="center" vertical="center" shrinkToFit="1"/>
    </xf>
    <xf numFmtId="0" fontId="1" fillId="0" borderId="35" xfId="0" applyFont="1" applyBorder="1" applyAlignment="1">
      <alignment horizontal="left" vertical="center"/>
    </xf>
    <xf numFmtId="0" fontId="1" fillId="0" borderId="37" xfId="0" applyFont="1" applyBorder="1" applyAlignment="1">
      <alignment horizontal="left" vertical="center"/>
    </xf>
    <xf numFmtId="0" fontId="1" fillId="0" borderId="85" xfId="0" applyFont="1" applyBorder="1" applyAlignment="1">
      <alignment horizontal="center" shrinkToFit="1"/>
    </xf>
    <xf numFmtId="164" fontId="1" fillId="0" borderId="35" xfId="0" applyNumberFormat="1" applyFont="1" applyBorder="1" applyAlignment="1">
      <alignment horizontal="center" shrinkToFit="1"/>
    </xf>
    <xf numFmtId="0" fontId="10" fillId="6" borderId="1" xfId="0" applyFont="1" applyFill="1" applyBorder="1" applyAlignment="1">
      <alignment vertical="center"/>
    </xf>
    <xf numFmtId="49" fontId="15" fillId="6" borderId="22" xfId="0" applyNumberFormat="1" applyFont="1" applyFill="1" applyBorder="1" applyAlignment="1">
      <alignment horizontal="center" vertical="center"/>
    </xf>
    <xf numFmtId="0" fontId="15" fillId="6" borderId="23" xfId="0" applyNumberFormat="1" applyFont="1" applyFill="1" applyBorder="1" applyAlignment="1">
      <alignment horizontal="center" vertical="center"/>
    </xf>
    <xf numFmtId="0" fontId="10" fillId="6" borderId="23" xfId="0" applyNumberFormat="1" applyFont="1" applyFill="1" applyBorder="1" applyAlignment="1">
      <alignment horizontal="center" vertical="center"/>
    </xf>
    <xf numFmtId="49" fontId="1" fillId="0" borderId="0" xfId="0" applyNumberFormat="1" applyFont="1" applyBorder="1" applyAlignment="1">
      <alignment horizontal="center" vertical="center"/>
    </xf>
    <xf numFmtId="49" fontId="58" fillId="7" borderId="89" xfId="0" applyNumberFormat="1" applyFont="1" applyFill="1" applyBorder="1" applyAlignment="1">
      <alignment horizontal="center" vertical="center"/>
    </xf>
    <xf numFmtId="0" fontId="1" fillId="0" borderId="90" xfId="0" applyFont="1" applyBorder="1" applyAlignment="1">
      <alignment horizontal="center" vertical="center" shrinkToFit="1"/>
    </xf>
    <xf numFmtId="1" fontId="1" fillId="0" borderId="49" xfId="0" applyNumberFormat="1" applyFont="1" applyBorder="1" applyAlignment="1">
      <alignment horizontal="center" vertical="center" shrinkToFit="1"/>
    </xf>
    <xf numFmtId="0" fontId="1" fillId="10" borderId="91" xfId="0" applyFont="1" applyFill="1" applyBorder="1" applyAlignment="1">
      <alignment horizontal="center" vertical="center"/>
    </xf>
    <xf numFmtId="0" fontId="1" fillId="10" borderId="92" xfId="0" applyFont="1" applyFill="1" applyBorder="1" applyAlignment="1">
      <alignment horizontal="center" vertical="center"/>
    </xf>
    <xf numFmtId="0" fontId="1" fillId="10" borderId="92" xfId="0" quotePrefix="1" applyFont="1" applyFill="1" applyBorder="1" applyAlignment="1">
      <alignment horizontal="center" vertical="center" wrapText="1"/>
    </xf>
    <xf numFmtId="49" fontId="1" fillId="10" borderId="92" xfId="2" applyNumberFormat="1" applyFont="1" applyFill="1" applyBorder="1" applyAlignment="1">
      <alignment horizontal="center" vertical="center"/>
    </xf>
    <xf numFmtId="0" fontId="1" fillId="10" borderId="92" xfId="0" applyFont="1" applyFill="1" applyBorder="1" applyAlignment="1">
      <alignment horizontal="center" vertical="center" shrinkToFit="1"/>
    </xf>
    <xf numFmtId="164" fontId="1" fillId="10" borderId="92" xfId="0" applyNumberFormat="1" applyFont="1" applyFill="1" applyBorder="1" applyAlignment="1">
      <alignment horizontal="center" vertical="center"/>
    </xf>
    <xf numFmtId="164" fontId="4" fillId="10" borderId="92" xfId="0" applyNumberFormat="1" applyFont="1" applyFill="1" applyBorder="1" applyAlignment="1">
      <alignment horizontal="center" vertical="center"/>
    </xf>
    <xf numFmtId="1" fontId="50" fillId="9" borderId="35" xfId="0" applyNumberFormat="1" applyFont="1" applyFill="1" applyBorder="1" applyAlignment="1">
      <alignment horizontal="center" vertical="center"/>
    </xf>
    <xf numFmtId="1" fontId="1" fillId="10" borderId="92" xfId="0" applyNumberFormat="1" applyFont="1" applyFill="1" applyBorder="1" applyAlignment="1">
      <alignment horizontal="center" vertical="center"/>
    </xf>
    <xf numFmtId="0" fontId="1" fillId="10" borderId="93" xfId="0" applyFont="1" applyFill="1" applyBorder="1" applyAlignment="1">
      <alignment horizontal="center" vertical="center"/>
    </xf>
    <xf numFmtId="0" fontId="1" fillId="0" borderId="53" xfId="0" applyFont="1" applyFill="1" applyBorder="1" applyAlignment="1">
      <alignment horizontal="center" vertical="center"/>
    </xf>
    <xf numFmtId="0" fontId="1" fillId="0" borderId="35" xfId="0" applyFont="1" applyFill="1" applyBorder="1" applyAlignment="1">
      <alignment horizontal="center" vertical="center"/>
    </xf>
    <xf numFmtId="164" fontId="4" fillId="0" borderId="35" xfId="0" applyNumberFormat="1" applyFont="1" applyFill="1" applyBorder="1" applyAlignment="1">
      <alignment horizontal="center" vertical="center"/>
    </xf>
    <xf numFmtId="1" fontId="1" fillId="0" borderId="35" xfId="0" applyNumberFormat="1" applyFont="1" applyBorder="1" applyAlignment="1">
      <alignment horizontal="center" vertical="center"/>
    </xf>
    <xf numFmtId="0" fontId="1" fillId="0" borderId="36" xfId="0" applyFont="1" applyBorder="1" applyAlignment="1">
      <alignment horizontal="center" vertical="center"/>
    </xf>
    <xf numFmtId="0" fontId="1" fillId="0" borderId="94" xfId="0" applyFont="1" applyFill="1" applyBorder="1" applyAlignment="1">
      <alignment horizontal="center" vertical="center"/>
    </xf>
    <xf numFmtId="0" fontId="1" fillId="0" borderId="95" xfId="0" applyFont="1" applyFill="1" applyBorder="1" applyAlignment="1">
      <alignment horizontal="center" vertical="center"/>
    </xf>
    <xf numFmtId="0" fontId="4" fillId="0" borderId="95" xfId="0" quotePrefix="1" applyFont="1" applyFill="1" applyBorder="1" applyAlignment="1">
      <alignment horizontal="center" vertical="center" wrapText="1"/>
    </xf>
    <xf numFmtId="49" fontId="1" fillId="0" borderId="95" xfId="2" applyNumberFormat="1" applyFont="1" applyFill="1" applyBorder="1" applyAlignment="1">
      <alignment horizontal="center" vertical="center"/>
    </xf>
    <xf numFmtId="0" fontId="1" fillId="0" borderId="95" xfId="0" applyFont="1" applyFill="1" applyBorder="1" applyAlignment="1">
      <alignment horizontal="center" vertical="center" shrinkToFit="1"/>
    </xf>
    <xf numFmtId="164" fontId="4" fillId="0" borderId="95" xfId="0" applyNumberFormat="1" applyFont="1" applyFill="1" applyBorder="1" applyAlignment="1">
      <alignment horizontal="center" vertical="center"/>
    </xf>
    <xf numFmtId="1" fontId="4" fillId="0" borderId="95" xfId="0" applyNumberFormat="1" applyFont="1" applyFill="1" applyBorder="1" applyAlignment="1">
      <alignment horizontal="center" vertical="center"/>
    </xf>
    <xf numFmtId="1" fontId="50" fillId="9" borderId="95" xfId="0" applyNumberFormat="1" applyFont="1" applyFill="1" applyBorder="1" applyAlignment="1">
      <alignment horizontal="center" vertical="center"/>
    </xf>
    <xf numFmtId="1" fontId="1" fillId="0" borderId="95" xfId="0" applyNumberFormat="1" applyFont="1" applyFill="1" applyBorder="1" applyAlignment="1">
      <alignment horizontal="center" vertical="center"/>
    </xf>
    <xf numFmtId="0" fontId="1" fillId="0" borderId="96" xfId="0" applyFont="1" applyFill="1" applyBorder="1" applyAlignment="1">
      <alignment horizontal="center" vertical="center"/>
    </xf>
    <xf numFmtId="164" fontId="1" fillId="0" borderId="40" xfId="0" applyNumberFormat="1" applyFont="1" applyFill="1" applyBorder="1" applyAlignment="1">
      <alignment horizontal="center" vertical="center"/>
    </xf>
    <xf numFmtId="164" fontId="4" fillId="0" borderId="40" xfId="0" applyNumberFormat="1" applyFont="1" applyFill="1" applyBorder="1" applyAlignment="1">
      <alignment horizontal="center" vertical="center"/>
    </xf>
    <xf numFmtId="0" fontId="1" fillId="0" borderId="71" xfId="0" applyFont="1" applyBorder="1" applyAlignment="1">
      <alignment horizontal="center" vertical="center"/>
    </xf>
    <xf numFmtId="49" fontId="1" fillId="0" borderId="37" xfId="0" applyNumberFormat="1" applyFont="1" applyBorder="1" applyAlignment="1">
      <alignment horizontal="center" vertical="center"/>
    </xf>
    <xf numFmtId="0" fontId="1" fillId="0" borderId="37" xfId="0" applyFont="1" applyBorder="1" applyAlignment="1">
      <alignment horizontal="center" vertical="center"/>
    </xf>
    <xf numFmtId="164" fontId="1" fillId="0" borderId="37" xfId="0" applyNumberFormat="1" applyFont="1" applyBorder="1" applyAlignment="1">
      <alignment horizontal="center" vertical="center"/>
    </xf>
    <xf numFmtId="164" fontId="1" fillId="0" borderId="37" xfId="0" applyNumberFormat="1" applyFont="1" applyFill="1" applyBorder="1" applyAlignment="1">
      <alignment horizontal="center" vertical="center"/>
    </xf>
    <xf numFmtId="1" fontId="50" fillId="9" borderId="37" xfId="0" applyNumberFormat="1" applyFont="1" applyFill="1" applyBorder="1" applyAlignment="1">
      <alignment horizontal="center" vertical="center"/>
    </xf>
    <xf numFmtId="1" fontId="1" fillId="0" borderId="37" xfId="0" applyNumberFormat="1" applyFont="1" applyFill="1" applyBorder="1" applyAlignment="1">
      <alignment horizontal="center" vertical="center"/>
    </xf>
    <xf numFmtId="0" fontId="4" fillId="0" borderId="40" xfId="0" applyFont="1" applyBorder="1" applyAlignment="1">
      <alignment horizontal="center" vertical="center"/>
    </xf>
    <xf numFmtId="0" fontId="1" fillId="0" borderId="40" xfId="0" quotePrefix="1" applyFont="1" applyBorder="1" applyAlignment="1">
      <alignment horizontal="center" vertical="center"/>
    </xf>
    <xf numFmtId="0" fontId="1" fillId="0" borderId="40" xfId="0" applyFont="1" applyBorder="1" applyAlignment="1">
      <alignment horizontal="center" vertical="center"/>
    </xf>
    <xf numFmtId="9" fontId="1" fillId="0" borderId="40" xfId="0" applyNumberFormat="1" applyFont="1" applyBorder="1" applyAlignment="1">
      <alignment horizontal="center" vertical="center"/>
    </xf>
    <xf numFmtId="0" fontId="1" fillId="0" borderId="94" xfId="0" applyFont="1" applyBorder="1" applyAlignment="1">
      <alignment horizontal="center" vertical="center"/>
    </xf>
    <xf numFmtId="0" fontId="4" fillId="0" borderId="95" xfId="0" applyFont="1" applyBorder="1" applyAlignment="1">
      <alignment horizontal="center" vertical="center"/>
    </xf>
    <xf numFmtId="0" fontId="4" fillId="0" borderId="95" xfId="0" quotePrefix="1" applyFont="1" applyBorder="1" applyAlignment="1">
      <alignment horizontal="center" vertical="center"/>
    </xf>
    <xf numFmtId="9" fontId="4" fillId="0" borderId="95" xfId="0" applyNumberFormat="1" applyFont="1" applyBorder="1" applyAlignment="1">
      <alignment horizontal="center" vertical="center"/>
    </xf>
    <xf numFmtId="0" fontId="1" fillId="0" borderId="95" xfId="0" applyFont="1" applyBorder="1" applyAlignment="1">
      <alignment horizontal="center" vertical="center"/>
    </xf>
    <xf numFmtId="164" fontId="4" fillId="0" borderId="95" xfId="0" applyNumberFormat="1" applyFont="1" applyBorder="1" applyAlignment="1">
      <alignment horizontal="center" vertical="center"/>
    </xf>
    <xf numFmtId="0" fontId="1" fillId="12" borderId="70" xfId="0" applyFont="1" applyFill="1" applyBorder="1" applyAlignment="1">
      <alignment horizontal="centerContinuous" vertical="center"/>
    </xf>
    <xf numFmtId="0" fontId="1" fillId="0" borderId="40" xfId="0" applyFont="1" applyFill="1" applyBorder="1" applyAlignment="1">
      <alignment horizontal="centerContinuous" vertical="center"/>
    </xf>
    <xf numFmtId="49" fontId="1" fillId="0" borderId="40" xfId="0" applyNumberFormat="1" applyFont="1" applyFill="1" applyBorder="1" applyAlignment="1">
      <alignment horizontal="center" vertical="center"/>
    </xf>
    <xf numFmtId="0" fontId="1" fillId="7" borderId="53" xfId="0" applyFont="1" applyFill="1" applyBorder="1" applyAlignment="1">
      <alignment horizontal="centerContinuous" vertical="center"/>
    </xf>
    <xf numFmtId="0" fontId="1" fillId="0" borderId="35" xfId="0" applyFont="1" applyFill="1" applyBorder="1" applyAlignment="1">
      <alignment horizontal="centerContinuous" vertical="center"/>
    </xf>
    <xf numFmtId="164" fontId="1" fillId="0" borderId="35" xfId="0" applyNumberFormat="1" applyFont="1" applyFill="1" applyBorder="1" applyAlignment="1">
      <alignment horizontal="center" vertical="center"/>
    </xf>
    <xf numFmtId="49" fontId="1" fillId="0" borderId="35" xfId="0" applyNumberFormat="1" applyFont="1" applyFill="1" applyBorder="1" applyAlignment="1">
      <alignment horizontal="center" vertical="center"/>
    </xf>
    <xf numFmtId="0" fontId="57" fillId="9" borderId="53" xfId="0" applyFont="1" applyFill="1" applyBorder="1" applyAlignment="1">
      <alignment horizontal="centerContinuous" vertical="center"/>
    </xf>
    <xf numFmtId="0" fontId="4" fillId="0" borderId="71" xfId="0" applyFont="1" applyFill="1" applyBorder="1" applyAlignment="1">
      <alignment horizontal="centerContinuous" vertical="center"/>
    </xf>
    <xf numFmtId="0" fontId="4" fillId="0" borderId="37" xfId="0" applyFont="1" applyFill="1" applyBorder="1" applyAlignment="1">
      <alignment horizontal="centerContinuous" vertical="center"/>
    </xf>
    <xf numFmtId="164" fontId="4" fillId="0" borderId="37" xfId="0" applyNumberFormat="1" applyFont="1" applyFill="1" applyBorder="1" applyAlignment="1">
      <alignment horizontal="center" vertical="center"/>
    </xf>
    <xf numFmtId="49" fontId="1" fillId="0" borderId="37" xfId="0" applyNumberFormat="1" applyFont="1" applyFill="1" applyBorder="1" applyAlignment="1">
      <alignment horizontal="center" vertical="center"/>
    </xf>
    <xf numFmtId="49" fontId="1" fillId="0" borderId="97" xfId="0" applyNumberFormat="1" applyFont="1" applyFill="1" applyBorder="1" applyAlignment="1">
      <alignment horizontal="centerContinuous" vertical="center"/>
    </xf>
    <xf numFmtId="49" fontId="1" fillId="0" borderId="98" xfId="0" applyNumberFormat="1" applyFont="1" applyFill="1" applyBorder="1" applyAlignment="1">
      <alignment horizontal="centerContinuous" vertical="center"/>
    </xf>
    <xf numFmtId="49" fontId="1" fillId="0" borderId="99" xfId="0" applyNumberFormat="1" applyFont="1" applyFill="1" applyBorder="1" applyAlignment="1">
      <alignment horizontal="center" vertical="center"/>
    </xf>
    <xf numFmtId="164" fontId="1" fillId="0" borderId="97" xfId="0" applyNumberFormat="1" applyFont="1" applyFill="1" applyBorder="1" applyAlignment="1">
      <alignment horizontal="centerContinuous" vertical="center"/>
    </xf>
    <xf numFmtId="164" fontId="1" fillId="0" borderId="99" xfId="0" applyNumberFormat="1" applyFont="1" applyBorder="1" applyAlignment="1">
      <alignment horizontal="centerContinuous" vertical="center"/>
    </xf>
    <xf numFmtId="1" fontId="6" fillId="0" borderId="60" xfId="0" applyNumberFormat="1" applyFont="1" applyFill="1" applyBorder="1" applyAlignment="1">
      <alignment horizontal="centerContinuous" vertical="center"/>
    </xf>
    <xf numFmtId="0" fontId="1" fillId="0" borderId="0" xfId="0" applyFont="1" applyBorder="1" applyAlignment="1">
      <alignment vertical="center"/>
    </xf>
    <xf numFmtId="0" fontId="1" fillId="0" borderId="101" xfId="0" applyFont="1" applyFill="1" applyBorder="1" applyAlignment="1">
      <alignment horizontal="center" vertical="center"/>
    </xf>
    <xf numFmtId="0" fontId="1" fillId="0" borderId="102" xfId="0" applyFont="1" applyFill="1" applyBorder="1" applyAlignment="1">
      <alignment horizontal="center" vertical="center"/>
    </xf>
    <xf numFmtId="0" fontId="1" fillId="0" borderId="102" xfId="0" quotePrefix="1" applyNumberFormat="1" applyFont="1" applyFill="1" applyBorder="1" applyAlignment="1">
      <alignment horizontal="center" vertical="center" wrapText="1"/>
    </xf>
    <xf numFmtId="49" fontId="1" fillId="0" borderId="102" xfId="2" applyNumberFormat="1" applyFont="1" applyFill="1" applyBorder="1" applyAlignment="1">
      <alignment horizontal="center" vertical="center"/>
    </xf>
    <xf numFmtId="0" fontId="1" fillId="0" borderId="102" xfId="0" applyFont="1" applyFill="1" applyBorder="1" applyAlignment="1">
      <alignment horizontal="center" vertical="center" shrinkToFit="1"/>
    </xf>
    <xf numFmtId="164" fontId="1" fillId="0" borderId="102" xfId="0" applyNumberFormat="1" applyFont="1" applyFill="1" applyBorder="1" applyAlignment="1">
      <alignment horizontal="center" vertical="center"/>
    </xf>
    <xf numFmtId="164" fontId="4" fillId="0" borderId="102" xfId="0" applyNumberFormat="1" applyFont="1" applyFill="1" applyBorder="1" applyAlignment="1">
      <alignment horizontal="center" vertical="center"/>
    </xf>
    <xf numFmtId="1" fontId="50" fillId="9" borderId="102" xfId="0" applyNumberFormat="1" applyFont="1" applyFill="1" applyBorder="1" applyAlignment="1">
      <alignment horizontal="center" vertical="center"/>
    </xf>
    <xf numFmtId="1" fontId="1" fillId="0" borderId="102" xfId="0" applyNumberFormat="1" applyFont="1" applyFill="1" applyBorder="1" applyAlignment="1">
      <alignment horizontal="center" vertical="center"/>
    </xf>
    <xf numFmtId="0" fontId="40" fillId="0" borderId="43" xfId="0" applyFont="1" applyFill="1" applyBorder="1" applyAlignment="1">
      <alignment horizontal="centerContinuous" vertical="center"/>
    </xf>
    <xf numFmtId="1" fontId="3" fillId="0" borderId="0" xfId="0" applyNumberFormat="1" applyFont="1" applyBorder="1" applyAlignment="1">
      <alignment horizontal="center" vertical="center"/>
    </xf>
    <xf numFmtId="0" fontId="1" fillId="0" borderId="91" xfId="0" applyFont="1" applyBorder="1" applyAlignment="1">
      <alignment horizontal="center" vertical="center"/>
    </xf>
    <xf numFmtId="0" fontId="1" fillId="0" borderId="92" xfId="0" applyFont="1" applyBorder="1" applyAlignment="1">
      <alignment horizontal="center" vertical="center"/>
    </xf>
    <xf numFmtId="164" fontId="1" fillId="0" borderId="92" xfId="0" applyNumberFormat="1" applyFont="1" applyFill="1" applyBorder="1" applyAlignment="1">
      <alignment horizontal="center" vertical="center"/>
    </xf>
    <xf numFmtId="1" fontId="1" fillId="9" borderId="35" xfId="0" applyNumberFormat="1" applyFont="1" applyFill="1" applyBorder="1" applyAlignment="1">
      <alignment horizontal="center" vertical="center"/>
    </xf>
    <xf numFmtId="0" fontId="1" fillId="0" borderId="53" xfId="0" applyFont="1" applyBorder="1" applyAlignment="1">
      <alignment horizontal="center" vertical="center"/>
    </xf>
    <xf numFmtId="0" fontId="1" fillId="0" borderId="35" xfId="0" applyFont="1" applyBorder="1" applyAlignment="1">
      <alignment horizontal="center" vertical="center"/>
    </xf>
    <xf numFmtId="0" fontId="1" fillId="0" borderId="36" xfId="0" applyFont="1" applyBorder="1" applyAlignment="1">
      <alignment horizontal="left" vertical="center" shrinkToFit="1"/>
    </xf>
    <xf numFmtId="1" fontId="19" fillId="3" borderId="28" xfId="0" applyNumberFormat="1" applyFont="1" applyFill="1" applyBorder="1" applyAlignment="1">
      <alignment horizontal="center" vertical="center"/>
    </xf>
    <xf numFmtId="1" fontId="4" fillId="11" borderId="47" xfId="0" applyNumberFormat="1" applyFont="1" applyFill="1" applyBorder="1" applyAlignment="1">
      <alignment horizontal="center" vertical="center" shrinkToFit="1"/>
    </xf>
    <xf numFmtId="1" fontId="4" fillId="0" borderId="49" xfId="0" applyNumberFormat="1" applyFont="1" applyFill="1" applyBorder="1" applyAlignment="1">
      <alignment horizontal="center" vertical="center" shrinkToFit="1"/>
    </xf>
    <xf numFmtId="1" fontId="4" fillId="11" borderId="49" xfId="0" applyNumberFormat="1" applyFont="1" applyFill="1" applyBorder="1" applyAlignment="1">
      <alignment horizontal="center" vertical="center" shrinkToFit="1"/>
    </xf>
    <xf numFmtId="1" fontId="1" fillId="11" borderId="31" xfId="0" applyNumberFormat="1" applyFont="1" applyFill="1" applyBorder="1" applyAlignment="1">
      <alignment horizontal="center" vertical="center" shrinkToFit="1"/>
    </xf>
    <xf numFmtId="1" fontId="4" fillId="11" borderId="43" xfId="0" applyNumberFormat="1" applyFont="1" applyFill="1" applyBorder="1" applyAlignment="1">
      <alignment horizontal="center" vertical="center" shrinkToFit="1"/>
    </xf>
    <xf numFmtId="1" fontId="4" fillId="11" borderId="31" xfId="0" applyNumberFormat="1" applyFont="1" applyFill="1" applyBorder="1" applyAlignment="1">
      <alignment horizontal="center" vertical="center" shrinkToFit="1"/>
    </xf>
    <xf numFmtId="1" fontId="4" fillId="0" borderId="43" xfId="0" applyNumberFormat="1" applyFont="1" applyBorder="1" applyAlignment="1">
      <alignment horizontal="center" vertical="center" shrinkToFit="1"/>
    </xf>
    <xf numFmtId="1" fontId="4" fillId="0" borderId="0" xfId="0" applyNumberFormat="1" applyFont="1" applyBorder="1" applyAlignment="1">
      <alignment horizontal="center" vertical="center"/>
    </xf>
    <xf numFmtId="1" fontId="2" fillId="0" borderId="0" xfId="0" applyNumberFormat="1" applyFont="1" applyBorder="1" applyAlignment="1">
      <alignment horizontal="center" vertical="center" shrinkToFit="1"/>
    </xf>
    <xf numFmtId="1" fontId="1" fillId="0" borderId="88" xfId="0" applyNumberFormat="1" applyFont="1" applyBorder="1" applyAlignment="1">
      <alignment horizontal="center" vertical="center"/>
    </xf>
    <xf numFmtId="1" fontId="1" fillId="0" borderId="31" xfId="0" applyNumberFormat="1" applyFont="1" applyFill="1" applyBorder="1" applyAlignment="1">
      <alignment horizontal="center" vertical="center"/>
    </xf>
    <xf numFmtId="1" fontId="1" fillId="0" borderId="43" xfId="0" applyNumberFormat="1" applyFont="1" applyFill="1" applyBorder="1" applyAlignment="1">
      <alignment horizontal="center" vertical="center"/>
    </xf>
    <xf numFmtId="1" fontId="1" fillId="0" borderId="47" xfId="0" applyNumberFormat="1" applyFont="1" applyBorder="1" applyAlignment="1">
      <alignment horizontal="center" vertical="center"/>
    </xf>
    <xf numFmtId="1" fontId="1" fillId="0" borderId="31" xfId="0" applyNumberFormat="1" applyFont="1" applyBorder="1" applyAlignment="1">
      <alignment horizontal="center" vertical="center"/>
    </xf>
    <xf numFmtId="1" fontId="1" fillId="11" borderId="43" xfId="0" applyNumberFormat="1" applyFont="1" applyFill="1" applyBorder="1" applyAlignment="1">
      <alignment horizontal="center" vertical="center"/>
    </xf>
    <xf numFmtId="1" fontId="1" fillId="11" borderId="88" xfId="0" applyNumberFormat="1" applyFont="1" applyFill="1" applyBorder="1" applyAlignment="1">
      <alignment horizontal="center" vertical="center"/>
    </xf>
    <xf numFmtId="1" fontId="1" fillId="11" borderId="31" xfId="0" applyNumberFormat="1" applyFont="1" applyFill="1" applyBorder="1" applyAlignment="1">
      <alignment horizontal="center" vertical="center"/>
    </xf>
    <xf numFmtId="1" fontId="1" fillId="0" borderId="100" xfId="0" applyNumberFormat="1" applyFont="1" applyFill="1" applyBorder="1" applyAlignment="1">
      <alignment horizontal="center" vertical="center"/>
    </xf>
    <xf numFmtId="1" fontId="6" fillId="6" borderId="23" xfId="0" applyNumberFormat="1" applyFont="1" applyFill="1" applyBorder="1" applyAlignment="1">
      <alignment horizontal="center" vertical="center"/>
    </xf>
    <xf numFmtId="1" fontId="50" fillId="9" borderId="79" xfId="0" applyNumberFormat="1" applyFont="1" applyFill="1" applyBorder="1" applyAlignment="1">
      <alignment horizontal="center" vertical="center"/>
    </xf>
    <xf numFmtId="1" fontId="1" fillId="11" borderId="103" xfId="0" applyNumberFormat="1" applyFont="1" applyFill="1" applyBorder="1" applyAlignment="1">
      <alignment horizontal="center" vertical="center"/>
    </xf>
    <xf numFmtId="0" fontId="1" fillId="10" borderId="101" xfId="0" applyFont="1" applyFill="1" applyBorder="1" applyAlignment="1">
      <alignment horizontal="center" vertical="center"/>
    </xf>
    <xf numFmtId="0" fontId="1" fillId="10" borderId="102" xfId="0" applyFont="1" applyFill="1" applyBorder="1" applyAlignment="1">
      <alignment horizontal="center" vertical="center"/>
    </xf>
    <xf numFmtId="0" fontId="1" fillId="10" borderId="102" xfId="0" quotePrefix="1" applyFont="1" applyFill="1" applyBorder="1" applyAlignment="1">
      <alignment horizontal="center" vertical="center" wrapText="1"/>
    </xf>
    <xf numFmtId="49" fontId="1" fillId="10" borderId="102" xfId="2" applyNumberFormat="1" applyFont="1" applyFill="1" applyBorder="1" applyAlignment="1">
      <alignment horizontal="center" vertical="center"/>
    </xf>
    <xf numFmtId="0" fontId="1" fillId="10" borderId="102" xfId="0" applyFont="1" applyFill="1" applyBorder="1" applyAlignment="1">
      <alignment horizontal="center" vertical="center" shrinkToFit="1"/>
    </xf>
    <xf numFmtId="164" fontId="1" fillId="10" borderId="102" xfId="0" applyNumberFormat="1" applyFont="1" applyFill="1" applyBorder="1" applyAlignment="1">
      <alignment horizontal="center" vertical="center"/>
    </xf>
    <xf numFmtId="164" fontId="4" fillId="10" borderId="102" xfId="0" applyNumberFormat="1" applyFont="1" applyFill="1" applyBorder="1" applyAlignment="1">
      <alignment horizontal="center" vertical="center"/>
    </xf>
    <xf numFmtId="1" fontId="1" fillId="10" borderId="102" xfId="0" applyNumberFormat="1" applyFont="1" applyFill="1" applyBorder="1" applyAlignment="1">
      <alignment horizontal="center" vertical="center"/>
    </xf>
    <xf numFmtId="0" fontId="1" fillId="10" borderId="104" xfId="0" applyFont="1" applyFill="1" applyBorder="1" applyAlignment="1">
      <alignment horizontal="center" vertical="center"/>
    </xf>
    <xf numFmtId="0" fontId="1" fillId="10" borderId="78" xfId="0" applyFont="1" applyFill="1" applyBorder="1" applyAlignment="1">
      <alignment horizontal="center" vertical="center"/>
    </xf>
    <xf numFmtId="0" fontId="1" fillId="10" borderId="79" xfId="0" applyFont="1" applyFill="1" applyBorder="1" applyAlignment="1">
      <alignment horizontal="center" vertical="center"/>
    </xf>
    <xf numFmtId="0" fontId="1" fillId="10" borderId="79" xfId="0" quotePrefix="1" applyFont="1" applyFill="1" applyBorder="1" applyAlignment="1">
      <alignment horizontal="center" vertical="center" wrapText="1"/>
    </xf>
    <xf numFmtId="49" fontId="1" fillId="10" borderId="79" xfId="2" applyNumberFormat="1" applyFont="1" applyFill="1" applyBorder="1" applyAlignment="1">
      <alignment horizontal="center" vertical="center"/>
    </xf>
    <xf numFmtId="0" fontId="1" fillId="10" borderId="79" xfId="0" applyFont="1" applyFill="1" applyBorder="1" applyAlignment="1">
      <alignment horizontal="center" vertical="center" shrinkToFit="1"/>
    </xf>
    <xf numFmtId="164" fontId="1" fillId="10" borderId="79" xfId="0" applyNumberFormat="1" applyFont="1" applyFill="1" applyBorder="1" applyAlignment="1">
      <alignment horizontal="center" vertical="center"/>
    </xf>
    <xf numFmtId="164" fontId="4" fillId="10" borderId="79" xfId="0" applyNumberFormat="1" applyFont="1" applyFill="1" applyBorder="1" applyAlignment="1">
      <alignment horizontal="center" vertical="center"/>
    </xf>
    <xf numFmtId="1" fontId="1" fillId="10" borderId="79" xfId="0" applyNumberFormat="1" applyFont="1" applyFill="1" applyBorder="1" applyAlignment="1">
      <alignment horizontal="center" vertical="center"/>
    </xf>
    <xf numFmtId="0" fontId="1" fillId="10" borderId="80" xfId="0" applyFont="1" applyFill="1" applyBorder="1" applyAlignment="1">
      <alignment horizontal="center" vertical="center"/>
    </xf>
    <xf numFmtId="0" fontId="6" fillId="0" borderId="5" xfId="0" applyFont="1" applyBorder="1" applyAlignment="1">
      <alignment horizontal="left" vertical="center"/>
    </xf>
    <xf numFmtId="0" fontId="6" fillId="0" borderId="7" xfId="0" applyFont="1" applyBorder="1" applyAlignment="1">
      <alignment horizontal="left" vertical="center"/>
    </xf>
    <xf numFmtId="0" fontId="6" fillId="0" borderId="103" xfId="0" applyFont="1" applyFill="1" applyBorder="1" applyAlignment="1">
      <alignment horizontal="centerContinuous" vertical="center"/>
    </xf>
    <xf numFmtId="0" fontId="49" fillId="0" borderId="35" xfId="0" quotePrefix="1" applyFont="1" applyFill="1" applyBorder="1" applyAlignment="1">
      <alignment horizontal="center" vertical="center" wrapText="1"/>
    </xf>
    <xf numFmtId="0" fontId="54" fillId="0" borderId="35" xfId="0" quotePrefix="1" applyFont="1" applyFill="1" applyBorder="1" applyAlignment="1">
      <alignment horizontal="center" vertical="center" wrapText="1"/>
    </xf>
    <xf numFmtId="0" fontId="49" fillId="0" borderId="37" xfId="0" applyFont="1" applyBorder="1" applyAlignment="1">
      <alignment horizontal="center" vertical="center"/>
    </xf>
    <xf numFmtId="0" fontId="62" fillId="0" borderId="28" xfId="0" applyFont="1" applyBorder="1" applyAlignment="1">
      <alignment horizontal="centerContinuous" vertical="center"/>
    </xf>
    <xf numFmtId="0" fontId="6" fillId="0" borderId="31" xfId="0" applyFont="1" applyFill="1" applyBorder="1" applyAlignment="1">
      <alignment horizontal="center" vertical="center" shrinkToFit="1"/>
    </xf>
    <xf numFmtId="0" fontId="6" fillId="0" borderId="48" xfId="0" applyFont="1" applyFill="1" applyBorder="1" applyAlignment="1">
      <alignment horizontal="center" vertical="center" shrinkToFit="1"/>
    </xf>
    <xf numFmtId="0" fontId="63" fillId="7" borderId="3" xfId="0" quotePrefix="1" applyFont="1" applyFill="1" applyBorder="1" applyAlignment="1">
      <alignment horizontal="center" vertical="center"/>
    </xf>
    <xf numFmtId="0" fontId="8" fillId="14" borderId="3" xfId="0" quotePrefix="1" applyFont="1" applyFill="1" applyBorder="1" applyAlignment="1">
      <alignment horizontal="center" vertical="center"/>
    </xf>
    <xf numFmtId="0" fontId="1" fillId="0" borderId="79" xfId="0" quotePrefix="1" applyFont="1" applyBorder="1" applyAlignment="1">
      <alignment horizontal="left" vertical="center"/>
    </xf>
    <xf numFmtId="0" fontId="40" fillId="14" borderId="12" xfId="0" applyFont="1" applyFill="1" applyBorder="1" applyAlignment="1">
      <alignment horizontal="center" vertical="center"/>
    </xf>
  </cellXfs>
  <cellStyles count="9">
    <cellStyle name="Excel Built-in Normal" xfId="6" xr:uid="{00000000-0005-0000-0000-000000000000}"/>
    <cellStyle name="Hyperlink" xfId="1" builtinId="8"/>
    <cellStyle name="Normal" xfId="0" builtinId="0"/>
    <cellStyle name="Normal 2" xfId="4" xr:uid="{00000000-0005-0000-0000-000003000000}"/>
    <cellStyle name="Normal 2 2" xfId="5" xr:uid="{00000000-0005-0000-0000-000004000000}"/>
    <cellStyle name="Normal 4" xfId="7" xr:uid="{00000000-0005-0000-0000-000005000000}"/>
    <cellStyle name="Percent" xfId="2" builtinId="5"/>
    <cellStyle name="Percent 2" xfId="3" xr:uid="{00000000-0005-0000-0000-000007000000}"/>
    <cellStyle name="Percent 2 2" xfId="8" xr:uid="{00000000-0005-0000-0000-000008000000}"/>
  </cellStyles>
  <dxfs count="14">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CC66FF"/>
      <color rgb="FF00FFFF"/>
      <color rgb="FF00FF00"/>
      <color rgb="FFCCFFCC"/>
      <color rgb="FF0000FF"/>
      <color rgb="FFCCFF99"/>
      <color rgb="FF009900"/>
      <color rgb="FF00CC66"/>
      <color rgb="FF00FF99"/>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66675</xdr:colOff>
      <xdr:row>13</xdr:row>
      <xdr:rowOff>182881</xdr:rowOff>
    </xdr:from>
    <xdr:to>
      <xdr:col>6</xdr:col>
      <xdr:colOff>1238250</xdr:colOff>
      <xdr:row>16</xdr:row>
      <xdr:rowOff>167641</xdr:rowOff>
    </xdr:to>
    <xdr:sp macro="" textlink="">
      <xdr:nvSpPr>
        <xdr:cNvPr id="1084" name="Text Box 60">
          <a:extLst>
            <a:ext uri="{FF2B5EF4-FFF2-40B4-BE49-F238E27FC236}">
              <a16:creationId xmlns:a16="http://schemas.microsoft.com/office/drawing/2014/main" id="{00000000-0008-0000-0000-00003C040000}"/>
            </a:ext>
          </a:extLst>
        </xdr:cNvPr>
        <xdr:cNvSpPr txBox="1">
          <a:spLocks noChangeArrowheads="1"/>
        </xdr:cNvSpPr>
      </xdr:nvSpPr>
      <xdr:spPr bwMode="auto">
        <a:xfrm>
          <a:off x="4349115" y="3154681"/>
          <a:ext cx="2291715" cy="624840"/>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just" rtl="0">
            <a:defRPr sz="1000"/>
          </a:pPr>
          <a:r>
            <a:rPr lang="en-US" sz="1200" b="1" i="0" u="none" strike="noStrike" baseline="0">
              <a:solidFill>
                <a:srgbClr val="000000"/>
              </a:solidFill>
              <a:latin typeface="Times New Roman"/>
              <a:cs typeface="Times New Roman"/>
            </a:rPr>
            <a:t>Current status:  </a:t>
          </a:r>
          <a:endParaRPr lang="en-US" sz="1200" b="0" i="0" u="none" strike="noStrike" baseline="0">
            <a:solidFill>
              <a:srgbClr val="FF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a:extLst>
            <a:ext uri="{FF2B5EF4-FFF2-40B4-BE49-F238E27FC236}">
              <a16:creationId xmlns:a16="http://schemas.microsoft.com/office/drawing/2014/main" id="{00000000-0008-0000-0100-000054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60" name="Rectangle 1">
          <a:extLst>
            <a:ext uri="{FF2B5EF4-FFF2-40B4-BE49-F238E27FC236}">
              <a16:creationId xmlns:a16="http://schemas.microsoft.com/office/drawing/2014/main" id="{00000000-0008-0000-0200-0000044C0000}"/>
            </a:ext>
          </a:extLst>
        </xdr:cNvPr>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1390650</xdr:colOff>
      <xdr:row>2</xdr:row>
      <xdr:rowOff>123825</xdr:rowOff>
    </xdr:from>
    <xdr:to>
      <xdr:col>2</xdr:col>
      <xdr:colOff>742950</xdr:colOff>
      <xdr:row>2</xdr:row>
      <xdr:rowOff>123825</xdr:rowOff>
    </xdr:to>
    <xdr:cxnSp macro="">
      <xdr:nvCxnSpPr>
        <xdr:cNvPr id="4" name="Straight Connector 3">
          <a:extLst>
            <a:ext uri="{FF2B5EF4-FFF2-40B4-BE49-F238E27FC236}">
              <a16:creationId xmlns:a16="http://schemas.microsoft.com/office/drawing/2014/main" id="{00000000-0008-0000-0200-000004000000}"/>
            </a:ext>
          </a:extLst>
        </xdr:cNvPr>
        <xdr:cNvCxnSpPr/>
      </xdr:nvCxnSpPr>
      <xdr:spPr bwMode="auto">
        <a:xfrm>
          <a:off x="1390650" y="571500"/>
          <a:ext cx="1371600" cy="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4.xml><?xml version="1.0" encoding="utf-8"?>
<xdr:wsDr xmlns:xdr="http://schemas.openxmlformats.org/drawingml/2006/spreadsheetDrawing" xmlns:a="http://schemas.openxmlformats.org/drawingml/2006/main">
  <xdr:twoCellAnchor editAs="absolute">
    <xdr:from>
      <xdr:col>1</xdr:col>
      <xdr:colOff>531495</xdr:colOff>
      <xdr:row>1</xdr:row>
      <xdr:rowOff>123825</xdr:rowOff>
    </xdr:from>
    <xdr:to>
      <xdr:col>3</xdr:col>
      <xdr:colOff>102870</xdr:colOff>
      <xdr:row>2</xdr:row>
      <xdr:rowOff>66675</xdr:rowOff>
    </xdr:to>
    <xdr:sp macro="" textlink="">
      <xdr:nvSpPr>
        <xdr:cNvPr id="3078" name="Text Box 6" hidden="1">
          <a:extLst>
            <a:ext uri="{FF2B5EF4-FFF2-40B4-BE49-F238E27FC236}">
              <a16:creationId xmlns:a16="http://schemas.microsoft.com/office/drawing/2014/main" id="{00000000-0008-0000-03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8"/>
  <sheetViews>
    <sheetView showGridLines="0" tabSelected="1" zoomScaleNormal="100" workbookViewId="0"/>
  </sheetViews>
  <sheetFormatPr defaultColWidth="13" defaultRowHeight="15.6"/>
  <cols>
    <col min="1" max="1" width="14.09765625" style="68" bestFit="1" customWidth="1"/>
    <col min="2" max="2" width="11.59765625" style="69" customWidth="1"/>
    <col min="3" max="3" width="5.09765625" style="69" customWidth="1"/>
    <col min="4" max="4" width="13.69921875" style="68" bestFit="1" customWidth="1"/>
    <col min="5" max="5" width="9.796875" style="69" bestFit="1" customWidth="1"/>
    <col min="6" max="6" width="14.69921875" style="68" customWidth="1"/>
    <col min="7" max="7" width="17.09765625" style="69" customWidth="1"/>
    <col min="8" max="16384" width="13" style="24"/>
  </cols>
  <sheetData>
    <row r="1" spans="1:7" ht="29.4" thickTop="1" thickBot="1">
      <c r="A1" s="18" t="s">
        <v>238</v>
      </c>
      <c r="B1" s="19" t="s">
        <v>237</v>
      </c>
      <c r="C1" s="20"/>
      <c r="D1" s="21"/>
      <c r="E1" s="22"/>
      <c r="F1" s="21"/>
      <c r="G1" s="23" t="s">
        <v>235</v>
      </c>
    </row>
    <row r="2" spans="1:7" ht="17.399999999999999" thickTop="1">
      <c r="A2" s="25" t="s">
        <v>208</v>
      </c>
      <c r="B2" s="26" t="s">
        <v>181</v>
      </c>
      <c r="C2" s="26"/>
      <c r="D2" s="27" t="s">
        <v>209</v>
      </c>
      <c r="E2" s="28" t="s">
        <v>106</v>
      </c>
      <c r="F2" s="29"/>
      <c r="G2" s="30"/>
    </row>
    <row r="3" spans="1:7" ht="16.8">
      <c r="A3" s="25" t="s">
        <v>210</v>
      </c>
      <c r="B3" s="26" t="s">
        <v>81</v>
      </c>
      <c r="C3" s="26"/>
      <c r="D3" s="27" t="s">
        <v>161</v>
      </c>
      <c r="E3" s="28">
        <v>4</v>
      </c>
      <c r="F3" s="27"/>
      <c r="G3" s="30"/>
    </row>
    <row r="4" spans="1:7" ht="16.8">
      <c r="A4" s="25" t="s">
        <v>210</v>
      </c>
      <c r="B4" s="26" t="s">
        <v>176</v>
      </c>
      <c r="C4" s="26"/>
      <c r="D4" s="27" t="s">
        <v>161</v>
      </c>
      <c r="E4" s="28">
        <v>2</v>
      </c>
      <c r="F4" s="27"/>
      <c r="G4" s="30"/>
    </row>
    <row r="5" spans="1:7" ht="16.8">
      <c r="A5" s="25" t="s">
        <v>210</v>
      </c>
      <c r="B5" s="26" t="s">
        <v>236</v>
      </c>
      <c r="C5" s="26"/>
      <c r="D5" s="27" t="s">
        <v>161</v>
      </c>
      <c r="E5" s="28">
        <v>1</v>
      </c>
      <c r="F5" s="27"/>
      <c r="G5" s="30"/>
    </row>
    <row r="6" spans="1:7" ht="16.8">
      <c r="A6" s="25" t="s">
        <v>211</v>
      </c>
      <c r="B6" s="31" t="s">
        <v>240</v>
      </c>
      <c r="C6" s="31"/>
      <c r="D6" s="27" t="s">
        <v>212</v>
      </c>
      <c r="E6" s="28">
        <v>120</v>
      </c>
      <c r="F6" s="27"/>
      <c r="G6" s="30"/>
    </row>
    <row r="7" spans="1:7" ht="16.8">
      <c r="A7" s="25" t="s">
        <v>213</v>
      </c>
      <c r="B7" s="31" t="s">
        <v>239</v>
      </c>
      <c r="C7" s="31"/>
      <c r="D7" s="27" t="s">
        <v>214</v>
      </c>
      <c r="E7" s="28" t="s">
        <v>104</v>
      </c>
      <c r="F7" s="27"/>
      <c r="G7" s="30"/>
    </row>
    <row r="8" spans="1:7" ht="17.399999999999999" thickBot="1">
      <c r="A8" s="25" t="s">
        <v>215</v>
      </c>
      <c r="B8" s="31" t="s">
        <v>82</v>
      </c>
      <c r="C8" s="31"/>
      <c r="D8" s="27" t="s">
        <v>216</v>
      </c>
      <c r="E8" s="28" t="s">
        <v>105</v>
      </c>
      <c r="F8" s="27"/>
      <c r="G8" s="30"/>
    </row>
    <row r="9" spans="1:7" ht="17.399999999999999" thickTop="1">
      <c r="A9" s="32" t="s">
        <v>217</v>
      </c>
      <c r="B9" s="330">
        <f>6</f>
        <v>6</v>
      </c>
      <c r="C9" s="33"/>
      <c r="D9" s="34" t="s">
        <v>218</v>
      </c>
      <c r="E9" s="35">
        <f>B9+C12</f>
        <v>6</v>
      </c>
      <c r="F9" s="36"/>
      <c r="G9" s="30"/>
    </row>
    <row r="10" spans="1:7" ht="16.8">
      <c r="A10" s="37" t="s">
        <v>219</v>
      </c>
      <c r="B10" s="38" t="str">
        <f>C13</f>
        <v>+4</v>
      </c>
      <c r="C10" s="39"/>
      <c r="D10" s="40" t="s">
        <v>220</v>
      </c>
      <c r="E10" s="41" t="s">
        <v>107</v>
      </c>
      <c r="F10" s="36"/>
      <c r="G10" s="30"/>
    </row>
    <row r="11" spans="1:7" ht="17.399999999999999" thickBot="1">
      <c r="A11" s="42" t="s">
        <v>221</v>
      </c>
      <c r="B11" s="43" t="s">
        <v>202</v>
      </c>
      <c r="C11" s="44"/>
      <c r="D11" s="45" t="s">
        <v>222</v>
      </c>
      <c r="E11" s="46" t="s">
        <v>107</v>
      </c>
      <c r="F11" s="36"/>
      <c r="G11" s="30"/>
    </row>
    <row r="12" spans="1:7" ht="17.399999999999999" thickTop="1">
      <c r="A12" s="47" t="s">
        <v>223</v>
      </c>
      <c r="B12" s="402">
        <f>10+(2*Feats!$E$6)-3</f>
        <v>11</v>
      </c>
      <c r="C12" s="48" t="str">
        <f t="shared" ref="C12:C17" si="0">IF(B12&gt;9.9,CONCATENATE("+",ROUNDDOWN((B12-10)/2,0)),ROUNDUP((B12-10)/2,0))</f>
        <v>+0</v>
      </c>
      <c r="D12" s="49" t="s">
        <v>224</v>
      </c>
      <c r="E12" s="50" t="s">
        <v>108</v>
      </c>
      <c r="F12" s="36"/>
      <c r="G12" s="30"/>
    </row>
    <row r="13" spans="1:7" ht="16.8">
      <c r="A13" s="51" t="s">
        <v>225</v>
      </c>
      <c r="B13" s="52">
        <v>18</v>
      </c>
      <c r="C13" s="53" t="str">
        <f t="shared" si="0"/>
        <v>+4</v>
      </c>
      <c r="D13" s="54" t="s">
        <v>226</v>
      </c>
      <c r="E13" s="55">
        <f>SUM(Martial!G3:G25)+SUM(Equipment!C3:C38)</f>
        <v>47.2</v>
      </c>
      <c r="F13" s="36"/>
      <c r="G13" s="30"/>
    </row>
    <row r="14" spans="1:7" ht="16.8">
      <c r="A14" s="56" t="s">
        <v>227</v>
      </c>
      <c r="B14" s="400">
        <f>10+(2*Feats!$E$6)</f>
        <v>14</v>
      </c>
      <c r="C14" s="57" t="str">
        <f t="shared" si="0"/>
        <v>+2</v>
      </c>
      <c r="D14" s="54" t="s">
        <v>228</v>
      </c>
      <c r="E14" s="58">
        <f>ROUNDUP(((E3*8)*0.75)+((E4*10)*0.75)+((E5*8)*0.75)+(SUM(E3:E5)*C14),0)</f>
        <v>59</v>
      </c>
      <c r="F14" s="36"/>
      <c r="G14" s="30"/>
    </row>
    <row r="15" spans="1:7" ht="16.8">
      <c r="A15" s="59" t="s">
        <v>229</v>
      </c>
      <c r="B15" s="399">
        <f>10-(2*Feats!$E$6)</f>
        <v>6</v>
      </c>
      <c r="C15" s="53">
        <f t="shared" si="0"/>
        <v>-2</v>
      </c>
      <c r="D15" s="60" t="s">
        <v>230</v>
      </c>
      <c r="E15" s="61">
        <f>10+C13+C16+1</f>
        <v>16</v>
      </c>
      <c r="F15" s="25"/>
      <c r="G15" s="30"/>
    </row>
    <row r="16" spans="1:7" ht="16.8">
      <c r="A16" s="62" t="s">
        <v>231</v>
      </c>
      <c r="B16" s="399">
        <f>16-(2*Feats!$E$6)</f>
        <v>12</v>
      </c>
      <c r="C16" s="53" t="str">
        <f t="shared" si="0"/>
        <v>+1</v>
      </c>
      <c r="D16" s="60" t="s">
        <v>232</v>
      </c>
      <c r="E16" s="61">
        <f>E15+SUM(Martial!B18:B19)</f>
        <v>18</v>
      </c>
      <c r="F16" s="36"/>
      <c r="G16" s="30"/>
    </row>
    <row r="17" spans="1:7" ht="17.399999999999999" thickBot="1">
      <c r="A17" s="63" t="s">
        <v>233</v>
      </c>
      <c r="B17" s="64">
        <v>10</v>
      </c>
      <c r="C17" s="65" t="str">
        <f t="shared" si="0"/>
        <v>+0</v>
      </c>
      <c r="D17" s="66" t="s">
        <v>234</v>
      </c>
      <c r="E17" s="67">
        <f>E16-(C13+C16)</f>
        <v>13</v>
      </c>
      <c r="F17" s="390"/>
      <c r="G17" s="391"/>
    </row>
    <row r="18" spans="1:7" ht="16.2" thickTop="1"/>
  </sheetData>
  <phoneticPr fontId="0" type="noConversion"/>
  <conditionalFormatting sqref="E13">
    <cfRule type="cellIs" dxfId="13" priority="4" stopIfTrue="1" operator="greaterThan">
      <formula>66</formula>
    </cfRule>
    <cfRule type="cellIs" dxfId="12" priority="5" stopIfTrue="1" operator="between">
      <formula>33</formula>
      <formula>66</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9"/>
  <sheetViews>
    <sheetView showGridLines="0" workbookViewId="0">
      <pane ySplit="2" topLeftCell="A3" activePane="bottomLeft" state="frozen"/>
      <selection pane="bottomLeft" activeCell="A3" sqref="A3"/>
    </sheetView>
  </sheetViews>
  <sheetFormatPr defaultColWidth="13" defaultRowHeight="15.6"/>
  <cols>
    <col min="1" max="1" width="21.69921875" style="68" bestFit="1" customWidth="1"/>
    <col min="2" max="2" width="5.8984375" style="68" bestFit="1" customWidth="1"/>
    <col min="3" max="3" width="7.59765625" style="69" hidden="1" customWidth="1"/>
    <col min="4" max="4" width="5.8984375" style="69" hidden="1" customWidth="1"/>
    <col min="5" max="5" width="9.19921875" style="69" bestFit="1" customWidth="1"/>
    <col min="6" max="6" width="6.69921875" style="69" bestFit="1" customWidth="1"/>
    <col min="7" max="7" width="6" style="166" bestFit="1" customWidth="1"/>
    <col min="8" max="8" width="5.19921875" style="166" bestFit="1" customWidth="1"/>
    <col min="9" max="9" width="6.8984375" style="166" bestFit="1" customWidth="1"/>
    <col min="10" max="10" width="33.59765625" style="68" bestFit="1" customWidth="1"/>
    <col min="11" max="16384" width="13" style="24"/>
  </cols>
  <sheetData>
    <row r="1" spans="1:10" ht="23.4" thickBot="1">
      <c r="A1" s="70" t="s">
        <v>8</v>
      </c>
      <c r="B1" s="71"/>
      <c r="C1" s="71"/>
      <c r="D1" s="71"/>
      <c r="E1" s="71"/>
      <c r="F1" s="71"/>
      <c r="G1" s="72"/>
      <c r="H1" s="72"/>
      <c r="I1" s="72"/>
      <c r="J1" s="71"/>
    </row>
    <row r="2" spans="1:10" s="10" customFormat="1" ht="34.200000000000003" thickBot="1">
      <c r="A2" s="4" t="s">
        <v>0</v>
      </c>
      <c r="B2" s="5" t="s">
        <v>22</v>
      </c>
      <c r="C2" s="5" t="s">
        <v>29</v>
      </c>
      <c r="D2" s="5" t="s">
        <v>21</v>
      </c>
      <c r="E2" s="6" t="s">
        <v>54</v>
      </c>
      <c r="F2" s="6" t="s">
        <v>30</v>
      </c>
      <c r="G2" s="7" t="s">
        <v>56</v>
      </c>
      <c r="H2" s="11" t="s">
        <v>98</v>
      </c>
      <c r="I2" s="8" t="s">
        <v>70</v>
      </c>
      <c r="J2" s="9" t="s">
        <v>1</v>
      </c>
    </row>
    <row r="3" spans="1:10" s="10" customFormat="1" ht="16.8">
      <c r="A3" s="73" t="s">
        <v>58</v>
      </c>
      <c r="B3" s="74">
        <f>9+2</f>
        <v>11</v>
      </c>
      <c r="C3" s="75" t="s">
        <v>24</v>
      </c>
      <c r="D3" s="75" t="str">
        <f>IF(C3="Str",'Personal File'!$C$12,IF(C3="Dex",'Personal File'!$C$13,IF(C3="Con",'Personal File'!$C$14,IF(C3="Int",'Personal File'!$C$15,IF(C3="Wis",'Personal File'!$C$16,IF(C3="Cha",'Personal File'!$C$17))))))</f>
        <v>+2</v>
      </c>
      <c r="E3" s="76" t="str">
        <f t="shared" ref="E3:E5" si="0">CONCATENATE(C3," (",D3,")")</f>
        <v>Con (+2)</v>
      </c>
      <c r="F3" s="77">
        <v>1</v>
      </c>
      <c r="G3" s="78">
        <f t="shared" ref="G3:G41" si="1">B3+D3+F3</f>
        <v>14</v>
      </c>
      <c r="H3" s="79">
        <f t="shared" ref="H3:H5" ca="1" si="2">RANDBETWEEN(1,20)</f>
        <v>16</v>
      </c>
      <c r="I3" s="80">
        <f t="shared" ref="I3:I5" ca="1" si="3">SUM(G3:H3)</f>
        <v>30</v>
      </c>
      <c r="J3" s="81" t="s">
        <v>123</v>
      </c>
    </row>
    <row r="4" spans="1:10" s="10" customFormat="1" ht="16.8">
      <c r="A4" s="82" t="s">
        <v>59</v>
      </c>
      <c r="B4" s="74">
        <f>6+2</f>
        <v>8</v>
      </c>
      <c r="C4" s="75" t="s">
        <v>27</v>
      </c>
      <c r="D4" s="75" t="str">
        <f>IF(C4="Str",'Personal File'!$C$12,IF(C4="Dex",'Personal File'!$C$13,IF(C4="Con",'Personal File'!$C$14,IF(C4="Int",'Personal File'!$C$15,IF(C4="Wis",'Personal File'!$C$16,IF(C4="Cha",'Personal File'!$C$17))))))</f>
        <v>+4</v>
      </c>
      <c r="E4" s="83" t="str">
        <f t="shared" si="0"/>
        <v>Dex (+4)</v>
      </c>
      <c r="F4" s="77">
        <v>1</v>
      </c>
      <c r="G4" s="78">
        <f t="shared" si="1"/>
        <v>13</v>
      </c>
      <c r="H4" s="79">
        <f t="shared" ca="1" si="2"/>
        <v>20</v>
      </c>
      <c r="I4" s="80">
        <f t="shared" ca="1" si="3"/>
        <v>33</v>
      </c>
      <c r="J4" s="81" t="s">
        <v>123</v>
      </c>
    </row>
    <row r="5" spans="1:10" s="10" customFormat="1" ht="16.8">
      <c r="A5" s="84" t="s">
        <v>60</v>
      </c>
      <c r="B5" s="85">
        <f>4+0</f>
        <v>4</v>
      </c>
      <c r="C5" s="86" t="s">
        <v>26</v>
      </c>
      <c r="D5" s="86" t="str">
        <f>IF(C5="Str",'Personal File'!$C$12,IF(C5="Dex",'Personal File'!$C$13,IF(C5="Con",'Personal File'!$C$14,IF(C5="Int",'Personal File'!$C$15,IF(C5="Wis",'Personal File'!$C$16,IF(C5="Cha",'Personal File'!$C$17))))))</f>
        <v>+1</v>
      </c>
      <c r="E5" s="87" t="str">
        <f t="shared" si="0"/>
        <v>Wis (+1)</v>
      </c>
      <c r="F5" s="88">
        <v>1</v>
      </c>
      <c r="G5" s="89">
        <f t="shared" si="1"/>
        <v>6</v>
      </c>
      <c r="H5" s="90">
        <f t="shared" ca="1" si="2"/>
        <v>3</v>
      </c>
      <c r="I5" s="91">
        <f t="shared" ca="1" si="3"/>
        <v>9</v>
      </c>
      <c r="J5" s="92" t="s">
        <v>123</v>
      </c>
    </row>
    <row r="6" spans="1:10" s="100" customFormat="1" ht="16.8">
      <c r="A6" s="93" t="s">
        <v>31</v>
      </c>
      <c r="B6" s="94">
        <v>0</v>
      </c>
      <c r="C6" s="95" t="s">
        <v>25</v>
      </c>
      <c r="D6" s="96">
        <f>IF(C6="Str",'Personal File'!$C$12,IF(C6="Dex",'Personal File'!$C$13,IF(C6="Con",'Personal File'!$C$14,IF(C6="Int",'Personal File'!$C$15,IF(C6="Wis",'Personal File'!$C$16,IF(C6="Cha",'Personal File'!$C$17))))))</f>
        <v>-2</v>
      </c>
      <c r="E6" s="97" t="str">
        <f t="shared" ref="E6:E41" si="4">CONCATENATE(C6," (",D6,")")</f>
        <v>Int (-2)</v>
      </c>
      <c r="F6" s="98" t="s">
        <v>55</v>
      </c>
      <c r="G6" s="98">
        <f t="shared" si="1"/>
        <v>-2</v>
      </c>
      <c r="H6" s="79">
        <f ca="1">RANDBETWEEN(1,20)</f>
        <v>8</v>
      </c>
      <c r="I6" s="98">
        <f t="shared" ref="I6:I7" ca="1" si="5">SUM(G6:H6)</f>
        <v>6</v>
      </c>
      <c r="J6" s="99"/>
    </row>
    <row r="7" spans="1:10" s="108" customFormat="1" ht="16.8">
      <c r="A7" s="101" t="s">
        <v>32</v>
      </c>
      <c r="B7" s="102">
        <v>5</v>
      </c>
      <c r="C7" s="103" t="s">
        <v>27</v>
      </c>
      <c r="D7" s="104" t="str">
        <f>IF(C7="Str",'Personal File'!$C$12,IF(C7="Dex",'Personal File'!$C$13,IF(C7="Con",'Personal File'!$C$14,IF(C7="Int",'Personal File'!$C$15,IF(C7="Wis",'Personal File'!$C$16,IF(C7="Cha",'Personal File'!$C$17))))))</f>
        <v>+4</v>
      </c>
      <c r="E7" s="105" t="str">
        <f t="shared" si="4"/>
        <v>Dex (+4)</v>
      </c>
      <c r="F7" s="106" t="s">
        <v>116</v>
      </c>
      <c r="G7" s="106">
        <f t="shared" si="1"/>
        <v>11</v>
      </c>
      <c r="H7" s="79">
        <f ca="1">RANDBETWEEN(1,20)</f>
        <v>19</v>
      </c>
      <c r="I7" s="106">
        <f t="shared" ca="1" si="5"/>
        <v>30</v>
      </c>
      <c r="J7" s="107"/>
    </row>
    <row r="8" spans="1:10" s="113" customFormat="1" ht="16.8">
      <c r="A8" s="109" t="s">
        <v>33</v>
      </c>
      <c r="B8" s="94">
        <v>0</v>
      </c>
      <c r="C8" s="110" t="s">
        <v>23</v>
      </c>
      <c r="D8" s="111" t="str">
        <f>IF(C8="Str",'Personal File'!$C$12,IF(C8="Dex",'Personal File'!$C$13,IF(C8="Con",'Personal File'!$C$14,IF(C8="Int",'Personal File'!$C$15,IF(C8="Wis",'Personal File'!$C$16,IF(C8="Cha",'Personal File'!$C$17))))))</f>
        <v>+0</v>
      </c>
      <c r="E8" s="112" t="str">
        <f t="shared" si="4"/>
        <v>Cha (+0)</v>
      </c>
      <c r="F8" s="98" t="s">
        <v>55</v>
      </c>
      <c r="G8" s="98">
        <f t="shared" si="1"/>
        <v>0</v>
      </c>
      <c r="H8" s="79">
        <f t="shared" ref="H8:H41" ca="1" si="6">RANDBETWEEN(1,20)</f>
        <v>3</v>
      </c>
      <c r="I8" s="98">
        <f t="shared" ref="I8:I41" ca="1" si="7">SUM(G8:H8)</f>
        <v>3</v>
      </c>
      <c r="J8" s="99"/>
    </row>
    <row r="9" spans="1:10" s="118" customFormat="1" ht="16.8">
      <c r="A9" s="114" t="s">
        <v>34</v>
      </c>
      <c r="B9" s="94">
        <v>0</v>
      </c>
      <c r="C9" s="115" t="s">
        <v>28</v>
      </c>
      <c r="D9" s="116" t="str">
        <f>IF(C9="Str",'Personal File'!$C$12,IF(C9="Dex",'Personal File'!$C$13,IF(C9="Con",'Personal File'!$C$14,IF(C9="Int",'Personal File'!$C$15,IF(C9="Wis",'Personal File'!$C$16,IF(C9="Cha",'Personal File'!$C$17))))))</f>
        <v>+0</v>
      </c>
      <c r="E9" s="117" t="str">
        <f t="shared" si="4"/>
        <v>Str (+0)</v>
      </c>
      <c r="F9" s="98" t="s">
        <v>55</v>
      </c>
      <c r="G9" s="98">
        <f t="shared" si="1"/>
        <v>0</v>
      </c>
      <c r="H9" s="79">
        <f t="shared" ca="1" si="6"/>
        <v>15</v>
      </c>
      <c r="I9" s="98">
        <f t="shared" ca="1" si="7"/>
        <v>15</v>
      </c>
      <c r="J9" s="99"/>
    </row>
    <row r="10" spans="1:10" s="118" customFormat="1" ht="16.8">
      <c r="A10" s="119" t="s">
        <v>9</v>
      </c>
      <c r="B10" s="94">
        <v>0</v>
      </c>
      <c r="C10" s="120" t="s">
        <v>24</v>
      </c>
      <c r="D10" s="121" t="str">
        <f>IF(C10="Str",'Personal File'!$C$12,IF(C10="Dex",'Personal File'!$C$13,IF(C10="Con",'Personal File'!$C$14,IF(C10="Int",'Personal File'!$C$15,IF(C10="Wis",'Personal File'!$C$16,IF(C10="Cha",'Personal File'!$C$17))))))</f>
        <v>+2</v>
      </c>
      <c r="E10" s="122" t="str">
        <f t="shared" si="4"/>
        <v>Con (+2)</v>
      </c>
      <c r="F10" s="98" t="s">
        <v>55</v>
      </c>
      <c r="G10" s="98">
        <f t="shared" si="1"/>
        <v>2</v>
      </c>
      <c r="H10" s="79">
        <f t="shared" ca="1" si="6"/>
        <v>20</v>
      </c>
      <c r="I10" s="98">
        <f t="shared" ca="1" si="7"/>
        <v>22</v>
      </c>
      <c r="J10" s="99"/>
    </row>
    <row r="11" spans="1:10" s="100" customFormat="1" ht="16.8">
      <c r="A11" s="93" t="s">
        <v>120</v>
      </c>
      <c r="B11" s="94">
        <v>0</v>
      </c>
      <c r="C11" s="95" t="s">
        <v>25</v>
      </c>
      <c r="D11" s="96">
        <f>IF(C11="Str",'Personal File'!$C$12,IF(C11="Dex",'Personal File'!$C$13,IF(C11="Con",'Personal File'!$C$14,IF(C11="Int",'Personal File'!$C$15,IF(C11="Wis",'Personal File'!$C$16,IF(C11="Cha",'Personal File'!$C$17))))))</f>
        <v>-2</v>
      </c>
      <c r="E11" s="97" t="str">
        <f t="shared" si="4"/>
        <v>Int (-2)</v>
      </c>
      <c r="F11" s="98" t="s">
        <v>55</v>
      </c>
      <c r="G11" s="98">
        <f t="shared" si="1"/>
        <v>-2</v>
      </c>
      <c r="H11" s="79">
        <f t="shared" ca="1" si="6"/>
        <v>4</v>
      </c>
      <c r="I11" s="98">
        <f t="shared" ca="1" si="7"/>
        <v>2</v>
      </c>
      <c r="J11" s="99"/>
    </row>
    <row r="12" spans="1:10" s="130" customFormat="1" ht="16.8">
      <c r="A12" s="123" t="s">
        <v>35</v>
      </c>
      <c r="B12" s="124">
        <v>0</v>
      </c>
      <c r="C12" s="125" t="s">
        <v>25</v>
      </c>
      <c r="D12" s="126">
        <f>IF(C12="Str",'Personal File'!$C$12,IF(C12="Dex",'Personal File'!$C$13,IF(C12="Con",'Personal File'!$C$14,IF(C12="Int",'Personal File'!$C$15,IF(C12="Wis",'Personal File'!$C$16,IF(C12="Cha",'Personal File'!$C$17))))))</f>
        <v>-2</v>
      </c>
      <c r="E12" s="127" t="str">
        <f t="shared" si="4"/>
        <v>Int (-2)</v>
      </c>
      <c r="F12" s="128" t="s">
        <v>55</v>
      </c>
      <c r="G12" s="128">
        <f t="shared" si="1"/>
        <v>-2</v>
      </c>
      <c r="H12" s="79">
        <f t="shared" ca="1" si="6"/>
        <v>15</v>
      </c>
      <c r="I12" s="128">
        <f t="shared" ca="1" si="7"/>
        <v>13</v>
      </c>
      <c r="J12" s="129"/>
    </row>
    <row r="13" spans="1:10" s="108" customFormat="1" ht="16.8">
      <c r="A13" s="109" t="s">
        <v>36</v>
      </c>
      <c r="B13" s="94">
        <v>0</v>
      </c>
      <c r="C13" s="110" t="s">
        <v>23</v>
      </c>
      <c r="D13" s="111" t="str">
        <f>IF(C13="Str",'Personal File'!$C$12,IF(C13="Dex",'Personal File'!$C$13,IF(C13="Con",'Personal File'!$C$14,IF(C13="Int",'Personal File'!$C$15,IF(C13="Wis",'Personal File'!$C$16,IF(C13="Cha",'Personal File'!$C$17))))))</f>
        <v>+0</v>
      </c>
      <c r="E13" s="112" t="str">
        <f t="shared" si="4"/>
        <v>Cha (+0)</v>
      </c>
      <c r="F13" s="98" t="s">
        <v>55</v>
      </c>
      <c r="G13" s="98">
        <f t="shared" si="1"/>
        <v>0</v>
      </c>
      <c r="H13" s="79">
        <f t="shared" ca="1" si="6"/>
        <v>15</v>
      </c>
      <c r="I13" s="98">
        <f t="shared" ca="1" si="7"/>
        <v>15</v>
      </c>
      <c r="J13" s="99"/>
    </row>
    <row r="14" spans="1:10" s="108" customFormat="1" ht="16.8">
      <c r="A14" s="123" t="s">
        <v>37</v>
      </c>
      <c r="B14" s="124">
        <v>0</v>
      </c>
      <c r="C14" s="125" t="s">
        <v>25</v>
      </c>
      <c r="D14" s="126">
        <f>IF(C14="Str",'Personal File'!$C$12,IF(C14="Dex",'Personal File'!$C$13,IF(C14="Con",'Personal File'!$C$14,IF(C14="Int",'Personal File'!$C$15,IF(C14="Wis",'Personal File'!$C$16,IF(C14="Cha",'Personal File'!$C$17))))))</f>
        <v>-2</v>
      </c>
      <c r="E14" s="127" t="str">
        <f t="shared" si="4"/>
        <v>Int (-2)</v>
      </c>
      <c r="F14" s="128" t="s">
        <v>55</v>
      </c>
      <c r="G14" s="128">
        <f t="shared" si="1"/>
        <v>-2</v>
      </c>
      <c r="H14" s="79">
        <f t="shared" ca="1" si="6"/>
        <v>2</v>
      </c>
      <c r="I14" s="128">
        <f t="shared" ref="I14" ca="1" si="8">SUM(G14:H14)</f>
        <v>0</v>
      </c>
      <c r="J14" s="129"/>
    </row>
    <row r="15" spans="1:10" s="108" customFormat="1" ht="16.8">
      <c r="A15" s="109" t="s">
        <v>38</v>
      </c>
      <c r="B15" s="94">
        <v>0</v>
      </c>
      <c r="C15" s="110" t="s">
        <v>23</v>
      </c>
      <c r="D15" s="111" t="str">
        <f>IF(C15="Str",'Personal File'!$C$12,IF(C15="Dex",'Personal File'!$C$13,IF(C15="Con",'Personal File'!$C$14,IF(C15="Int",'Personal File'!$C$15,IF(C15="Wis",'Personal File'!$C$16,IF(C15="Cha",'Personal File'!$C$17))))))</f>
        <v>+0</v>
      </c>
      <c r="E15" s="112" t="str">
        <f t="shared" si="4"/>
        <v>Cha (+0)</v>
      </c>
      <c r="F15" s="98" t="s">
        <v>55</v>
      </c>
      <c r="G15" s="98">
        <f t="shared" si="1"/>
        <v>0</v>
      </c>
      <c r="H15" s="79">
        <f t="shared" ca="1" si="6"/>
        <v>16</v>
      </c>
      <c r="I15" s="98">
        <f t="shared" ca="1" si="7"/>
        <v>16</v>
      </c>
      <c r="J15" s="99"/>
    </row>
    <row r="16" spans="1:10" s="108" customFormat="1" ht="16.8">
      <c r="A16" s="101" t="s">
        <v>39</v>
      </c>
      <c r="B16" s="102">
        <v>1</v>
      </c>
      <c r="C16" s="103" t="s">
        <v>27</v>
      </c>
      <c r="D16" s="104" t="str">
        <f>IF(C16="Str",'Personal File'!$C$12,IF(C16="Dex",'Personal File'!$C$13,IF(C16="Con",'Personal File'!$C$14,IF(C16="Int",'Personal File'!$C$15,IF(C16="Wis",'Personal File'!$C$16,IF(C16="Cha",'Personal File'!$C$17))))))</f>
        <v>+4</v>
      </c>
      <c r="E16" s="105" t="str">
        <f t="shared" si="4"/>
        <v>Dex (+4)</v>
      </c>
      <c r="F16" s="106" t="s">
        <v>55</v>
      </c>
      <c r="G16" s="106">
        <f t="shared" si="1"/>
        <v>5</v>
      </c>
      <c r="H16" s="79">
        <f t="shared" ca="1" si="6"/>
        <v>17</v>
      </c>
      <c r="I16" s="106">
        <f t="shared" ca="1" si="7"/>
        <v>22</v>
      </c>
      <c r="J16" s="107"/>
    </row>
    <row r="17" spans="1:10" s="108" customFormat="1" ht="16.8">
      <c r="A17" s="93" t="s">
        <v>40</v>
      </c>
      <c r="B17" s="94">
        <v>0</v>
      </c>
      <c r="C17" s="95" t="s">
        <v>25</v>
      </c>
      <c r="D17" s="96">
        <f>IF(C17="Str",'Personal File'!$C$12,IF(C17="Dex",'Personal File'!$C$13,IF(C17="Con",'Personal File'!$C$14,IF(C17="Int",'Personal File'!$C$15,IF(C17="Wis",'Personal File'!$C$16,IF(C17="Cha",'Personal File'!$C$17))))))</f>
        <v>-2</v>
      </c>
      <c r="E17" s="97" t="str">
        <f t="shared" si="4"/>
        <v>Int (-2)</v>
      </c>
      <c r="F17" s="98" t="s">
        <v>55</v>
      </c>
      <c r="G17" s="98">
        <f t="shared" si="1"/>
        <v>-2</v>
      </c>
      <c r="H17" s="79">
        <f t="shared" ca="1" si="6"/>
        <v>3</v>
      </c>
      <c r="I17" s="98">
        <f t="shared" ca="1" si="7"/>
        <v>1</v>
      </c>
      <c r="J17" s="99"/>
    </row>
    <row r="18" spans="1:10" s="108" customFormat="1" ht="16.8">
      <c r="A18" s="109" t="s">
        <v>41</v>
      </c>
      <c r="B18" s="94">
        <v>0</v>
      </c>
      <c r="C18" s="110" t="s">
        <v>23</v>
      </c>
      <c r="D18" s="111" t="str">
        <f>IF(C18="Str",'Personal File'!$C$12,IF(C18="Dex",'Personal File'!$C$13,IF(C18="Con",'Personal File'!$C$14,IF(C18="Int",'Personal File'!$C$15,IF(C18="Wis",'Personal File'!$C$16,IF(C18="Cha",'Personal File'!$C$17))))))</f>
        <v>+0</v>
      </c>
      <c r="E18" s="112" t="str">
        <f t="shared" si="4"/>
        <v>Cha (+0)</v>
      </c>
      <c r="F18" s="98" t="s">
        <v>55</v>
      </c>
      <c r="G18" s="98">
        <f t="shared" si="1"/>
        <v>0</v>
      </c>
      <c r="H18" s="79">
        <f t="shared" ca="1" si="6"/>
        <v>12</v>
      </c>
      <c r="I18" s="98">
        <f t="shared" ca="1" si="7"/>
        <v>12</v>
      </c>
      <c r="J18" s="99"/>
    </row>
    <row r="19" spans="1:10" s="108" customFormat="1" ht="16.8">
      <c r="A19" s="109" t="s">
        <v>11</v>
      </c>
      <c r="B19" s="94">
        <v>0</v>
      </c>
      <c r="C19" s="110" t="s">
        <v>23</v>
      </c>
      <c r="D19" s="111" t="str">
        <f>IF(C19="Str",'Personal File'!$C$12,IF(C19="Dex",'Personal File'!$C$13,IF(C19="Con",'Personal File'!$C$14,IF(C19="Int",'Personal File'!$C$15,IF(C19="Wis",'Personal File'!$C$16,IF(C19="Cha",'Personal File'!$C$17))))))</f>
        <v>+0</v>
      </c>
      <c r="E19" s="112" t="str">
        <f t="shared" si="4"/>
        <v>Cha (+0)</v>
      </c>
      <c r="F19" s="98" t="s">
        <v>55</v>
      </c>
      <c r="G19" s="98">
        <f t="shared" si="1"/>
        <v>0</v>
      </c>
      <c r="H19" s="79">
        <f t="shared" ca="1" si="6"/>
        <v>11</v>
      </c>
      <c r="I19" s="98">
        <f t="shared" ca="1" si="7"/>
        <v>11</v>
      </c>
      <c r="J19" s="99"/>
    </row>
    <row r="20" spans="1:10" s="108" customFormat="1" ht="16.8">
      <c r="A20" s="131" t="s">
        <v>42</v>
      </c>
      <c r="B20" s="94">
        <v>0</v>
      </c>
      <c r="C20" s="132" t="s">
        <v>26</v>
      </c>
      <c r="D20" s="133" t="str">
        <f>IF(C20="Str",'Personal File'!$C$12,IF(C20="Dex",'Personal File'!$C$13,IF(C20="Con",'Personal File'!$C$14,IF(C20="Int",'Personal File'!$C$15,IF(C20="Wis",'Personal File'!$C$16,IF(C20="Cha",'Personal File'!$C$17))))))</f>
        <v>+1</v>
      </c>
      <c r="E20" s="134" t="str">
        <f t="shared" si="4"/>
        <v>Wis (+1)</v>
      </c>
      <c r="F20" s="98" t="s">
        <v>55</v>
      </c>
      <c r="G20" s="98">
        <f t="shared" si="1"/>
        <v>1</v>
      </c>
      <c r="H20" s="79">
        <f t="shared" ca="1" si="6"/>
        <v>1</v>
      </c>
      <c r="I20" s="98">
        <f t="shared" ca="1" si="7"/>
        <v>2</v>
      </c>
      <c r="J20" s="99"/>
    </row>
    <row r="21" spans="1:10" s="108" customFormat="1" ht="16.8">
      <c r="A21" s="101" t="s">
        <v>43</v>
      </c>
      <c r="B21" s="102">
        <v>1</v>
      </c>
      <c r="C21" s="103" t="s">
        <v>27</v>
      </c>
      <c r="D21" s="104" t="str">
        <f>IF(C21="Str",'Personal File'!$C$12,IF(C21="Dex",'Personal File'!$C$13,IF(C21="Con",'Personal File'!$C$14,IF(C21="Int",'Personal File'!$C$15,IF(C21="Wis",'Personal File'!$C$16,IF(C21="Cha",'Personal File'!$C$17))))))</f>
        <v>+4</v>
      </c>
      <c r="E21" s="105" t="str">
        <f t="shared" si="4"/>
        <v>Dex (+4)</v>
      </c>
      <c r="F21" s="106" t="s">
        <v>55</v>
      </c>
      <c r="G21" s="106">
        <f t="shared" si="1"/>
        <v>5</v>
      </c>
      <c r="H21" s="79">
        <f t="shared" ca="1" si="6"/>
        <v>19</v>
      </c>
      <c r="I21" s="106">
        <f t="shared" ca="1" si="7"/>
        <v>24</v>
      </c>
      <c r="J21" s="107"/>
    </row>
    <row r="22" spans="1:10" s="108" customFormat="1" ht="16.8">
      <c r="A22" s="109" t="s">
        <v>44</v>
      </c>
      <c r="B22" s="94">
        <v>0</v>
      </c>
      <c r="C22" s="110" t="s">
        <v>23</v>
      </c>
      <c r="D22" s="111" t="str">
        <f>IF(C22="Str",'Personal File'!$C$12,IF(C22="Dex",'Personal File'!$C$13,IF(C22="Con",'Personal File'!$C$14,IF(C22="Int",'Personal File'!$C$15,IF(C22="Wis",'Personal File'!$C$16,IF(C22="Cha",'Personal File'!$C$17))))))</f>
        <v>+0</v>
      </c>
      <c r="E22" s="112" t="str">
        <f t="shared" si="4"/>
        <v>Cha (+0)</v>
      </c>
      <c r="F22" s="98" t="s">
        <v>55</v>
      </c>
      <c r="G22" s="98">
        <f t="shared" si="1"/>
        <v>0</v>
      </c>
      <c r="H22" s="79">
        <f t="shared" ca="1" si="6"/>
        <v>9</v>
      </c>
      <c r="I22" s="98">
        <f t="shared" ca="1" si="7"/>
        <v>9</v>
      </c>
      <c r="J22" s="99"/>
    </row>
    <row r="23" spans="1:10" s="108" customFormat="1" ht="16.8">
      <c r="A23" s="135" t="s">
        <v>45</v>
      </c>
      <c r="B23" s="102">
        <v>6</v>
      </c>
      <c r="C23" s="136" t="s">
        <v>28</v>
      </c>
      <c r="D23" s="137" t="str">
        <f>IF(C23="Str",'Personal File'!$C$12,IF(C23="Dex",'Personal File'!$C$13,IF(C23="Con",'Personal File'!$C$14,IF(C23="Int",'Personal File'!$C$15,IF(C23="Wis",'Personal File'!$C$16,IF(C23="Cha",'Personal File'!$C$17))))))</f>
        <v>+0</v>
      </c>
      <c r="E23" s="138" t="str">
        <f t="shared" si="4"/>
        <v>Str (+0)</v>
      </c>
      <c r="F23" s="369">
        <f>2+2</f>
        <v>4</v>
      </c>
      <c r="G23" s="106">
        <f t="shared" si="1"/>
        <v>10</v>
      </c>
      <c r="H23" s="79">
        <f t="shared" ca="1" si="6"/>
        <v>12</v>
      </c>
      <c r="I23" s="106">
        <f t="shared" ca="1" si="7"/>
        <v>22</v>
      </c>
      <c r="J23" s="107"/>
    </row>
    <row r="24" spans="1:10" s="108" customFormat="1" ht="16.8">
      <c r="A24" s="261" t="s">
        <v>177</v>
      </c>
      <c r="B24" s="102">
        <v>2</v>
      </c>
      <c r="C24" s="262" t="s">
        <v>25</v>
      </c>
      <c r="D24" s="263">
        <f>IF(C24="Str",'Personal File'!$C$12,IF(C24="Dex",'Personal File'!$C$13,IF(C24="Con",'Personal File'!$C$14,IF(C24="Int",'Personal File'!$C$15,IF(C24="Wis",'Personal File'!$C$16,IF(C24="Cha",'Personal File'!$C$17))))))</f>
        <v>-2</v>
      </c>
      <c r="E24" s="264" t="str">
        <f t="shared" si="4"/>
        <v>Int (-2)</v>
      </c>
      <c r="F24" s="106" t="s">
        <v>55</v>
      </c>
      <c r="G24" s="106">
        <f t="shared" si="1"/>
        <v>0</v>
      </c>
      <c r="H24" s="79">
        <f t="shared" ca="1" si="6"/>
        <v>9</v>
      </c>
      <c r="I24" s="106">
        <f t="shared" ca="1" si="7"/>
        <v>9</v>
      </c>
      <c r="J24" s="107"/>
    </row>
    <row r="25" spans="1:10" s="108" customFormat="1" ht="16.8">
      <c r="A25" s="139" t="s">
        <v>46</v>
      </c>
      <c r="B25" s="102">
        <v>2</v>
      </c>
      <c r="C25" s="140" t="s">
        <v>26</v>
      </c>
      <c r="D25" s="141" t="str">
        <f>IF(C25="Str",'Personal File'!$C$12,IF(C25="Dex",'Personal File'!$C$13,IF(C25="Con",'Personal File'!$C$14,IF(C25="Int",'Personal File'!$C$15,IF(C25="Wis",'Personal File'!$C$16,IF(C25="Cha",'Personal File'!$C$17))))))</f>
        <v>+1</v>
      </c>
      <c r="E25" s="142" t="str">
        <f t="shared" si="4"/>
        <v>Wis (+1)</v>
      </c>
      <c r="F25" s="106" t="s">
        <v>116</v>
      </c>
      <c r="G25" s="106">
        <f t="shared" si="1"/>
        <v>5</v>
      </c>
      <c r="H25" s="79">
        <f t="shared" ca="1" si="6"/>
        <v>1</v>
      </c>
      <c r="I25" s="106">
        <f t="shared" ca="1" si="7"/>
        <v>6</v>
      </c>
      <c r="J25" s="107"/>
    </row>
    <row r="26" spans="1:10" s="108" customFormat="1" ht="16.8">
      <c r="A26" s="101" t="s">
        <v>12</v>
      </c>
      <c r="B26" s="102">
        <v>3</v>
      </c>
      <c r="C26" s="103" t="s">
        <v>27</v>
      </c>
      <c r="D26" s="104" t="str">
        <f>IF(C26="Str",'Personal File'!$C$12,IF(C26="Dex",'Personal File'!$C$13,IF(C26="Con",'Personal File'!$C$14,IF(C26="Int",'Personal File'!$C$15,IF(C26="Wis",'Personal File'!$C$16,IF(C26="Cha",'Personal File'!$C$17))))))</f>
        <v>+4</v>
      </c>
      <c r="E26" s="105" t="str">
        <f t="shared" si="4"/>
        <v>Dex (+4)</v>
      </c>
      <c r="F26" s="106" t="s">
        <v>55</v>
      </c>
      <c r="G26" s="106">
        <f t="shared" si="1"/>
        <v>7</v>
      </c>
      <c r="H26" s="79">
        <f t="shared" ca="1" si="6"/>
        <v>19</v>
      </c>
      <c r="I26" s="106">
        <f t="shared" ca="1" si="7"/>
        <v>26</v>
      </c>
      <c r="J26" s="107"/>
    </row>
    <row r="27" spans="1:10" s="108" customFormat="1" ht="16.8">
      <c r="A27" s="143" t="s">
        <v>47</v>
      </c>
      <c r="B27" s="124">
        <v>0</v>
      </c>
      <c r="C27" s="144" t="s">
        <v>27</v>
      </c>
      <c r="D27" s="145" t="str">
        <f>IF(C27="Str",'Personal File'!$C$12,IF(C27="Dex",'Personal File'!$C$13,IF(C27="Con",'Personal File'!$C$14,IF(C27="Int",'Personal File'!$C$15,IF(C27="Wis",'Personal File'!$C$16,IF(C27="Cha",'Personal File'!$C$17))))))</f>
        <v>+4</v>
      </c>
      <c r="E27" s="146" t="str">
        <f t="shared" si="4"/>
        <v>Dex (+4)</v>
      </c>
      <c r="F27" s="128" t="s">
        <v>55</v>
      </c>
      <c r="G27" s="128">
        <f t="shared" si="1"/>
        <v>4</v>
      </c>
      <c r="H27" s="79">
        <f t="shared" ca="1" si="6"/>
        <v>17</v>
      </c>
      <c r="I27" s="128">
        <f t="shared" ref="I27" ca="1" si="9">SUM(G27:H27)</f>
        <v>21</v>
      </c>
      <c r="J27" s="129"/>
    </row>
    <row r="28" spans="1:10" ht="16.8">
      <c r="A28" s="109" t="s">
        <v>119</v>
      </c>
      <c r="B28" s="94">
        <v>0</v>
      </c>
      <c r="C28" s="110" t="s">
        <v>23</v>
      </c>
      <c r="D28" s="111" t="str">
        <f>IF(C28="Str",'Personal File'!$C$12,IF(C28="Dex",'Personal File'!$C$13,IF(C28="Con",'Personal File'!$C$14,IF(C28="Int",'Personal File'!$C$15,IF(C28="Wis",'Personal File'!$C$16,IF(C28="Cha",'Personal File'!$C$17))))))</f>
        <v>+0</v>
      </c>
      <c r="E28" s="112" t="str">
        <f t="shared" si="4"/>
        <v>Cha (+0)</v>
      </c>
      <c r="F28" s="98" t="s">
        <v>55</v>
      </c>
      <c r="G28" s="98">
        <f t="shared" si="1"/>
        <v>0</v>
      </c>
      <c r="H28" s="79">
        <f t="shared" ca="1" si="6"/>
        <v>9</v>
      </c>
      <c r="I28" s="98">
        <f t="shared" ca="1" si="7"/>
        <v>9</v>
      </c>
      <c r="J28" s="99"/>
    </row>
    <row r="29" spans="1:10" ht="16.8">
      <c r="A29" s="147" t="s">
        <v>118</v>
      </c>
      <c r="B29" s="102">
        <v>1</v>
      </c>
      <c r="C29" s="140" t="s">
        <v>26</v>
      </c>
      <c r="D29" s="141" t="str">
        <f>IF(C29="Str",'Personal File'!$C$12,IF(C29="Dex",'Personal File'!$C$13,IF(C29="Con",'Personal File'!$C$14,IF(C29="Int",'Personal File'!$C$15,IF(C29="Wis",'Personal File'!$C$16,IF(C29="Cha",'Personal File'!$C$17))))))</f>
        <v>+1</v>
      </c>
      <c r="E29" s="142" t="str">
        <f t="shared" ref="E29" si="10">CONCATENATE(C29," (",D29,")")</f>
        <v>Wis (+1)</v>
      </c>
      <c r="F29" s="106" t="s">
        <v>55</v>
      </c>
      <c r="G29" s="106">
        <f t="shared" si="1"/>
        <v>2</v>
      </c>
      <c r="H29" s="79">
        <f t="shared" ca="1" si="6"/>
        <v>4</v>
      </c>
      <c r="I29" s="106">
        <f t="shared" ca="1" si="7"/>
        <v>6</v>
      </c>
      <c r="J29" s="107"/>
    </row>
    <row r="30" spans="1:10" ht="16.8">
      <c r="A30" s="148" t="s">
        <v>13</v>
      </c>
      <c r="B30" s="94">
        <v>0</v>
      </c>
      <c r="C30" s="149" t="s">
        <v>27</v>
      </c>
      <c r="D30" s="150" t="str">
        <f>IF(C30="Str",'Personal File'!$C$12,IF(C30="Dex",'Personal File'!$C$13,IF(C30="Con",'Personal File'!$C$14,IF(C30="Int",'Personal File'!$C$15,IF(C30="Wis",'Personal File'!$C$16,IF(C30="Cha",'Personal File'!$C$17))))))</f>
        <v>+4</v>
      </c>
      <c r="E30" s="83" t="str">
        <f t="shared" si="4"/>
        <v>Dex (+4)</v>
      </c>
      <c r="F30" s="98" t="s">
        <v>55</v>
      </c>
      <c r="G30" s="98">
        <f t="shared" si="1"/>
        <v>4</v>
      </c>
      <c r="H30" s="79">
        <f t="shared" ca="1" si="6"/>
        <v>20</v>
      </c>
      <c r="I30" s="98">
        <f t="shared" ca="1" si="7"/>
        <v>24</v>
      </c>
      <c r="J30" s="99"/>
    </row>
    <row r="31" spans="1:10" ht="16.8">
      <c r="A31" s="93" t="s">
        <v>14</v>
      </c>
      <c r="B31" s="94">
        <v>0</v>
      </c>
      <c r="C31" s="95" t="s">
        <v>25</v>
      </c>
      <c r="D31" s="96">
        <f>IF(C31="Str",'Personal File'!$C$12,IF(C31="Dex",'Personal File'!$C$13,IF(C31="Con",'Personal File'!$C$14,IF(C31="Int",'Personal File'!$C$15,IF(C31="Wis",'Personal File'!$C$16,IF(C31="Cha",'Personal File'!$C$17))))))</f>
        <v>-2</v>
      </c>
      <c r="E31" s="97" t="str">
        <f t="shared" si="4"/>
        <v>Int (-2)</v>
      </c>
      <c r="F31" s="98" t="s">
        <v>55</v>
      </c>
      <c r="G31" s="98">
        <f t="shared" si="1"/>
        <v>-2</v>
      </c>
      <c r="H31" s="79">
        <f t="shared" ca="1" si="6"/>
        <v>13</v>
      </c>
      <c r="I31" s="98">
        <f t="shared" ca="1" si="7"/>
        <v>11</v>
      </c>
      <c r="J31" s="99"/>
    </row>
    <row r="32" spans="1:10" ht="16.8">
      <c r="A32" s="139" t="s">
        <v>48</v>
      </c>
      <c r="B32" s="102">
        <v>1</v>
      </c>
      <c r="C32" s="140" t="s">
        <v>26</v>
      </c>
      <c r="D32" s="141" t="str">
        <f>IF(C32="Str",'Personal File'!$C$12,IF(C32="Dex",'Personal File'!$C$13,IF(C32="Con",'Personal File'!$C$14,IF(C32="Int",'Personal File'!$C$15,IF(C32="Wis",'Personal File'!$C$16,IF(C32="Cha",'Personal File'!$C$17))))))</f>
        <v>+1</v>
      </c>
      <c r="E32" s="142" t="str">
        <f t="shared" si="4"/>
        <v>Wis (+1)</v>
      </c>
      <c r="F32" s="106" t="s">
        <v>55</v>
      </c>
      <c r="G32" s="106">
        <f t="shared" si="1"/>
        <v>2</v>
      </c>
      <c r="H32" s="79">
        <f t="shared" ca="1" si="6"/>
        <v>13</v>
      </c>
      <c r="I32" s="106">
        <f t="shared" ca="1" si="7"/>
        <v>15</v>
      </c>
      <c r="J32" s="107"/>
    </row>
    <row r="33" spans="1:10" ht="16.8">
      <c r="A33" s="143" t="s">
        <v>74</v>
      </c>
      <c r="B33" s="124">
        <v>0</v>
      </c>
      <c r="C33" s="144" t="s">
        <v>27</v>
      </c>
      <c r="D33" s="145" t="str">
        <f>IF(C33="Str",'Personal File'!$C$12,IF(C33="Dex",'Personal File'!$C$13,IF(C33="Con",'Personal File'!$C$14,IF(C33="Int",'Personal File'!$C$15,IF(C33="Wis",'Personal File'!$C$16,IF(C33="Cha",'Personal File'!$C$17))))))</f>
        <v>+4</v>
      </c>
      <c r="E33" s="146" t="str">
        <f t="shared" si="4"/>
        <v>Dex (+4)</v>
      </c>
      <c r="F33" s="128" t="s">
        <v>55</v>
      </c>
      <c r="G33" s="128">
        <f t="shared" si="1"/>
        <v>4</v>
      </c>
      <c r="H33" s="79">
        <f t="shared" ca="1" si="6"/>
        <v>17</v>
      </c>
      <c r="I33" s="128">
        <f t="shared" ref="I33:I35" ca="1" si="11">SUM(G33:H33)</f>
        <v>21</v>
      </c>
      <c r="J33" s="129"/>
    </row>
    <row r="34" spans="1:10" ht="16.8">
      <c r="A34" s="123" t="s">
        <v>73</v>
      </c>
      <c r="B34" s="124">
        <v>0</v>
      </c>
      <c r="C34" s="125" t="s">
        <v>25</v>
      </c>
      <c r="D34" s="126">
        <f>IF(C34="Str",'Personal File'!$C$12,IF(C34="Dex",'Personal File'!$C$13,IF(C34="Con",'Personal File'!$C$14,IF(C34="Int",'Personal File'!$C$15,IF(C34="Wis",'Personal File'!$C$16,IF(C34="Cha",'Personal File'!$C$17))))))</f>
        <v>-2</v>
      </c>
      <c r="E34" s="127" t="str">
        <f t="shared" si="4"/>
        <v>Int (-2)</v>
      </c>
      <c r="F34" s="128" t="s">
        <v>55</v>
      </c>
      <c r="G34" s="128">
        <f t="shared" si="1"/>
        <v>-2</v>
      </c>
      <c r="H34" s="79">
        <f t="shared" ca="1" si="6"/>
        <v>9</v>
      </c>
      <c r="I34" s="128">
        <f t="shared" ca="1" si="11"/>
        <v>7</v>
      </c>
      <c r="J34" s="151"/>
    </row>
    <row r="35" spans="1:10" ht="16.8">
      <c r="A35" s="123" t="s">
        <v>49</v>
      </c>
      <c r="B35" s="124">
        <v>0</v>
      </c>
      <c r="C35" s="125" t="s">
        <v>25</v>
      </c>
      <c r="D35" s="126">
        <f>IF(C35="Str",'Personal File'!$C$12,IF(C35="Dex",'Personal File'!$C$13,IF(C35="Con",'Personal File'!$C$14,IF(C35="Int",'Personal File'!$C$15,IF(C35="Wis",'Personal File'!$C$16,IF(C35="Cha",'Personal File'!$C$17))))))</f>
        <v>-2</v>
      </c>
      <c r="E35" s="127" t="str">
        <f t="shared" si="4"/>
        <v>Int (-2)</v>
      </c>
      <c r="F35" s="128" t="s">
        <v>55</v>
      </c>
      <c r="G35" s="128">
        <f t="shared" si="1"/>
        <v>-2</v>
      </c>
      <c r="H35" s="79">
        <f t="shared" ca="1" si="6"/>
        <v>20</v>
      </c>
      <c r="I35" s="128">
        <f t="shared" ca="1" si="11"/>
        <v>18</v>
      </c>
      <c r="J35" s="151"/>
    </row>
    <row r="36" spans="1:10" ht="16.8">
      <c r="A36" s="139" t="s">
        <v>50</v>
      </c>
      <c r="B36" s="102">
        <v>2</v>
      </c>
      <c r="C36" s="140" t="s">
        <v>26</v>
      </c>
      <c r="D36" s="141" t="str">
        <f>IF(C36="Str",'Personal File'!$C$12,IF(C36="Dex",'Personal File'!$C$13,IF(C36="Con",'Personal File'!$C$14,IF(C36="Int",'Personal File'!$C$15,IF(C36="Wis",'Personal File'!$C$16,IF(C36="Cha",'Personal File'!$C$17))))))</f>
        <v>+1</v>
      </c>
      <c r="E36" s="142" t="str">
        <f t="shared" si="4"/>
        <v>Wis (+1)</v>
      </c>
      <c r="F36" s="106" t="s">
        <v>116</v>
      </c>
      <c r="G36" s="106">
        <f t="shared" si="1"/>
        <v>5</v>
      </c>
      <c r="H36" s="79">
        <f t="shared" ca="1" si="6"/>
        <v>6</v>
      </c>
      <c r="I36" s="106">
        <f t="shared" ca="1" si="7"/>
        <v>11</v>
      </c>
      <c r="J36" s="107"/>
    </row>
    <row r="37" spans="1:10" ht="16.8">
      <c r="A37" s="131" t="s">
        <v>75</v>
      </c>
      <c r="B37" s="94">
        <v>0</v>
      </c>
      <c r="C37" s="132" t="s">
        <v>26</v>
      </c>
      <c r="D37" s="133" t="str">
        <f>IF(C37="Str",'Personal File'!$C$12,IF(C37="Dex",'Personal File'!$C$13,IF(C37="Con",'Personal File'!$C$14,IF(C37="Int",'Personal File'!$C$15,IF(C37="Wis",'Personal File'!$C$16,IF(C37="Cha",'Personal File'!$C$17))))))</f>
        <v>+1</v>
      </c>
      <c r="E37" s="134" t="str">
        <f t="shared" si="4"/>
        <v>Wis (+1)</v>
      </c>
      <c r="F37" s="98" t="s">
        <v>55</v>
      </c>
      <c r="G37" s="98">
        <f t="shared" si="1"/>
        <v>1</v>
      </c>
      <c r="H37" s="79">
        <f t="shared" ca="1" si="6"/>
        <v>2</v>
      </c>
      <c r="I37" s="98">
        <f t="shared" ca="1" si="7"/>
        <v>3</v>
      </c>
      <c r="J37" s="99"/>
    </row>
    <row r="38" spans="1:10" ht="16.8">
      <c r="A38" s="114" t="s">
        <v>15</v>
      </c>
      <c r="B38" s="94">
        <v>0</v>
      </c>
      <c r="C38" s="115" t="s">
        <v>28</v>
      </c>
      <c r="D38" s="116" t="str">
        <f>IF(C38="Str",'Personal File'!$C$12,IF(C38="Dex",'Personal File'!$C$13,IF(C38="Con",'Personal File'!$C$14,IF(C38="Int",'Personal File'!$C$15,IF(C38="Wis",'Personal File'!$C$16,IF(C38="Cha",'Personal File'!$C$17))))))</f>
        <v>+0</v>
      </c>
      <c r="E38" s="117" t="str">
        <f t="shared" si="4"/>
        <v>Str (+0)</v>
      </c>
      <c r="F38" s="98" t="s">
        <v>55</v>
      </c>
      <c r="G38" s="98">
        <f t="shared" si="1"/>
        <v>0</v>
      </c>
      <c r="H38" s="79">
        <f t="shared" ca="1" si="6"/>
        <v>14</v>
      </c>
      <c r="I38" s="98">
        <f t="shared" ca="1" si="7"/>
        <v>14</v>
      </c>
      <c r="J38" s="99"/>
    </row>
    <row r="39" spans="1:10" ht="16.8">
      <c r="A39" s="101" t="s">
        <v>51</v>
      </c>
      <c r="B39" s="102">
        <v>8</v>
      </c>
      <c r="C39" s="103" t="s">
        <v>27</v>
      </c>
      <c r="D39" s="104" t="str">
        <f>IF(C39="Str",'Personal File'!$C$12,IF(C39="Dex",'Personal File'!$C$13,IF(C39="Con",'Personal File'!$C$14,IF(C39="Int",'Personal File'!$C$15,IF(C39="Wis",'Personal File'!$C$16,IF(C39="Cha",'Personal File'!$C$17))))))</f>
        <v>+4</v>
      </c>
      <c r="E39" s="105" t="str">
        <f t="shared" si="4"/>
        <v>Dex (+4)</v>
      </c>
      <c r="F39" s="106" t="s">
        <v>116</v>
      </c>
      <c r="G39" s="106">
        <f t="shared" si="1"/>
        <v>14</v>
      </c>
      <c r="H39" s="79">
        <f t="shared" ca="1" si="6"/>
        <v>18</v>
      </c>
      <c r="I39" s="106">
        <f t="shared" ca="1" si="7"/>
        <v>32</v>
      </c>
      <c r="J39" s="107"/>
    </row>
    <row r="40" spans="1:10" ht="16.8">
      <c r="A40" s="152" t="s">
        <v>52</v>
      </c>
      <c r="B40" s="124">
        <v>0</v>
      </c>
      <c r="C40" s="153" t="s">
        <v>23</v>
      </c>
      <c r="D40" s="154" t="str">
        <f>IF(C40="Str",'Personal File'!$C$12,IF(C40="Dex",'Personal File'!$C$13,IF(C40="Con",'Personal File'!$C$14,IF(C40="Int",'Personal File'!$C$15,IF(C40="Wis",'Personal File'!$C$16,IF(C40="Cha",'Personal File'!$C$17))))))</f>
        <v>+0</v>
      </c>
      <c r="E40" s="155" t="str">
        <f t="shared" si="4"/>
        <v>Cha (+0)</v>
      </c>
      <c r="F40" s="128" t="s">
        <v>55</v>
      </c>
      <c r="G40" s="128">
        <f t="shared" si="1"/>
        <v>0</v>
      </c>
      <c r="H40" s="79">
        <f t="shared" ca="1" si="6"/>
        <v>4</v>
      </c>
      <c r="I40" s="128">
        <f t="shared" ref="I40" ca="1" si="12">SUM(G40:H40)</f>
        <v>4</v>
      </c>
      <c r="J40" s="129"/>
    </row>
    <row r="41" spans="1:10" ht="17.399999999999999" thickBot="1">
      <c r="A41" s="156" t="s">
        <v>53</v>
      </c>
      <c r="B41" s="157">
        <v>0</v>
      </c>
      <c r="C41" s="158" t="s">
        <v>27</v>
      </c>
      <c r="D41" s="159" t="str">
        <f>IF(C41="Str",'Personal File'!$C$12,IF(C41="Dex",'Personal File'!$C$13,IF(C41="Con",'Personal File'!$C$14,IF(C41="Int",'Personal File'!$C$15,IF(C41="Wis",'Personal File'!$C$16,IF(C41="Cha",'Personal File'!$C$17))))))</f>
        <v>+4</v>
      </c>
      <c r="E41" s="160" t="str">
        <f t="shared" si="4"/>
        <v>Dex (+4)</v>
      </c>
      <c r="F41" s="161" t="s">
        <v>55</v>
      </c>
      <c r="G41" s="161">
        <f t="shared" si="1"/>
        <v>4</v>
      </c>
      <c r="H41" s="162">
        <f t="shared" ca="1" si="6"/>
        <v>4</v>
      </c>
      <c r="I41" s="161">
        <f t="shared" ca="1" si="7"/>
        <v>8</v>
      </c>
      <c r="J41" s="163"/>
    </row>
    <row r="42" spans="1:10" ht="16.2" thickTop="1">
      <c r="A42" s="68" t="s">
        <v>200</v>
      </c>
      <c r="B42" s="164">
        <f>SUM(B6:B41)</f>
        <v>32</v>
      </c>
      <c r="E42" s="342">
        <f>SUM(E43:E51)</f>
        <v>14</v>
      </c>
      <c r="F42" s="165" t="s">
        <v>56</v>
      </c>
    </row>
    <row r="43" spans="1:10">
      <c r="A43" s="68" t="s">
        <v>156</v>
      </c>
      <c r="B43" s="164">
        <v>2</v>
      </c>
      <c r="E43" s="265">
        <f>4*(4+'Personal File'!$C$15)</f>
        <v>8</v>
      </c>
      <c r="F43" s="168" t="s">
        <v>100</v>
      </c>
    </row>
    <row r="44" spans="1:10">
      <c r="A44" s="68" t="s">
        <v>199</v>
      </c>
      <c r="B44" s="164">
        <f>B43+B42</f>
        <v>34</v>
      </c>
      <c r="E44" s="265">
        <f>4+'Personal File'!$C$15</f>
        <v>2</v>
      </c>
      <c r="F44" s="168" t="s">
        <v>101</v>
      </c>
    </row>
    <row r="45" spans="1:10">
      <c r="E45" s="265">
        <f>4+'Personal File'!$C$15</f>
        <v>2</v>
      </c>
      <c r="F45" s="168" t="s">
        <v>102</v>
      </c>
    </row>
    <row r="46" spans="1:10">
      <c r="E46" s="265">
        <f>4+'Personal File'!$C$15</f>
        <v>2</v>
      </c>
      <c r="F46" s="168" t="s">
        <v>178</v>
      </c>
    </row>
    <row r="47" spans="1:10">
      <c r="E47" s="265">
        <f>2+'Personal File'!$C$15</f>
        <v>0</v>
      </c>
      <c r="F47" s="168" t="s">
        <v>179</v>
      </c>
    </row>
    <row r="48" spans="1:10">
      <c r="E48" s="265">
        <f>2+'Personal File'!$C$15</f>
        <v>0</v>
      </c>
      <c r="F48" s="168" t="s">
        <v>180</v>
      </c>
    </row>
    <row r="49" spans="5:6">
      <c r="E49" s="265">
        <f>2+'Personal File'!$C$15</f>
        <v>0</v>
      </c>
      <c r="F49" s="168" t="s">
        <v>250</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0"/>
  <sheetViews>
    <sheetView showGridLines="0" workbookViewId="0"/>
  </sheetViews>
  <sheetFormatPr defaultColWidth="13" defaultRowHeight="16.8"/>
  <cols>
    <col min="1" max="1" width="27.69921875" style="175" bestFit="1" customWidth="1"/>
    <col min="2" max="2" width="1.8984375" style="181" customWidth="1"/>
    <col min="3" max="3" width="35.8984375" style="171" bestFit="1" customWidth="1"/>
    <col min="4" max="4" width="2.296875" style="171" customWidth="1"/>
    <col min="5" max="5" width="26.19921875" style="171" bestFit="1" customWidth="1"/>
    <col min="6" max="16384" width="13" style="171"/>
  </cols>
  <sheetData>
    <row r="1" spans="1:5" ht="18" thickTop="1" thickBot="1">
      <c r="A1" s="170" t="s">
        <v>79</v>
      </c>
      <c r="B1" s="171"/>
      <c r="C1" s="170" t="s">
        <v>76</v>
      </c>
      <c r="E1" s="396" t="s">
        <v>242</v>
      </c>
    </row>
    <row r="2" spans="1:5">
      <c r="A2" s="172" t="s">
        <v>246</v>
      </c>
      <c r="B2" s="171"/>
      <c r="C2" s="173" t="s">
        <v>86</v>
      </c>
      <c r="E2" s="397" t="s">
        <v>243</v>
      </c>
    </row>
    <row r="3" spans="1:5" ht="17.399999999999999" thickBot="1">
      <c r="A3" s="172" t="s">
        <v>155</v>
      </c>
      <c r="B3" s="171"/>
      <c r="C3" s="173" t="s">
        <v>201</v>
      </c>
      <c r="E3" s="398" t="s">
        <v>244</v>
      </c>
    </row>
    <row r="4" spans="1:5" ht="18" thickTop="1" thickBot="1">
      <c r="A4" s="172" t="s">
        <v>245</v>
      </c>
      <c r="B4" s="171"/>
      <c r="C4" s="174" t="s">
        <v>80</v>
      </c>
    </row>
    <row r="5" spans="1:5" ht="18" thickTop="1" thickBot="1">
      <c r="A5" s="341" t="s">
        <v>122</v>
      </c>
      <c r="B5" s="171"/>
      <c r="C5" s="173" t="s">
        <v>190</v>
      </c>
      <c r="E5" s="396" t="s">
        <v>248</v>
      </c>
    </row>
    <row r="6" spans="1:5" ht="18" thickTop="1" thickBot="1">
      <c r="B6" s="171"/>
      <c r="C6" s="173" t="s">
        <v>192</v>
      </c>
      <c r="E6" s="398">
        <v>2</v>
      </c>
    </row>
    <row r="7" spans="1:5" ht="18" thickTop="1" thickBot="1">
      <c r="A7" s="2" t="s">
        <v>77</v>
      </c>
      <c r="B7" s="171"/>
      <c r="C7" s="173" t="s">
        <v>85</v>
      </c>
    </row>
    <row r="8" spans="1:5">
      <c r="A8" s="176" t="s">
        <v>110</v>
      </c>
      <c r="B8" s="171"/>
      <c r="C8" s="173" t="s">
        <v>117</v>
      </c>
    </row>
    <row r="9" spans="1:5">
      <c r="A9" s="392" t="s">
        <v>241</v>
      </c>
      <c r="B9" s="171"/>
      <c r="C9" s="173" t="s">
        <v>130</v>
      </c>
    </row>
    <row r="10" spans="1:5" ht="17.399999999999999" thickBot="1">
      <c r="A10" s="177" t="s">
        <v>111</v>
      </c>
      <c r="B10" s="171"/>
      <c r="C10" s="173" t="str">
        <f>CONCATENATE("Monk 1:  Stunning Fist, DC ",10+ROUNDDOWN(SUM('Personal File'!E3:E4)/2,0)+'Personal File'!C16)</f>
        <v>Monk 1:  Stunning Fist, DC 14</v>
      </c>
    </row>
    <row r="11" spans="1:5" ht="18" thickTop="1" thickBot="1">
      <c r="B11" s="171"/>
      <c r="C11" s="173" t="s">
        <v>191</v>
      </c>
    </row>
    <row r="12" spans="1:5" ht="19.2" thickTop="1" thickBot="1">
      <c r="A12" s="12" t="s">
        <v>112</v>
      </c>
      <c r="C12" s="174" t="s">
        <v>128</v>
      </c>
    </row>
    <row r="13" spans="1:5" ht="17.399999999999999" thickBot="1">
      <c r="A13" s="179" t="s">
        <v>113</v>
      </c>
      <c r="C13" s="178" t="s">
        <v>87</v>
      </c>
    </row>
    <row r="14" spans="1:5" ht="18" thickTop="1" thickBot="1">
      <c r="A14" s="180" t="s">
        <v>114</v>
      </c>
      <c r="C14" s="175"/>
    </row>
    <row r="15" spans="1:5" ht="18" thickTop="1" thickBot="1">
      <c r="A15" s="182" t="s">
        <v>115</v>
      </c>
      <c r="C15" s="1" t="s">
        <v>64</v>
      </c>
    </row>
    <row r="16" spans="1:5" ht="18" thickTop="1" thickBot="1">
      <c r="C16" s="183" t="s">
        <v>84</v>
      </c>
    </row>
    <row r="17" spans="3:3" ht="18" thickTop="1" thickBot="1"/>
    <row r="18" spans="3:3" ht="18" thickTop="1" thickBot="1">
      <c r="C18" s="13" t="s">
        <v>124</v>
      </c>
    </row>
    <row r="19" spans="3:3" ht="17.399999999999999" thickBot="1">
      <c r="C19" s="183" t="s">
        <v>125</v>
      </c>
    </row>
    <row r="20" spans="3:3" ht="17.399999999999999" thickTop="1"/>
  </sheetData>
  <sortState ref="A2:A4">
    <sortCondition ref="A2:A4"/>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1"/>
  <sheetViews>
    <sheetView showGridLines="0" zoomScaleNormal="100" workbookViewId="0"/>
  </sheetViews>
  <sheetFormatPr defaultColWidth="13" defaultRowHeight="15.6"/>
  <cols>
    <col min="1" max="1" width="25.5" style="169" bestFit="1" customWidth="1"/>
    <col min="2" max="2" width="8.59765625" style="169" customWidth="1"/>
    <col min="3" max="3" width="6.09765625" style="169" customWidth="1"/>
    <col min="4" max="4" width="8.19921875" style="169" customWidth="1"/>
    <col min="5" max="5" width="8.3984375" style="169" customWidth="1"/>
    <col min="6" max="6" width="8.3984375" style="169" bestFit="1" customWidth="1"/>
    <col min="7" max="9" width="5.59765625" style="169" customWidth="1"/>
    <col min="10" max="10" width="6.19921875" style="169" bestFit="1" customWidth="1"/>
    <col min="11" max="11" width="26.59765625" style="169" customWidth="1"/>
    <col min="12" max="12" width="2.5" style="24" customWidth="1"/>
    <col min="13" max="13" width="6.3984375" style="24" bestFit="1" customWidth="1"/>
    <col min="14" max="16384" width="13" style="24"/>
  </cols>
  <sheetData>
    <row r="1" spans="1:13" ht="23.4" thickBot="1">
      <c r="A1" s="184" t="s">
        <v>16</v>
      </c>
      <c r="B1" s="184"/>
      <c r="C1" s="184"/>
      <c r="D1" s="184"/>
      <c r="E1" s="184"/>
      <c r="F1" s="184"/>
      <c r="G1" s="184"/>
      <c r="H1" s="184"/>
      <c r="I1" s="184"/>
      <c r="J1" s="184"/>
      <c r="K1" s="184"/>
    </row>
    <row r="2" spans="1:13" ht="16.8" thickTop="1" thickBot="1">
      <c r="A2" s="185" t="s">
        <v>2</v>
      </c>
      <c r="B2" s="186" t="s">
        <v>3</v>
      </c>
      <c r="C2" s="186" t="s">
        <v>18</v>
      </c>
      <c r="D2" s="186" t="s">
        <v>19</v>
      </c>
      <c r="E2" s="187" t="s">
        <v>57</v>
      </c>
      <c r="F2" s="186" t="s">
        <v>17</v>
      </c>
      <c r="G2" s="186" t="s">
        <v>20</v>
      </c>
      <c r="H2" s="188" t="s">
        <v>78</v>
      </c>
      <c r="I2" s="189" t="s">
        <v>98</v>
      </c>
      <c r="J2" s="188" t="s">
        <v>70</v>
      </c>
      <c r="K2" s="190" t="s">
        <v>1</v>
      </c>
      <c r="M2" s="191" t="s">
        <v>163</v>
      </c>
    </row>
    <row r="3" spans="1:13">
      <c r="A3" s="372" t="s">
        <v>206</v>
      </c>
      <c r="B3" s="373" t="s">
        <v>129</v>
      </c>
      <c r="C3" s="374" t="str">
        <f>'Personal File'!$C$12</f>
        <v>+0</v>
      </c>
      <c r="D3" s="375" t="s">
        <v>63</v>
      </c>
      <c r="E3" s="375" t="s">
        <v>88</v>
      </c>
      <c r="F3" s="376" t="s">
        <v>89</v>
      </c>
      <c r="G3" s="377">
        <v>0</v>
      </c>
      <c r="H3" s="378" t="str">
        <f>CONCATENATE("+",'Personal File'!$B$9+RIGHT('Personal File'!$C$12)+D3+1)</f>
        <v>+7</v>
      </c>
      <c r="I3" s="339">
        <f t="shared" ref="I3:I9" ca="1" si="0">RANDBETWEEN(1,20)</f>
        <v>18</v>
      </c>
      <c r="J3" s="379">
        <f t="shared" ref="J3:J6" ca="1" si="1">I3+H3</f>
        <v>25</v>
      </c>
      <c r="K3" s="380"/>
      <c r="M3" s="366"/>
    </row>
    <row r="4" spans="1:13">
      <c r="A4" s="381" t="s">
        <v>207</v>
      </c>
      <c r="B4" s="382" t="s">
        <v>129</v>
      </c>
      <c r="C4" s="383" t="str">
        <f>'Personal File'!$C$12</f>
        <v>+0</v>
      </c>
      <c r="D4" s="384" t="s">
        <v>63</v>
      </c>
      <c r="E4" s="384" t="s">
        <v>88</v>
      </c>
      <c r="F4" s="385" t="s">
        <v>89</v>
      </c>
      <c r="G4" s="386">
        <v>0</v>
      </c>
      <c r="H4" s="387" t="str">
        <f>CONCATENATE("+",'Personal File'!$B$9+RIGHT('Personal File'!$C$12)+D4+1-5)</f>
        <v>+2</v>
      </c>
      <c r="I4" s="370">
        <f t="shared" ca="1" si="0"/>
        <v>15</v>
      </c>
      <c r="J4" s="388">
        <f t="shared" ref="J4" ca="1" si="2">I4+H4</f>
        <v>17</v>
      </c>
      <c r="K4" s="389"/>
      <c r="M4" s="371"/>
    </row>
    <row r="5" spans="1:13">
      <c r="A5" s="269" t="s">
        <v>149</v>
      </c>
      <c r="B5" s="270" t="s">
        <v>129</v>
      </c>
      <c r="C5" s="271" t="str">
        <f>'Personal File'!$C$12</f>
        <v>+0</v>
      </c>
      <c r="D5" s="272" t="s">
        <v>151</v>
      </c>
      <c r="E5" s="272" t="s">
        <v>88</v>
      </c>
      <c r="F5" s="273" t="s">
        <v>89</v>
      </c>
      <c r="G5" s="274">
        <v>0</v>
      </c>
      <c r="H5" s="275" t="str">
        <f>CONCATENATE("+",'Personal File'!$B$9+RIGHT('Personal File'!$C$12)+D5+1)</f>
        <v>+5</v>
      </c>
      <c r="I5" s="370">
        <f t="shared" ca="1" si="0"/>
        <v>7</v>
      </c>
      <c r="J5" s="277">
        <f t="shared" ca="1" si="1"/>
        <v>12</v>
      </c>
      <c r="K5" s="278"/>
      <c r="M5" s="367"/>
    </row>
    <row r="6" spans="1:13">
      <c r="A6" s="269" t="s">
        <v>150</v>
      </c>
      <c r="B6" s="270" t="s">
        <v>129</v>
      </c>
      <c r="C6" s="271" t="str">
        <f>'Personal File'!$C$12</f>
        <v>+0</v>
      </c>
      <c r="D6" s="272" t="s">
        <v>151</v>
      </c>
      <c r="E6" s="272" t="s">
        <v>88</v>
      </c>
      <c r="F6" s="273" t="s">
        <v>89</v>
      </c>
      <c r="G6" s="274">
        <v>0</v>
      </c>
      <c r="H6" s="275" t="str">
        <f>CONCATENATE("+",'Personal File'!$B$9+RIGHT('Personal File'!$C$12)+D6+1)</f>
        <v>+5</v>
      </c>
      <c r="I6" s="276">
        <f t="shared" ca="1" si="0"/>
        <v>17</v>
      </c>
      <c r="J6" s="277">
        <f t="shared" ca="1" si="1"/>
        <v>22</v>
      </c>
      <c r="K6" s="278"/>
      <c r="M6" s="367"/>
    </row>
    <row r="7" spans="1:13">
      <c r="A7" s="279" t="s">
        <v>194</v>
      </c>
      <c r="B7" s="280" t="s">
        <v>83</v>
      </c>
      <c r="C7" s="393" t="s">
        <v>196</v>
      </c>
      <c r="D7" s="15" t="s">
        <v>92</v>
      </c>
      <c r="E7" s="15" t="s">
        <v>90</v>
      </c>
      <c r="F7" s="16" t="s">
        <v>154</v>
      </c>
      <c r="G7" s="17">
        <v>2</v>
      </c>
      <c r="H7" s="281" t="str">
        <f>CONCATENATE("+",'Personal File'!$B$9+RIGHT('Personal File'!$C$12)+D7)</f>
        <v>+7</v>
      </c>
      <c r="I7" s="276">
        <f t="shared" ca="1" si="0"/>
        <v>17</v>
      </c>
      <c r="J7" s="282">
        <f t="shared" ref="J7:J9" ca="1" si="3">I7+H7</f>
        <v>24</v>
      </c>
      <c r="K7" s="283"/>
      <c r="M7" s="361">
        <v>300</v>
      </c>
    </row>
    <row r="8" spans="1:13">
      <c r="A8" s="343" t="s">
        <v>203</v>
      </c>
      <c r="B8" s="344" t="s">
        <v>153</v>
      </c>
      <c r="C8" s="393" t="s">
        <v>196</v>
      </c>
      <c r="D8" s="344" t="s">
        <v>153</v>
      </c>
      <c r="E8" s="344" t="s">
        <v>153</v>
      </c>
      <c r="F8" s="344" t="s">
        <v>153</v>
      </c>
      <c r="G8" s="345" t="s">
        <v>153</v>
      </c>
      <c r="H8" s="318" t="s">
        <v>153</v>
      </c>
      <c r="I8" s="346" t="s">
        <v>153</v>
      </c>
      <c r="J8" s="282" t="s">
        <v>153</v>
      </c>
      <c r="K8" s="283" t="s">
        <v>153</v>
      </c>
      <c r="M8" s="361">
        <v>3000</v>
      </c>
    </row>
    <row r="9" spans="1:13">
      <c r="A9" s="279" t="s">
        <v>195</v>
      </c>
      <c r="B9" s="280" t="s">
        <v>83</v>
      </c>
      <c r="C9" s="394" t="s">
        <v>196</v>
      </c>
      <c r="D9" s="15" t="s">
        <v>92</v>
      </c>
      <c r="E9" s="15" t="s">
        <v>90</v>
      </c>
      <c r="F9" s="16" t="s">
        <v>154</v>
      </c>
      <c r="G9" s="17">
        <v>2</v>
      </c>
      <c r="H9" s="281" t="str">
        <f>CONCATENATE("+",'Personal File'!$B$9+RIGHT('Personal File'!$C$12)+D9)</f>
        <v>+7</v>
      </c>
      <c r="I9" s="276">
        <f t="shared" ca="1" si="0"/>
        <v>1</v>
      </c>
      <c r="J9" s="282">
        <f t="shared" ca="1" si="3"/>
        <v>8</v>
      </c>
      <c r="K9" s="283"/>
      <c r="M9" s="361">
        <v>300</v>
      </c>
    </row>
    <row r="10" spans="1:13">
      <c r="A10" s="347" t="s">
        <v>204</v>
      </c>
      <c r="B10" s="348" t="s">
        <v>153</v>
      </c>
      <c r="C10" s="394" t="s">
        <v>196</v>
      </c>
      <c r="D10" s="348" t="s">
        <v>153</v>
      </c>
      <c r="E10" s="348" t="s">
        <v>153</v>
      </c>
      <c r="F10" s="348" t="s">
        <v>153</v>
      </c>
      <c r="G10" s="318" t="s">
        <v>153</v>
      </c>
      <c r="H10" s="318" t="s">
        <v>153</v>
      </c>
      <c r="I10" s="346" t="s">
        <v>153</v>
      </c>
      <c r="J10" s="282" t="s">
        <v>153</v>
      </c>
      <c r="K10" s="283" t="s">
        <v>153</v>
      </c>
      <c r="M10" s="368">
        <v>3000</v>
      </c>
    </row>
    <row r="11" spans="1:13" ht="16.2" thickBot="1">
      <c r="A11" s="284" t="s">
        <v>218</v>
      </c>
      <c r="B11" s="285" t="s">
        <v>153</v>
      </c>
      <c r="C11" s="286" t="s">
        <v>153</v>
      </c>
      <c r="D11" s="287" t="s">
        <v>153</v>
      </c>
      <c r="E11" s="287" t="s">
        <v>153</v>
      </c>
      <c r="F11" s="288" t="s">
        <v>153</v>
      </c>
      <c r="G11" s="289" t="s">
        <v>153</v>
      </c>
      <c r="H11" s="290" t="str">
        <f>CONCATENATE("+",'Personal File'!B9+'Personal File'!C12+1)</f>
        <v>+7</v>
      </c>
      <c r="I11" s="291">
        <f t="shared" ref="I11" ca="1" si="4">RANDBETWEEN(1,20)</f>
        <v>14</v>
      </c>
      <c r="J11" s="292">
        <f t="shared" ref="J11" ca="1" si="5">I11+H11</f>
        <v>21</v>
      </c>
      <c r="K11" s="293"/>
      <c r="M11" s="365"/>
    </row>
    <row r="12" spans="1:13" ht="6" customHeight="1" thickTop="1" thickBot="1">
      <c r="I12" s="167"/>
      <c r="J12" s="167"/>
    </row>
    <row r="13" spans="1:13" ht="16.8" thickTop="1" thickBot="1">
      <c r="A13" s="185" t="s">
        <v>5</v>
      </c>
      <c r="B13" s="186" t="s">
        <v>6</v>
      </c>
      <c r="C13" s="186" t="s">
        <v>18</v>
      </c>
      <c r="D13" s="186" t="s">
        <v>19</v>
      </c>
      <c r="E13" s="187" t="s">
        <v>57</v>
      </c>
      <c r="F13" s="186" t="s">
        <v>7</v>
      </c>
      <c r="G13" s="186" t="s">
        <v>20</v>
      </c>
      <c r="H13" s="188" t="s">
        <v>78</v>
      </c>
      <c r="I13" s="189" t="s">
        <v>98</v>
      </c>
      <c r="J13" s="188" t="s">
        <v>70</v>
      </c>
      <c r="K13" s="190" t="s">
        <v>1</v>
      </c>
      <c r="M13" s="191" t="s">
        <v>163</v>
      </c>
    </row>
    <row r="14" spans="1:13">
      <c r="A14" s="332" t="s">
        <v>99</v>
      </c>
      <c r="B14" s="333" t="s">
        <v>93</v>
      </c>
      <c r="C14" s="334" t="str">
        <f>'Personal File'!C12</f>
        <v>+0</v>
      </c>
      <c r="D14" s="335" t="s">
        <v>92</v>
      </c>
      <c r="E14" s="335" t="s">
        <v>90</v>
      </c>
      <c r="F14" s="336" t="s">
        <v>109</v>
      </c>
      <c r="G14" s="337">
        <v>0</v>
      </c>
      <c r="H14" s="338" t="str">
        <f>CONCATENATE("+",'Personal File'!$B$9+RIGHT('Personal File'!$C$13)+D14)</f>
        <v>+11</v>
      </c>
      <c r="I14" s="339">
        <f t="shared" ref="I14" ca="1" si="6">RANDBETWEEN(1,20)</f>
        <v>8</v>
      </c>
      <c r="J14" s="340">
        <f t="shared" ref="J14" ca="1" si="7">I14+H14</f>
        <v>19</v>
      </c>
      <c r="K14" s="283"/>
      <c r="M14" s="360">
        <v>300</v>
      </c>
    </row>
    <row r="15" spans="1:13" ht="16.2" thickBot="1">
      <c r="A15" s="296" t="s">
        <v>165</v>
      </c>
      <c r="B15" s="395" t="s">
        <v>247</v>
      </c>
      <c r="C15" s="297" t="s">
        <v>63</v>
      </c>
      <c r="D15" s="297" t="s">
        <v>55</v>
      </c>
      <c r="E15" s="298" t="s">
        <v>90</v>
      </c>
      <c r="F15" s="297" t="s">
        <v>175</v>
      </c>
      <c r="G15" s="299">
        <f>0.5*K15</f>
        <v>1</v>
      </c>
      <c r="H15" s="300" t="str">
        <f>CONCATENATE("+",'Personal File'!$B$9+RIGHT('Personal File'!$C$13)+D15)</f>
        <v>+10</v>
      </c>
      <c r="I15" s="301">
        <f t="shared" ref="I15" ca="1" si="8">RANDBETWEEN(1,20)</f>
        <v>20</v>
      </c>
      <c r="J15" s="302">
        <f t="shared" ref="J15" ca="1" si="9">I15+H15</f>
        <v>30</v>
      </c>
      <c r="K15" s="293">
        <v>2</v>
      </c>
      <c r="M15" s="362">
        <f>K15*20</f>
        <v>40</v>
      </c>
    </row>
    <row r="16" spans="1:13" ht="6" customHeight="1" thickTop="1" thickBot="1">
      <c r="D16" s="192"/>
      <c r="E16" s="192"/>
      <c r="G16" s="193"/>
      <c r="H16" s="193"/>
      <c r="I16" s="193"/>
      <c r="J16" s="193"/>
    </row>
    <row r="17" spans="1:13" ht="16.8" thickTop="1" thickBot="1">
      <c r="A17" s="185" t="s">
        <v>61</v>
      </c>
      <c r="B17" s="186" t="s">
        <v>10</v>
      </c>
      <c r="C17" s="186" t="s">
        <v>27</v>
      </c>
      <c r="D17" s="186" t="s">
        <v>70</v>
      </c>
      <c r="E17" s="186" t="s">
        <v>71</v>
      </c>
      <c r="F17" s="186" t="s">
        <v>72</v>
      </c>
      <c r="G17" s="186" t="s">
        <v>20</v>
      </c>
      <c r="H17" s="194" t="s">
        <v>1</v>
      </c>
      <c r="I17" s="195"/>
      <c r="J17" s="195"/>
      <c r="K17" s="196"/>
      <c r="M17" s="191" t="s">
        <v>163</v>
      </c>
    </row>
    <row r="18" spans="1:13">
      <c r="A18" s="233" t="s">
        <v>152</v>
      </c>
      <c r="B18" s="303">
        <v>1</v>
      </c>
      <c r="C18" s="304" t="s">
        <v>153</v>
      </c>
      <c r="D18" s="305" t="s">
        <v>153</v>
      </c>
      <c r="E18" s="306" t="s">
        <v>153</v>
      </c>
      <c r="F18" s="304" t="s">
        <v>153</v>
      </c>
      <c r="G18" s="295">
        <v>0</v>
      </c>
      <c r="H18" s="328"/>
      <c r="I18" s="197"/>
      <c r="J18" s="197"/>
      <c r="K18" s="198"/>
      <c r="M18" s="360">
        <v>2000</v>
      </c>
    </row>
    <row r="19" spans="1:13" ht="16.2" thickBot="1">
      <c r="A19" s="307" t="s">
        <v>188</v>
      </c>
      <c r="B19" s="308">
        <v>1</v>
      </c>
      <c r="C19" s="309" t="s">
        <v>153</v>
      </c>
      <c r="D19" s="308" t="s">
        <v>153</v>
      </c>
      <c r="E19" s="310" t="s">
        <v>153</v>
      </c>
      <c r="F19" s="311" t="s">
        <v>153</v>
      </c>
      <c r="G19" s="312">
        <v>1</v>
      </c>
      <c r="H19" s="329"/>
      <c r="I19" s="199"/>
      <c r="J19" s="199"/>
      <c r="K19" s="200"/>
      <c r="M19" s="362">
        <v>2000</v>
      </c>
    </row>
    <row r="20" spans="1:13" ht="6.75" customHeight="1" thickTop="1" thickBot="1"/>
    <row r="21" spans="1:13" ht="21.6" thickTop="1" thickBot="1">
      <c r="A21" s="201" t="s">
        <v>170</v>
      </c>
      <c r="B21" s="266">
        <f>'Personal File'!B9</f>
        <v>6</v>
      </c>
      <c r="D21" s="202" t="s">
        <v>62</v>
      </c>
      <c r="E21" s="203"/>
      <c r="F21" s="194" t="s">
        <v>4</v>
      </c>
      <c r="G21" s="186" t="s">
        <v>20</v>
      </c>
      <c r="H21" s="188" t="s">
        <v>78</v>
      </c>
      <c r="I21" s="194" t="s">
        <v>1</v>
      </c>
      <c r="J21" s="195"/>
      <c r="K21" s="196"/>
      <c r="M21" s="191" t="s">
        <v>163</v>
      </c>
    </row>
    <row r="22" spans="1:13" ht="21.6" thickTop="1" thickBot="1">
      <c r="A22" s="201" t="s">
        <v>148</v>
      </c>
      <c r="B22" s="204">
        <f>B21+B24</f>
        <v>6</v>
      </c>
      <c r="D22" s="205" t="s">
        <v>127</v>
      </c>
      <c r="E22" s="313"/>
      <c r="F22" s="314">
        <v>6</v>
      </c>
      <c r="G22" s="294">
        <f t="shared" ref="G22:G24" si="10">F22*0.1</f>
        <v>0.60000000000000009</v>
      </c>
      <c r="H22" s="315" t="s">
        <v>63</v>
      </c>
      <c r="I22" s="325"/>
      <c r="J22" s="206"/>
      <c r="K22" s="207"/>
      <c r="M22" s="363">
        <f t="shared" ref="M22:M24" si="11">F22*30</f>
        <v>180</v>
      </c>
    </row>
    <row r="23" spans="1:13" ht="16.2" thickTop="1">
      <c r="A23" s="167"/>
      <c r="B23" s="167"/>
      <c r="D23" s="208" t="s">
        <v>167</v>
      </c>
      <c r="E23" s="316"/>
      <c r="F23" s="317">
        <v>5</v>
      </c>
      <c r="G23" s="318">
        <f t="shared" ref="G23" si="12">F23*0.1</f>
        <v>0.5</v>
      </c>
      <c r="H23" s="319" t="s">
        <v>63</v>
      </c>
      <c r="I23" s="326"/>
      <c r="J23" s="209"/>
      <c r="K23" s="210"/>
      <c r="M23" s="364">
        <f t="shared" si="11"/>
        <v>150</v>
      </c>
    </row>
    <row r="24" spans="1:13" ht="18">
      <c r="A24" s="211" t="s">
        <v>171</v>
      </c>
      <c r="B24" s="212" t="str">
        <f>'Personal File'!C12</f>
        <v>+0</v>
      </c>
      <c r="D24" s="213" t="s">
        <v>143</v>
      </c>
      <c r="E24" s="320"/>
      <c r="F24" s="317">
        <v>6</v>
      </c>
      <c r="G24" s="318">
        <f t="shared" si="10"/>
        <v>0.60000000000000009</v>
      </c>
      <c r="H24" s="319" t="s">
        <v>63</v>
      </c>
      <c r="I24" s="326"/>
      <c r="J24" s="209"/>
      <c r="K24" s="210"/>
      <c r="M24" s="361">
        <f t="shared" si="11"/>
        <v>180</v>
      </c>
    </row>
    <row r="25" spans="1:13" ht="18.600000000000001" thickBot="1">
      <c r="A25" s="211" t="s">
        <v>172</v>
      </c>
      <c r="B25" s="212" t="str">
        <f>'Personal File'!C13</f>
        <v>+4</v>
      </c>
      <c r="D25" s="214" t="s">
        <v>95</v>
      </c>
      <c r="E25" s="321"/>
      <c r="F25" s="322">
        <v>13</v>
      </c>
      <c r="G25" s="323">
        <f>F25/2</f>
        <v>6.5</v>
      </c>
      <c r="H25" s="324" t="s">
        <v>63</v>
      </c>
      <c r="I25" s="327"/>
      <c r="J25" s="216"/>
      <c r="K25" s="217"/>
      <c r="M25" s="365"/>
    </row>
    <row r="26" spans="1:13" ht="19.2" thickTop="1" thickBot="1">
      <c r="A26" s="211" t="s">
        <v>173</v>
      </c>
      <c r="B26" s="218">
        <v>0</v>
      </c>
      <c r="F26" s="167" t="s">
        <v>193</v>
      </c>
    </row>
    <row r="27" spans="1:13" ht="19.2" thickTop="1" thickBot="1">
      <c r="A27" s="211" t="s">
        <v>174</v>
      </c>
      <c r="B27" s="218">
        <v>0</v>
      </c>
      <c r="D27" s="202" t="s">
        <v>159</v>
      </c>
      <c r="E27" s="195"/>
      <c r="F27" s="195"/>
      <c r="G27" s="195"/>
      <c r="H27" s="219" t="s">
        <v>4</v>
      </c>
      <c r="I27" s="219" t="s">
        <v>161</v>
      </c>
      <c r="J27" s="219" t="s">
        <v>162</v>
      </c>
      <c r="K27" s="196" t="s">
        <v>68</v>
      </c>
      <c r="M27" s="191" t="s">
        <v>163</v>
      </c>
    </row>
    <row r="28" spans="1:13">
      <c r="D28" s="220" t="s">
        <v>160</v>
      </c>
      <c r="E28" s="221"/>
      <c r="F28" s="221"/>
      <c r="G28" s="221"/>
      <c r="H28" s="14">
        <v>2</v>
      </c>
      <c r="I28" s="14">
        <v>1</v>
      </c>
      <c r="J28" s="14">
        <v>1</v>
      </c>
      <c r="K28" s="207"/>
      <c r="M28" s="360">
        <f>H28*50</f>
        <v>100</v>
      </c>
    </row>
    <row r="29" spans="1:13">
      <c r="D29" s="222" t="s">
        <v>164</v>
      </c>
      <c r="E29" s="223"/>
      <c r="F29" s="223"/>
      <c r="G29" s="223"/>
      <c r="H29" s="3">
        <v>2</v>
      </c>
      <c r="I29" s="224"/>
      <c r="J29" s="224"/>
      <c r="K29" s="210"/>
      <c r="M29" s="361">
        <f t="shared" ref="M29" si="13">H29*25</f>
        <v>50</v>
      </c>
    </row>
    <row r="30" spans="1:13" ht="16.2" thickBot="1">
      <c r="D30" s="225" t="s">
        <v>182</v>
      </c>
      <c r="E30" s="226"/>
      <c r="F30" s="226"/>
      <c r="G30" s="226"/>
      <c r="H30" s="215" t="s">
        <v>92</v>
      </c>
      <c r="I30" s="215" t="s">
        <v>92</v>
      </c>
      <c r="J30" s="215" t="s">
        <v>92</v>
      </c>
      <c r="K30" s="227"/>
      <c r="M30" s="362">
        <v>50</v>
      </c>
    </row>
    <row r="31" spans="1:13" ht="16.2" thickTop="1"/>
  </sheetData>
  <phoneticPr fontId="0" type="noConversion"/>
  <conditionalFormatting sqref="I3 I11 I5 I14">
    <cfRule type="cellIs" dxfId="11" priority="23" operator="equal">
      <formula>20</formula>
    </cfRule>
    <cfRule type="cellIs" dxfId="10" priority="24" operator="equal">
      <formula>1</formula>
    </cfRule>
  </conditionalFormatting>
  <conditionalFormatting sqref="I15">
    <cfRule type="cellIs" dxfId="9" priority="19" operator="equal">
      <formula>20</formula>
    </cfRule>
    <cfRule type="cellIs" dxfId="8" priority="20" operator="equal">
      <formula>1</formula>
    </cfRule>
  </conditionalFormatting>
  <conditionalFormatting sqref="I6">
    <cfRule type="cellIs" dxfId="7" priority="17" operator="equal">
      <formula>20</formula>
    </cfRule>
    <cfRule type="cellIs" dxfId="6" priority="18" operator="equal">
      <formula>1</formula>
    </cfRule>
  </conditionalFormatting>
  <conditionalFormatting sqref="I7:I9">
    <cfRule type="cellIs" dxfId="5" priority="7" operator="equal">
      <formula>20</formula>
    </cfRule>
    <cfRule type="cellIs" dxfId="4" priority="8" operator="equal">
      <formula>1</formula>
    </cfRule>
  </conditionalFormatting>
  <conditionalFormatting sqref="I10">
    <cfRule type="cellIs" dxfId="3" priority="3" operator="equal">
      <formula>20</formula>
    </cfRule>
    <cfRule type="cellIs" dxfId="2" priority="4" operator="equal">
      <formula>1</formula>
    </cfRule>
  </conditionalFormatting>
  <conditionalFormatting sqref="I4">
    <cfRule type="cellIs" dxfId="1" priority="1" operator="equal">
      <formula>20</formula>
    </cfRule>
    <cfRule type="cellIs" dxfId="0"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0"/>
  <sheetViews>
    <sheetView showGridLines="0" workbookViewId="0"/>
  </sheetViews>
  <sheetFormatPr defaultColWidth="13" defaultRowHeight="15.6"/>
  <cols>
    <col min="1" max="1" width="25.3984375" style="169" bestFit="1" customWidth="1"/>
    <col min="2" max="2" width="4.5" style="169" bestFit="1" customWidth="1"/>
    <col min="3" max="3" width="5.59765625" style="193" bestFit="1" customWidth="1"/>
    <col min="4" max="5" width="23.19921875" style="24" customWidth="1"/>
    <col min="6" max="6" width="3.3984375" style="169" customWidth="1"/>
    <col min="7" max="7" width="7.3984375" style="358" bestFit="1" customWidth="1"/>
    <col min="8" max="16384" width="13" style="24"/>
  </cols>
  <sheetData>
    <row r="1" spans="1:8" ht="23.4" thickBot="1">
      <c r="A1" s="184" t="s">
        <v>65</v>
      </c>
      <c r="B1" s="184"/>
      <c r="C1" s="228"/>
      <c r="D1" s="184"/>
      <c r="E1" s="184"/>
    </row>
    <row r="2" spans="1:8" s="169" customFormat="1" ht="16.8" thickTop="1" thickBot="1">
      <c r="A2" s="229" t="s">
        <v>66</v>
      </c>
      <c r="B2" s="229" t="s">
        <v>4</v>
      </c>
      <c r="C2" s="230" t="s">
        <v>20</v>
      </c>
      <c r="D2" s="231" t="s">
        <v>67</v>
      </c>
      <c r="E2" s="232" t="s">
        <v>68</v>
      </c>
      <c r="G2" s="350" t="s">
        <v>163</v>
      </c>
    </row>
    <row r="3" spans="1:8">
      <c r="A3" s="233" t="s">
        <v>91</v>
      </c>
      <c r="B3" s="234">
        <v>1</v>
      </c>
      <c r="C3" s="235">
        <v>2</v>
      </c>
      <c r="D3" s="236"/>
      <c r="E3" s="237"/>
      <c r="G3" s="351"/>
    </row>
    <row r="4" spans="1:8">
      <c r="A4" s="256" t="s">
        <v>197</v>
      </c>
      <c r="B4" s="267">
        <v>1</v>
      </c>
      <c r="C4" s="245">
        <v>1</v>
      </c>
      <c r="D4" s="401" t="s">
        <v>249</v>
      </c>
      <c r="E4" s="242"/>
      <c r="G4" s="352">
        <v>2000</v>
      </c>
      <c r="H4" s="331"/>
    </row>
    <row r="5" spans="1:8">
      <c r="A5" s="256" t="s">
        <v>187</v>
      </c>
      <c r="B5" s="267">
        <v>2</v>
      </c>
      <c r="C5" s="245">
        <v>2</v>
      </c>
      <c r="D5" s="241"/>
      <c r="E5" s="242"/>
      <c r="G5" s="352">
        <v>750</v>
      </c>
    </row>
    <row r="6" spans="1:8">
      <c r="A6" s="238" t="s">
        <v>169</v>
      </c>
      <c r="B6" s="239">
        <v>1</v>
      </c>
      <c r="C6" s="240">
        <v>0</v>
      </c>
      <c r="D6" s="241"/>
      <c r="E6" s="242"/>
      <c r="G6" s="352">
        <v>200</v>
      </c>
    </row>
    <row r="7" spans="1:8">
      <c r="A7" s="238" t="s">
        <v>183</v>
      </c>
      <c r="B7" s="239">
        <v>1</v>
      </c>
      <c r="C7" s="240">
        <v>0</v>
      </c>
      <c r="D7" s="241"/>
      <c r="E7" s="242"/>
      <c r="G7" s="352">
        <v>165</v>
      </c>
    </row>
    <row r="8" spans="1:8">
      <c r="A8" s="238" t="s">
        <v>184</v>
      </c>
      <c r="B8" s="239">
        <v>1</v>
      </c>
      <c r="C8" s="240">
        <v>0</v>
      </c>
      <c r="D8" s="241"/>
      <c r="E8" s="242"/>
      <c r="G8" s="352">
        <v>200</v>
      </c>
    </row>
    <row r="9" spans="1:8">
      <c r="A9" s="238" t="s">
        <v>185</v>
      </c>
      <c r="B9" s="239">
        <v>1</v>
      </c>
      <c r="C9" s="240">
        <v>0</v>
      </c>
      <c r="D9" s="241"/>
      <c r="E9" s="242"/>
      <c r="G9" s="352">
        <v>50</v>
      </c>
    </row>
    <row r="10" spans="1:8">
      <c r="A10" s="238" t="s">
        <v>186</v>
      </c>
      <c r="B10" s="239">
        <v>1</v>
      </c>
      <c r="C10" s="240">
        <v>0</v>
      </c>
      <c r="D10" s="241"/>
      <c r="E10" s="242"/>
      <c r="G10" s="352">
        <v>100</v>
      </c>
    </row>
    <row r="11" spans="1:8">
      <c r="A11" s="238" t="s">
        <v>147</v>
      </c>
      <c r="B11" s="239">
        <v>1</v>
      </c>
      <c r="C11" s="240">
        <v>2</v>
      </c>
      <c r="D11" s="241"/>
      <c r="E11" s="242"/>
      <c r="G11" s="353"/>
    </row>
    <row r="12" spans="1:8">
      <c r="A12" s="238" t="s">
        <v>157</v>
      </c>
      <c r="B12" s="239">
        <v>1</v>
      </c>
      <c r="C12" s="240">
        <v>0</v>
      </c>
      <c r="D12" s="243" t="s">
        <v>158</v>
      </c>
      <c r="E12" s="242"/>
      <c r="G12" s="353"/>
    </row>
    <row r="13" spans="1:8">
      <c r="A13" s="244" t="s">
        <v>103</v>
      </c>
      <c r="B13" s="16">
        <v>1</v>
      </c>
      <c r="C13" s="245" t="s">
        <v>94</v>
      </c>
      <c r="D13" s="246"/>
      <c r="E13" s="247"/>
      <c r="G13" s="354"/>
    </row>
    <row r="14" spans="1:8" ht="16.2" thickBot="1">
      <c r="A14" s="248" t="s">
        <v>139</v>
      </c>
      <c r="B14" s="249">
        <v>3</v>
      </c>
      <c r="C14" s="250">
        <f>B14*0.5</f>
        <v>1.5</v>
      </c>
      <c r="D14" s="251"/>
      <c r="E14" s="252"/>
      <c r="G14" s="355"/>
    </row>
    <row r="15" spans="1:8" ht="24" thickTop="1" thickBot="1">
      <c r="A15" s="184" t="s">
        <v>69</v>
      </c>
      <c r="B15" s="184"/>
      <c r="C15" s="253"/>
      <c r="D15" s="184"/>
      <c r="E15" s="254"/>
      <c r="G15" s="359"/>
    </row>
    <row r="16" spans="1:8" ht="16.8" thickTop="1" thickBot="1">
      <c r="A16" s="229" t="s">
        <v>66</v>
      </c>
      <c r="B16" s="229" t="s">
        <v>4</v>
      </c>
      <c r="C16" s="230" t="s">
        <v>20</v>
      </c>
      <c r="D16" s="231" t="s">
        <v>67</v>
      </c>
      <c r="E16" s="232" t="s">
        <v>68</v>
      </c>
      <c r="G16" s="350" t="s">
        <v>163</v>
      </c>
    </row>
    <row r="17" spans="1:7">
      <c r="A17" s="244" t="s">
        <v>131</v>
      </c>
      <c r="B17" s="16">
        <v>1</v>
      </c>
      <c r="C17" s="255">
        <v>3</v>
      </c>
      <c r="D17" s="246"/>
      <c r="E17" s="247"/>
      <c r="F17" s="167"/>
      <c r="G17" s="356"/>
    </row>
    <row r="18" spans="1:7">
      <c r="A18" s="259" t="s">
        <v>189</v>
      </c>
      <c r="B18" s="16">
        <v>1</v>
      </c>
      <c r="C18" s="260">
        <v>2</v>
      </c>
      <c r="D18" s="246"/>
      <c r="E18" s="247"/>
      <c r="F18" s="167"/>
      <c r="G18" s="268">
        <v>350</v>
      </c>
    </row>
    <row r="19" spans="1:7">
      <c r="A19" s="256" t="s">
        <v>166</v>
      </c>
      <c r="B19" s="16">
        <v>1</v>
      </c>
      <c r="C19" s="245">
        <v>2</v>
      </c>
      <c r="D19" s="246"/>
      <c r="E19" s="247"/>
      <c r="F19" s="167"/>
      <c r="G19" s="354"/>
    </row>
    <row r="20" spans="1:7">
      <c r="A20" s="244" t="s">
        <v>132</v>
      </c>
      <c r="B20" s="16">
        <v>3</v>
      </c>
      <c r="C20" s="255">
        <v>0</v>
      </c>
      <c r="D20" s="246"/>
      <c r="E20" s="247"/>
      <c r="F20" s="167"/>
      <c r="G20" s="356"/>
    </row>
    <row r="21" spans="1:7">
      <c r="A21" s="244" t="s">
        <v>133</v>
      </c>
      <c r="B21" s="16">
        <v>3</v>
      </c>
      <c r="C21" s="255">
        <v>0</v>
      </c>
      <c r="D21" s="246"/>
      <c r="E21" s="247"/>
      <c r="F21" s="167"/>
      <c r="G21" s="356"/>
    </row>
    <row r="22" spans="1:7">
      <c r="A22" s="244" t="s">
        <v>134</v>
      </c>
      <c r="B22" s="16">
        <v>1</v>
      </c>
      <c r="C22" s="255">
        <v>0</v>
      </c>
      <c r="D22" s="246"/>
      <c r="E22" s="247"/>
      <c r="F22" s="167"/>
      <c r="G22" s="356"/>
    </row>
    <row r="23" spans="1:7">
      <c r="A23" s="244" t="s">
        <v>135</v>
      </c>
      <c r="B23" s="16">
        <v>1</v>
      </c>
      <c r="C23" s="255">
        <v>0</v>
      </c>
      <c r="D23" s="246"/>
      <c r="E23" s="247"/>
      <c r="F23" s="167"/>
      <c r="G23" s="356"/>
    </row>
    <row r="24" spans="1:7">
      <c r="A24" s="244" t="s">
        <v>136</v>
      </c>
      <c r="B24" s="16">
        <v>1</v>
      </c>
      <c r="C24" s="255">
        <v>1</v>
      </c>
      <c r="D24" s="246"/>
      <c r="E24" s="247"/>
      <c r="F24" s="167"/>
      <c r="G24" s="356"/>
    </row>
    <row r="25" spans="1:7">
      <c r="A25" s="244" t="s">
        <v>137</v>
      </c>
      <c r="B25" s="16">
        <v>1</v>
      </c>
      <c r="C25" s="255">
        <v>0</v>
      </c>
      <c r="D25" s="246"/>
      <c r="E25" s="247"/>
      <c r="F25" s="167"/>
      <c r="G25" s="356"/>
    </row>
    <row r="26" spans="1:7">
      <c r="A26" s="244" t="s">
        <v>138</v>
      </c>
      <c r="B26" s="16">
        <v>3</v>
      </c>
      <c r="C26" s="255">
        <v>0</v>
      </c>
      <c r="D26" s="246"/>
      <c r="E26" s="247"/>
      <c r="F26" s="167"/>
      <c r="G26" s="356"/>
    </row>
    <row r="27" spans="1:7">
      <c r="A27" s="244" t="s">
        <v>140</v>
      </c>
      <c r="B27" s="16">
        <v>1</v>
      </c>
      <c r="C27" s="255">
        <v>0.5</v>
      </c>
      <c r="D27" s="246"/>
      <c r="E27" s="247"/>
      <c r="F27" s="167"/>
      <c r="G27" s="356"/>
    </row>
    <row r="28" spans="1:7">
      <c r="A28" s="244" t="s">
        <v>141</v>
      </c>
      <c r="B28" s="16">
        <v>1</v>
      </c>
      <c r="C28" s="255">
        <v>0</v>
      </c>
      <c r="D28" s="246"/>
      <c r="E28" s="247"/>
      <c r="F28" s="167"/>
      <c r="G28" s="356"/>
    </row>
    <row r="29" spans="1:7">
      <c r="A29" s="244" t="s">
        <v>142</v>
      </c>
      <c r="B29" s="16">
        <v>1</v>
      </c>
      <c r="C29" s="255">
        <v>0</v>
      </c>
      <c r="D29" s="246"/>
      <c r="E29" s="247"/>
      <c r="F29" s="167"/>
      <c r="G29" s="356"/>
    </row>
    <row r="30" spans="1:7">
      <c r="A30" s="244" t="s">
        <v>126</v>
      </c>
      <c r="B30" s="16">
        <v>6</v>
      </c>
      <c r="C30" s="245">
        <f>B30</f>
        <v>6</v>
      </c>
      <c r="D30" s="257"/>
      <c r="E30" s="247"/>
      <c r="F30" s="167"/>
      <c r="G30" s="354"/>
    </row>
    <row r="31" spans="1:7">
      <c r="A31" s="244" t="s">
        <v>96</v>
      </c>
      <c r="B31" s="16">
        <v>1</v>
      </c>
      <c r="C31" s="245">
        <v>0</v>
      </c>
      <c r="D31" s="246"/>
      <c r="E31" s="247"/>
      <c r="F31" s="167"/>
      <c r="G31" s="354"/>
    </row>
    <row r="32" spans="1:7">
      <c r="A32" s="244" t="s">
        <v>144</v>
      </c>
      <c r="B32" s="16">
        <v>1</v>
      </c>
      <c r="C32" s="245">
        <v>0.5</v>
      </c>
      <c r="D32" s="246"/>
      <c r="E32" s="247"/>
      <c r="F32" s="167"/>
      <c r="G32" s="354"/>
    </row>
    <row r="33" spans="1:7">
      <c r="A33" s="244" t="s">
        <v>168</v>
      </c>
      <c r="B33" s="16">
        <v>2</v>
      </c>
      <c r="C33" s="245">
        <v>0.5</v>
      </c>
      <c r="D33" s="246"/>
      <c r="E33" s="247"/>
      <c r="F33" s="167"/>
      <c r="G33" s="354"/>
    </row>
    <row r="34" spans="1:7">
      <c r="A34" s="244" t="s">
        <v>146</v>
      </c>
      <c r="B34" s="16">
        <v>3</v>
      </c>
      <c r="C34" s="245">
        <f>B34</f>
        <v>3</v>
      </c>
      <c r="D34" s="246"/>
      <c r="E34" s="247"/>
      <c r="F34" s="167"/>
      <c r="G34" s="354"/>
    </row>
    <row r="35" spans="1:7">
      <c r="A35" s="244" t="s">
        <v>145</v>
      </c>
      <c r="B35" s="16">
        <v>1</v>
      </c>
      <c r="C35" s="245">
        <v>1</v>
      </c>
      <c r="D35" s="246"/>
      <c r="E35" s="247"/>
      <c r="F35" s="167"/>
      <c r="G35" s="354"/>
    </row>
    <row r="36" spans="1:7">
      <c r="A36" s="244" t="s">
        <v>97</v>
      </c>
      <c r="B36" s="16">
        <v>3</v>
      </c>
      <c r="C36" s="245">
        <f>D36</f>
        <v>0</v>
      </c>
      <c r="D36" s="257"/>
      <c r="E36" s="247"/>
      <c r="F36" s="167"/>
      <c r="G36" s="354"/>
    </row>
    <row r="37" spans="1:7">
      <c r="A37" s="259" t="s">
        <v>205</v>
      </c>
      <c r="B37" s="16">
        <v>1</v>
      </c>
      <c r="C37" s="260">
        <v>0</v>
      </c>
      <c r="D37" s="257"/>
      <c r="E37" s="349"/>
      <c r="F37" s="167"/>
      <c r="G37" s="268">
        <v>200</v>
      </c>
    </row>
    <row r="38" spans="1:7" ht="16.2" thickBot="1">
      <c r="A38" s="248" t="s">
        <v>121</v>
      </c>
      <c r="B38" s="249">
        <v>500</v>
      </c>
      <c r="C38" s="250">
        <f>B38/100</f>
        <v>5</v>
      </c>
      <c r="D38" s="258"/>
      <c r="E38" s="252"/>
      <c r="F38" s="167"/>
      <c r="G38" s="357">
        <f>B38</f>
        <v>500</v>
      </c>
    </row>
    <row r="39" spans="1:7" ht="16.2" thickTop="1"/>
    <row r="40" spans="1:7">
      <c r="A40" s="24"/>
      <c r="B40" s="24"/>
      <c r="E40" s="68" t="s">
        <v>198</v>
      </c>
      <c r="G40" s="358">
        <f>SUM(Martial!M3:M30,Equipment!G3:G38)</f>
        <v>16165</v>
      </c>
    </row>
  </sheetData>
  <sortState ref="A3:D6">
    <sortCondition ref="A3:A6"/>
  </sortState>
  <phoneticPr fontId="0" type="noConversion"/>
  <printOptions gridLinesSet="0"/>
  <pageMargins left="0.62" right="0.33"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Personal File</vt:lpstr>
      <vt:lpstr>Skills</vt:lpstr>
      <vt:lpstr>Feats</vt:lpstr>
      <vt:lpstr>Martial</vt:lpstr>
      <vt:lpstr>Equipment</vt:lpstr>
      <vt:lpstr>'Personal File'!Print_Area</vt:lpstr>
      <vt:lpstr>Skills!Print_Area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2012-10-12T16:15:15Z</cp:lastPrinted>
  <dcterms:created xsi:type="dcterms:W3CDTF">2000-10-24T15:39:59Z</dcterms:created>
  <dcterms:modified xsi:type="dcterms:W3CDTF">2020-03-02T00:02:29Z</dcterms:modified>
</cp:coreProperties>
</file>