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A\Juegos\FoL\Used\Characters\Part II\"/>
    </mc:Choice>
  </mc:AlternateContent>
  <xr:revisionPtr revIDLastSave="0" documentId="13_ncr:1_{A975980E-AE4D-4CAE-8556-1249AA698B8A}"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Spellcasting" sheetId="30" r:id="rId4"/>
    <sheet name="Feats" sheetId="26" r:id="rId5"/>
    <sheet name="Martial" sheetId="6" r:id="rId6"/>
    <sheet name="Equipment" sheetId="19" r:id="rId7"/>
    <sheet name="XP Awards" sheetId="28" r:id="rId8"/>
  </sheets>
  <externalReferences>
    <externalReference r:id="rId9"/>
  </externalReferences>
  <definedNames>
    <definedName name="NoShade">'[1]Spell Sheet'!$FH$1</definedName>
    <definedName name="OLE_LINK1" localSheetId="4">Feats!#REF!</definedName>
    <definedName name="OLE_LINK1" localSheetId="3">Spellcasting!#REF!</definedName>
    <definedName name="_xlnm.Print_Area" localSheetId="6">Equipment!#REF!</definedName>
    <definedName name="_xlnm.Print_Area" localSheetId="4">Feats!#REF!</definedName>
    <definedName name="_xlnm.Print_Area" localSheetId="5">Martial!#REF!</definedName>
    <definedName name="_xlnm.Print_Area" localSheetId="0">'Personal File'!$A$1:$H$47</definedName>
    <definedName name="_xlnm.Print_Area" localSheetId="1">Skills!$A$1:$K$27</definedName>
    <definedName name="_xlnm.Print_Area" localSheetId="3">Spellcasting!#REF!</definedName>
    <definedName name="_xlnm.Print_Area" localSheetId="2">Spells!$A$1:$H$13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26" l="1"/>
  <c r="G4" i="26"/>
  <c r="G3" i="26"/>
  <c r="B8" i="4" l="1"/>
  <c r="E13" i="4" l="1"/>
  <c r="F13" i="15"/>
  <c r="F39"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7" i="15"/>
  <c r="B42" i="15"/>
  <c r="E12" i="4"/>
  <c r="E6" i="30" l="1"/>
  <c r="B5" i="15"/>
  <c r="B4" i="15"/>
  <c r="B3" i="15"/>
  <c r="B15" i="4"/>
  <c r="B14" i="4"/>
  <c r="B13" i="4"/>
  <c r="B12" i="4"/>
  <c r="B10" i="4"/>
  <c r="M20" i="6"/>
  <c r="D3" i="6"/>
  <c r="D4" i="6"/>
  <c r="H4" i="6" s="1"/>
  <c r="F38" i="15" l="1"/>
  <c r="I3" i="6"/>
  <c r="M21" i="6" l="1"/>
  <c r="M16" i="6"/>
  <c r="G16" i="6"/>
  <c r="C8" i="19" l="1"/>
  <c r="D10" i="26" l="1"/>
  <c r="D11" i="26"/>
  <c r="D12" i="26"/>
  <c r="D13" i="26"/>
  <c r="D14" i="26"/>
  <c r="E50" i="15" l="1"/>
  <c r="D10" i="30" l="1"/>
  <c r="H7" i="6" s="1"/>
  <c r="K6" i="30"/>
  <c r="J6" i="30"/>
  <c r="I6" i="30"/>
  <c r="H6" i="30"/>
  <c r="G6" i="30"/>
  <c r="F6" i="30"/>
  <c r="D6" i="30"/>
  <c r="C6" i="30"/>
  <c r="B6" i="30"/>
  <c r="H8" i="15" l="1"/>
  <c r="C7" i="28" l="1"/>
  <c r="B11" i="28" s="1"/>
  <c r="B13" i="28" s="1"/>
  <c r="B15" i="28" s="1"/>
  <c r="B1" i="28" l="1"/>
  <c r="F26" i="15" l="1"/>
  <c r="F33" i="15"/>
  <c r="F23" i="15"/>
  <c r="F21" i="15"/>
  <c r="F16" i="15"/>
  <c r="F7" i="15"/>
  <c r="G8" i="19" l="1"/>
  <c r="E11" i="4" l="1"/>
  <c r="H3" i="15"/>
  <c r="H4" i="15"/>
  <c r="H5" i="15"/>
  <c r="I8" i="6" l="1"/>
  <c r="I9" i="6" l="1"/>
  <c r="I7" i="6"/>
  <c r="I4" i="6"/>
  <c r="J7" i="6" l="1"/>
  <c r="C15" i="4" l="1"/>
  <c r="C14" i="4"/>
  <c r="C13" i="4"/>
  <c r="C12" i="4"/>
  <c r="C11" i="4"/>
  <c r="B9" i="4" s="1"/>
  <c r="C10" i="4"/>
  <c r="E48" i="15" l="1"/>
  <c r="E47" i="15"/>
  <c r="E49" i="15"/>
  <c r="E7" i="30"/>
  <c r="J4" i="6"/>
  <c r="E15" i="4"/>
  <c r="E14" i="4" s="1"/>
  <c r="H3" i="6"/>
  <c r="E46" i="15"/>
  <c r="E45" i="15"/>
  <c r="E44" i="15"/>
  <c r="G7" i="30"/>
  <c r="F7" i="30"/>
  <c r="D7" i="30"/>
  <c r="K7" i="30"/>
  <c r="C7" i="30"/>
  <c r="B7" i="30"/>
  <c r="I7" i="30"/>
  <c r="H7" i="30"/>
  <c r="J7" i="30"/>
  <c r="C3" i="6"/>
  <c r="D3" i="15"/>
  <c r="D10" i="15"/>
  <c r="E10" i="15" s="1"/>
  <c r="D4" i="15"/>
  <c r="D21" i="15"/>
  <c r="E21" i="15" s="1"/>
  <c r="D33" i="15"/>
  <c r="E33" i="15" s="1"/>
  <c r="D7" i="15"/>
  <c r="E7" i="15" s="1"/>
  <c r="D26" i="15"/>
  <c r="E26" i="15" s="1"/>
  <c r="D39" i="15"/>
  <c r="E39" i="15" s="1"/>
  <c r="D27" i="15"/>
  <c r="E27" i="15" s="1"/>
  <c r="D41" i="15"/>
  <c r="E41" i="15" s="1"/>
  <c r="D16" i="15"/>
  <c r="E16" i="15" s="1"/>
  <c r="D30" i="15"/>
  <c r="E30" i="15" s="1"/>
  <c r="D8" i="15"/>
  <c r="E8" i="15" s="1"/>
  <c r="D22" i="15"/>
  <c r="E22" i="15" s="1"/>
  <c r="D18" i="15"/>
  <c r="E18" i="15" s="1"/>
  <c r="D15" i="15"/>
  <c r="E15" i="15" s="1"/>
  <c r="D13" i="15"/>
  <c r="E13" i="15" s="1"/>
  <c r="D19" i="15"/>
  <c r="E19" i="15" s="1"/>
  <c r="D28" i="15"/>
  <c r="E28" i="15" s="1"/>
  <c r="D40" i="15"/>
  <c r="E40" i="15" s="1"/>
  <c r="D32" i="15"/>
  <c r="E32" i="15" s="1"/>
  <c r="D5" i="15"/>
  <c r="D29" i="15"/>
  <c r="E29" i="15" s="1"/>
  <c r="D20" i="15"/>
  <c r="E20" i="15" s="1"/>
  <c r="D37" i="15"/>
  <c r="E37" i="15" s="1"/>
  <c r="D25" i="15"/>
  <c r="E25" i="15" s="1"/>
  <c r="D36" i="15"/>
  <c r="E36" i="15" s="1"/>
  <c r="D23" i="15"/>
  <c r="E23" i="15" s="1"/>
  <c r="D38" i="15"/>
  <c r="E38" i="15" s="1"/>
  <c r="D9" i="15"/>
  <c r="E9" i="15" s="1"/>
  <c r="E43" i="15"/>
  <c r="D6" i="15"/>
  <c r="E6" i="15" s="1"/>
  <c r="D14" i="15"/>
  <c r="E14" i="15" s="1"/>
  <c r="D11" i="15"/>
  <c r="E11" i="15" s="1"/>
  <c r="D24" i="15"/>
  <c r="E24" i="15" s="1"/>
  <c r="D17" i="15"/>
  <c r="E17" i="15" s="1"/>
  <c r="D35" i="15"/>
  <c r="E35" i="15" s="1"/>
  <c r="D12" i="15"/>
  <c r="E12" i="15" s="1"/>
  <c r="D34" i="15"/>
  <c r="E34" i="15" s="1"/>
  <c r="D31" i="15"/>
  <c r="E31" i="15" s="1"/>
  <c r="H8" i="6"/>
  <c r="J8" i="6" s="1"/>
  <c r="H9" i="6"/>
  <c r="J9" i="6" s="1"/>
  <c r="H41" i="15"/>
  <c r="H6" i="15"/>
  <c r="J3" i="6" l="1"/>
  <c r="E3" i="15"/>
  <c r="G3" i="15"/>
  <c r="I3" i="15" s="1"/>
  <c r="E4" i="15"/>
  <c r="G4" i="15"/>
  <c r="I4" i="15" s="1"/>
  <c r="E42" i="15"/>
  <c r="E5" i="15"/>
  <c r="G5" i="15"/>
  <c r="I5" i="15" s="1"/>
  <c r="G24" i="15" l="1"/>
  <c r="I24" i="15" l="1"/>
  <c r="G29" i="15" l="1"/>
  <c r="G8" i="15" l="1"/>
  <c r="G6" i="15"/>
  <c r="I6" i="15" s="1"/>
  <c r="G10" i="15"/>
  <c r="G16" i="15"/>
  <c r="G21" i="15"/>
  <c r="G26" i="15"/>
  <c r="I26" i="15" s="1"/>
  <c r="G41" i="15"/>
  <c r="G27" i="15"/>
  <c r="I27" i="15" s="1"/>
  <c r="G36" i="15"/>
  <c r="G19" i="15"/>
  <c r="G7" i="15"/>
  <c r="G17" i="15"/>
  <c r="G22" i="15"/>
  <c r="I29" i="15"/>
  <c r="G28" i="15"/>
  <c r="I28" i="15" s="1"/>
  <c r="G12" i="15"/>
  <c r="G40" i="15"/>
  <c r="G39" i="15"/>
  <c r="G35" i="15"/>
  <c r="G13" i="15"/>
  <c r="I13" i="15" s="1"/>
  <c r="G18" i="15"/>
  <c r="G23" i="15"/>
  <c r="G30" i="15"/>
  <c r="G14" i="15"/>
  <c r="G31" i="15"/>
  <c r="G34" i="15"/>
  <c r="G11" i="15"/>
  <c r="I11" i="15" s="1"/>
  <c r="G9" i="15"/>
  <c r="G15" i="15"/>
  <c r="G20" i="15"/>
  <c r="G25" i="15"/>
  <c r="G32" i="15"/>
  <c r="I32" i="15" s="1"/>
  <c r="G33" i="15"/>
  <c r="G38" i="15"/>
  <c r="I38" i="15" s="1"/>
  <c r="G37" i="15"/>
  <c r="I34" i="15" l="1"/>
  <c r="I12" i="15"/>
  <c r="I39" i="15"/>
  <c r="I9" i="15"/>
  <c r="I23" i="15"/>
  <c r="I7" i="15"/>
  <c r="I25" i="15"/>
  <c r="I15" i="15"/>
  <c r="I30" i="15"/>
  <c r="I18" i="15"/>
  <c r="I17" i="15"/>
  <c r="I19" i="15"/>
  <c r="I16" i="15"/>
  <c r="I37" i="15"/>
  <c r="I33" i="15"/>
  <c r="I14" i="15"/>
  <c r="I40" i="15"/>
  <c r="I41" i="15"/>
  <c r="I21" i="15"/>
  <c r="I31" i="15"/>
  <c r="I35" i="15"/>
  <c r="I20" i="15"/>
  <c r="I36" i="15"/>
  <c r="I22" i="15"/>
  <c r="I10" i="15"/>
  <c r="I8" i="15"/>
  <c r="G2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8" authorId="0" shapeId="0" xr:uid="{F9F071BE-64E9-4879-8C80-9D8FE6D282C5}">
      <text>
        <r>
          <rPr>
            <i/>
            <sz val="12"/>
            <color indexed="81"/>
            <rFont val="Times New Roman"/>
            <family val="1"/>
          </rPr>
          <t>divine favor +1
bane -1
haste +1</t>
        </r>
      </text>
    </comment>
    <comment ref="E8" authorId="0" shapeId="0" xr:uid="{81AC56B1-451D-49E3-AC58-FC737D4BB7C4}">
      <text>
        <r>
          <rPr>
            <b/>
            <sz val="12"/>
            <color indexed="81"/>
            <rFont val="Times New Roman"/>
            <family val="1"/>
          </rPr>
          <t>Extreme Leap (Skill Trick)</t>
        </r>
        <r>
          <rPr>
            <sz val="12"/>
            <color indexed="81"/>
            <rFont val="Times New Roman"/>
            <family val="1"/>
          </rPr>
          <t xml:space="preserve">
Your extraordinary leaping ability carries you over great distances.
</t>
        </r>
        <r>
          <rPr>
            <b/>
            <sz val="12"/>
            <color indexed="81"/>
            <rFont val="Times New Roman"/>
            <family val="1"/>
          </rPr>
          <t xml:space="preserve">Prerequisite:  </t>
        </r>
        <r>
          <rPr>
            <sz val="12"/>
            <color indexed="81"/>
            <rFont val="Times New Roman"/>
            <family val="1"/>
          </rPr>
          <t xml:space="preserve">Jump 5 ranks.
</t>
        </r>
        <r>
          <rPr>
            <b/>
            <sz val="12"/>
            <color indexed="81"/>
            <rFont val="Times New Roman"/>
            <family val="1"/>
          </rPr>
          <t xml:space="preserve">Benefit:  </t>
        </r>
        <r>
          <rPr>
            <sz val="12"/>
            <color indexed="81"/>
            <rFont val="Times New Roman"/>
            <family val="1"/>
          </rPr>
          <t>If you make a horizontal jump of at least 10 feet during your turn, you can spend a swift action to move an additional 10 feet on that turn.
Complete Scoundrel 86</t>
        </r>
      </text>
    </comment>
    <comment ref="C9" authorId="0" shapeId="0" xr:uid="{23C0A8AD-8B24-4DB4-98ED-1E592103C21C}">
      <text>
        <r>
          <rPr>
            <sz val="12"/>
            <color indexed="81"/>
            <rFont val="Times New Roman"/>
            <family val="1"/>
          </rPr>
          <t>Blooded +2</t>
        </r>
      </text>
    </comment>
    <comment ref="E9" authorId="0" shapeId="0" xr:uid="{1007607B-C2D1-43EF-B937-28BD8F66EF8B}">
      <text>
        <r>
          <rPr>
            <sz val="12"/>
            <color indexed="81"/>
            <rFont val="Times New Roman"/>
            <family val="1"/>
          </rPr>
          <t>Next level at 36,000 XPs</t>
        </r>
      </text>
    </comment>
    <comment ref="E10" authorId="0" shapeId="0" xr:uid="{950A73CF-FD15-4514-A687-6FBD9F49B8A7}">
      <text>
        <r>
          <rPr>
            <sz val="12"/>
            <color indexed="81"/>
            <rFont val="Times New Roman"/>
            <family val="1"/>
          </rPr>
          <t>See PHB 162</t>
        </r>
      </text>
    </comment>
    <comment ref="E11" authorId="0" shapeId="0" xr:uid="{26CD1242-8118-49FE-A240-0D13C5069AD8}">
      <text>
        <r>
          <rPr>
            <sz val="12"/>
            <color indexed="81"/>
            <rFont val="Times New Roman"/>
            <family val="1"/>
          </rPr>
          <t>Haversack is 5 lbs.</t>
        </r>
      </text>
    </comment>
    <comment ref="E12" authorId="0" shapeId="0" xr:uid="{00000000-0006-0000-0000-000004000000}">
      <text>
        <r>
          <rPr>
            <sz val="12"/>
            <color indexed="81"/>
            <rFont val="Times New Roman"/>
            <family val="1"/>
          </rPr>
          <t>[(7 * 4 Sorceress) * 75%]
+ (7 * 0 Con)</t>
        </r>
      </text>
    </comment>
    <comment ref="E13" authorId="0" shapeId="0" xr:uid="{9400A056-C2BB-4FE5-823B-AEE1C062D298}">
      <text>
        <r>
          <rPr>
            <i/>
            <sz val="12"/>
            <color indexed="81"/>
            <rFont val="Times New Roman"/>
            <family val="1"/>
          </rPr>
          <t>Ring of Protection +3
+1 haste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D4102969-7538-48A0-A96A-298080D0C1C7}">
      <text>
        <r>
          <rPr>
            <sz val="12"/>
            <color indexed="81"/>
            <rFont val="Times New Roman"/>
            <family val="1"/>
          </rPr>
          <t>Survivor +1</t>
        </r>
      </text>
    </comment>
    <comment ref="F7" authorId="0" shapeId="0" xr:uid="{EEC338AA-01CF-4FC0-B86F-F8DF3D45F6DE}">
      <text>
        <r>
          <rPr>
            <sz val="12"/>
            <color indexed="81"/>
            <rFont val="Times New Roman"/>
            <family val="1"/>
          </rPr>
          <t>Armor penalty</t>
        </r>
      </text>
    </comment>
    <comment ref="F13" authorId="0" shapeId="0" xr:uid="{35E08F84-B598-4183-841D-6B4E3E0482EB}">
      <text>
        <r>
          <rPr>
            <sz val="12"/>
            <color indexed="81"/>
            <rFont val="Times New Roman"/>
            <family val="1"/>
          </rPr>
          <t>Bluff synergy +2
Negotiator +2</t>
        </r>
      </text>
    </comment>
    <comment ref="F16" authorId="0" shapeId="0" xr:uid="{8681E728-1490-4A26-847C-89C1664AE8FC}">
      <text>
        <r>
          <rPr>
            <sz val="12"/>
            <color indexed="81"/>
            <rFont val="Times New Roman"/>
            <family val="1"/>
          </rPr>
          <t>Armor penalty</t>
        </r>
      </text>
    </comment>
    <comment ref="F21" authorId="0" shapeId="0" xr:uid="{9BA237BF-295D-4B49-AC11-EFF3B517525F}">
      <text>
        <r>
          <rPr>
            <sz val="12"/>
            <color indexed="81"/>
            <rFont val="Times New Roman"/>
            <family val="1"/>
          </rPr>
          <t>Armor penalty</t>
        </r>
      </text>
    </comment>
    <comment ref="F22" authorId="0" shapeId="0" xr:uid="{12C10405-5391-4154-835E-91EDF3A6DA4C}">
      <text>
        <r>
          <rPr>
            <sz val="12"/>
            <color indexed="81"/>
            <rFont val="Times New Roman"/>
            <family val="1"/>
          </rPr>
          <t>Bluff +2</t>
        </r>
      </text>
    </comment>
    <comment ref="F23" authorId="0" shapeId="0" xr:uid="{9954535D-0B44-46E5-A949-8F12804A1892}">
      <text>
        <r>
          <rPr>
            <sz val="12"/>
            <color indexed="81"/>
            <rFont val="Times New Roman"/>
            <family val="1"/>
          </rPr>
          <t>Armor penalty</t>
        </r>
      </text>
    </comment>
    <comment ref="F25" authorId="0" shapeId="0" xr:uid="{8CDD8E54-1FF0-4C30-9E66-295894CB32EB}">
      <text>
        <r>
          <rPr>
            <sz val="12"/>
            <color indexed="81"/>
            <rFont val="Times New Roman"/>
            <family val="1"/>
          </rPr>
          <t>Alertness +2</t>
        </r>
      </text>
    </comment>
    <comment ref="F26" authorId="0" shapeId="0" xr:uid="{FEAABE47-FE22-4571-B027-838DB519F77D}">
      <text>
        <r>
          <rPr>
            <sz val="12"/>
            <color indexed="81"/>
            <rFont val="Times New Roman"/>
            <family val="1"/>
          </rPr>
          <t>Armor penalty</t>
        </r>
      </text>
    </comment>
    <comment ref="F32" authorId="0" shapeId="0" xr:uid="{82BA4E8B-5FAD-4CDF-9BFB-591D90C0E0CF}">
      <text>
        <r>
          <rPr>
            <sz val="12"/>
            <color indexed="81"/>
            <rFont val="Times New Roman"/>
            <family val="1"/>
          </rPr>
          <t>Negotiator +2</t>
        </r>
      </text>
    </comment>
    <comment ref="F33" authorId="0" shapeId="0" xr:uid="{590B8E20-33CF-45A1-9151-6E34B1F8BCD7}">
      <text>
        <r>
          <rPr>
            <sz val="12"/>
            <color indexed="81"/>
            <rFont val="Times New Roman"/>
            <family val="1"/>
          </rPr>
          <t>Armor penalty</t>
        </r>
      </text>
    </comment>
    <comment ref="F35" authorId="0" shapeId="0" xr:uid="{01412698-64E2-494A-8D22-AFECA6746429}">
      <text>
        <r>
          <rPr>
            <sz val="12"/>
            <color indexed="81"/>
            <rFont val="Times New Roman"/>
            <family val="1"/>
          </rPr>
          <t>K: Arcana +2</t>
        </r>
      </text>
    </comment>
    <comment ref="F36" authorId="0" shapeId="0" xr:uid="{6A41C7EA-F33E-4674-832F-7F4347C964FD}">
      <text>
        <r>
          <rPr>
            <sz val="12"/>
            <color indexed="81"/>
            <rFont val="Times New Roman"/>
            <family val="1"/>
          </rPr>
          <t>Alertness +2</t>
        </r>
      </text>
    </comment>
    <comment ref="F37" authorId="0" shapeId="0" xr:uid="{4F29A7FE-1E35-473A-B5B6-FC6BA6993E1A}">
      <text>
        <r>
          <rPr>
            <sz val="12"/>
            <color indexed="81"/>
            <rFont val="Times New Roman"/>
            <family val="1"/>
          </rPr>
          <t>Survivor +1</t>
        </r>
      </text>
    </comment>
    <comment ref="F38" authorId="0" shapeId="0" xr:uid="{0989F04B-E094-44F7-B5F2-8840410CDEB0}">
      <text>
        <r>
          <rPr>
            <sz val="12"/>
            <color indexed="81"/>
            <rFont val="Times New Roman"/>
            <family val="1"/>
          </rPr>
          <t>Armor penalty x2</t>
        </r>
      </text>
    </comment>
    <comment ref="F39" authorId="0" shapeId="0" xr:uid="{FB56088D-7D3B-4645-9552-1060BCEB0878}">
      <text>
        <r>
          <rPr>
            <sz val="12"/>
            <color indexed="81"/>
            <rFont val="Times New Roman"/>
            <family val="1"/>
          </rPr>
          <t>Armor penalty</t>
        </r>
      </text>
    </comment>
    <comment ref="F40" authorId="0" shapeId="0" xr:uid="{DC414760-86E2-4D01-AF3B-DD1A714EBED2}">
      <text>
        <r>
          <rPr>
            <sz val="12"/>
            <color indexed="81"/>
            <rFont val="Times New Roman"/>
            <family val="1"/>
          </rPr>
          <t>Spellcraft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2" authorId="0" shapeId="0" xr:uid="{2B2FA340-7390-4F13-8226-82EA9BD74166}">
      <text>
        <r>
          <rPr>
            <sz val="12"/>
            <color indexed="81"/>
            <rFont val="Times New Roman"/>
            <family val="1"/>
          </rPr>
          <t xml:space="preserve">You can cast spells without relying on material components.
</t>
        </r>
        <r>
          <rPr>
            <b/>
            <sz val="12"/>
            <color indexed="81"/>
            <rFont val="Times New Roman"/>
            <family val="1"/>
          </rPr>
          <t xml:space="preserve">Benefit:  </t>
        </r>
        <r>
          <rPr>
            <sz val="12"/>
            <color indexed="81"/>
            <rFont val="Times New Roman"/>
            <family val="1"/>
          </rPr>
          <t>You can cast any spell that has a material component costing 1 gp or less without needing that component.  (The casting of the spell still provokes attacks of opportunity as normal.) If the spell requires a material component that costs more than 1 gp, you must have the material component at hand to cast the spell, just as normal.
PHB 94</t>
        </r>
      </text>
    </comment>
    <comment ref="D4" authorId="0" shapeId="0" xr:uid="{569CD974-498C-4FDC-85CC-FFDC4E2A838C}">
      <text>
        <r>
          <rPr>
            <sz val="12"/>
            <color indexed="81"/>
            <rFont val="Times New Roman"/>
            <family val="1"/>
          </rPr>
          <t>Wool or wax</t>
        </r>
      </text>
    </comment>
    <comment ref="D6" authorId="0" shapeId="0" xr:uid="{00000000-0006-0000-0200-000001000000}">
      <text>
        <r>
          <rPr>
            <sz val="12"/>
            <color indexed="81"/>
            <rFont val="Times New Roman"/>
            <family val="1"/>
          </rPr>
          <t>Phosphorescent moss</t>
        </r>
      </text>
    </comment>
    <comment ref="D8" authorId="0" shapeId="0" xr:uid="{862448E9-2BF8-4469-831D-F47A1A28838A}">
      <text>
        <r>
          <rPr>
            <sz val="12"/>
            <color indexed="81"/>
            <rFont val="Times New Roman"/>
            <family val="1"/>
          </rPr>
          <t>Copper wire</t>
        </r>
      </text>
    </comment>
    <comment ref="D9" authorId="0" shapeId="0" xr:uid="{00000000-0006-0000-0200-000003000000}">
      <text>
        <r>
          <rPr>
            <sz val="12"/>
            <color indexed="81"/>
            <rFont val="Times New Roman"/>
            <family val="1"/>
          </rPr>
          <t>Prism, lens, or monocle</t>
        </r>
      </text>
    </comment>
    <comment ref="D11" authorId="0" shapeId="0" xr:uid="{500D0EE9-8268-4798-B1C6-93E05738C3B1}">
      <text>
        <r>
          <rPr>
            <sz val="12"/>
            <color indexed="81"/>
            <rFont val="Times New Roman"/>
            <family val="1"/>
          </rPr>
          <t>Soot &amp; Salt</t>
        </r>
      </text>
    </comment>
    <comment ref="D12" authorId="0" shapeId="0" xr:uid="{73BD88CE-12F8-41E4-910C-DDC766B1968C}">
      <text>
        <r>
          <rPr>
            <sz val="12"/>
            <color indexed="81"/>
            <rFont val="Times New Roman"/>
            <family val="1"/>
          </rPr>
          <t>Cured leather</t>
        </r>
      </text>
    </comment>
    <comment ref="D15" authorId="0" shapeId="0" xr:uid="{C3CF6E30-F229-4D9B-8379-174278384E75}">
      <text>
        <r>
          <rPr>
            <sz val="12"/>
            <color indexed="81"/>
            <rFont val="Times New Roman"/>
            <family val="1"/>
          </rPr>
          <t>Pendulum</t>
        </r>
      </text>
    </comment>
    <comment ref="D16" authorId="0" shapeId="0" xr:uid="{B7395325-80B1-4190-B8F2-0DBA9AA11AE2}">
      <text>
        <r>
          <rPr>
            <sz val="12"/>
            <rFont val="Times New Roman"/>
            <family val="1"/>
          </rPr>
          <t>Bag and candle</t>
        </r>
      </text>
    </comment>
    <comment ref="D17" authorId="0" shapeId="0" xr:uid="{1315C1D1-FAA0-48A8-9A9F-64A15B0756F7}">
      <text>
        <r>
          <rPr>
            <sz val="12"/>
            <color indexed="81"/>
            <rFont val="Times New Roman"/>
            <family val="1"/>
          </rPr>
          <t>spider web</t>
        </r>
      </text>
    </comment>
    <comment ref="D19" authorId="0" shapeId="0" xr:uid="{D2F6CC3F-4E18-418F-9403-CD0EA7FF9879}">
      <text>
        <r>
          <rPr>
            <sz val="12"/>
            <color indexed="81"/>
            <rFont val="Times New Roman"/>
            <family val="1"/>
          </rPr>
          <t>Bat guano &amp; sulfur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A0D37E7A-FC7D-4488-A203-F06F28C883AD}">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C2" authorId="0" shapeId="0" xr:uid="{E2D47846-79A5-4969-B24D-C704291DEC86}">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3" authorId="0" shapeId="0" xr:uid="{A8DD8A70-7E0B-4594-B4FE-6F9B35711D06}">
      <text>
        <r>
          <rPr>
            <sz val="12"/>
            <color indexed="81"/>
            <rFont val="Times New Roman"/>
            <family val="1"/>
          </rPr>
          <t xml:space="preserve">You possess a magical understanding of the manipulation of force.
</t>
        </r>
        <r>
          <rPr>
            <b/>
            <sz val="12"/>
            <color indexed="81"/>
            <rFont val="Times New Roman"/>
            <family val="1"/>
          </rPr>
          <t xml:space="preserve">Benefit:  </t>
        </r>
        <r>
          <rPr>
            <sz val="12"/>
            <color indexed="81"/>
            <rFont val="Times New Roman"/>
            <family val="1"/>
          </rPr>
          <t>An innate talent for magic grants you the following spell-like abilities as a 1st-level caster: 1/day—mage hand, open/close, Tenser’s floating disk.
Save DC 10 + spell level + your Cha modifier.
Feat Bible 56</t>
        </r>
      </text>
    </comment>
    <comment ref="A4" authorId="0" shapeId="0" xr:uid="{0CFC1DBF-4B65-4BD4-994A-41B0951ED7B8}">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A5" authorId="0" shapeId="0" xr:uid="{AE5CC325-C5BD-4FAE-BCDD-96FE5BD22400}">
      <text>
        <r>
          <rPr>
            <sz val="12"/>
            <color indexed="81"/>
            <rFont val="Times New Roman"/>
            <family val="1"/>
          </rPr>
          <t xml:space="preserve">You can cast spells without relying on material components.
</t>
        </r>
        <r>
          <rPr>
            <b/>
            <sz val="12"/>
            <color indexed="81"/>
            <rFont val="Times New Roman"/>
            <family val="1"/>
          </rPr>
          <t xml:space="preserve">Benefit:  </t>
        </r>
        <r>
          <rPr>
            <sz val="12"/>
            <color indexed="81"/>
            <rFont val="Times New Roman"/>
            <family val="1"/>
          </rPr>
          <t>You can cast any spell that has a material component costing 1 gp or less without needing that component.  (The casting of the spell still provokes attacks of opportunity as normal.) If the spell requires a material component that costs more than 1 gp, you must have the material component at hand to cast the spell, just as normal.
PHB 94</t>
        </r>
      </text>
    </comment>
    <comment ref="A6" authorId="0" shapeId="0" xr:uid="{E6E34CCE-7A37-411B-8121-CD047B943731}">
      <text>
        <r>
          <rPr>
            <sz val="12"/>
            <color indexed="81"/>
            <rFont val="Times New Roman"/>
            <family val="1"/>
          </rPr>
          <t xml:space="preserve">You are good at gauging and swaying attitudes.
</t>
        </r>
        <r>
          <rPr>
            <b/>
            <sz val="12"/>
            <color indexed="81"/>
            <rFont val="Times New Roman"/>
            <family val="1"/>
          </rPr>
          <t xml:space="preserve">Benefit: </t>
        </r>
        <r>
          <rPr>
            <sz val="12"/>
            <color indexed="81"/>
            <rFont val="Times New Roman"/>
            <family val="1"/>
          </rPr>
          <t>You get a +2 bonus on all Diplomacy checks and Sense Motive checks.
PHB 98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EB8DE98C-884B-403A-BD98-78E007A549E3}">
      <text>
        <r>
          <rPr>
            <sz val="12"/>
            <color indexed="81"/>
            <rFont val="Times New Roman"/>
            <family val="1"/>
          </rPr>
          <t>Inspire Courage +2</t>
        </r>
      </text>
    </comment>
    <comment ref="D4" authorId="0" shapeId="0" xr:uid="{52B86011-34D9-4449-A5C7-D30A5C8CCDD6}">
      <text>
        <r>
          <rPr>
            <sz val="12"/>
            <color indexed="81"/>
            <rFont val="Times New Roman"/>
            <family val="1"/>
          </rPr>
          <t>Inspire Courage +2</t>
        </r>
      </text>
    </comment>
    <comment ref="D11" authorId="0" shapeId="0" xr:uid="{00000000-0006-0000-0500-000005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<sst xmlns="http://schemas.openxmlformats.org/spreadsheetml/2006/main" count="500" uniqueCount="274">
  <si>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</si>
  <si>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</si>
  <si>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</si>
  <si>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</si>
  <si>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</si>
  <si>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</si>
  <si>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</si>
  <si>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</si>
  <si>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</si>
  <si>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</si>
  <si>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</si>
  <si>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</si>
  <si>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</si>
  <si>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</si>
  <si>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</si>
  <si>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</si>
  <si>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</si>
  <si>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</si>
  <si>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</si>
  <si>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</si>
  <si>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</si>
  <si>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</si>
  <si>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</si>
  <si>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</si>
  <si>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</si>
  <si>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</si>
  <si>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</si>
  <si>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</si>
  <si>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</si>
  <si>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</si>
  <si>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</si>
  <si>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</si>
  <si>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</si>
  <si>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</si>
  <si>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</si>
  <si>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</si>
  <si>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</si>
  <si>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</si>
  <si>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</si>
  <si>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</si>
  <si>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</si>
  <si>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</si>
  <si>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</si>
  <si>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</si>
  <si>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</si>
  <si>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</si>
  <si>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</si>
  <si>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</si>
  <si>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</si>
  <si>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</si>
  <si>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</si>
  <si>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</si>
  <si>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</si>
  <si>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</si>
  <si>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</si>
  <si>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</si>
  <si>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</si>
  <si>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</si>
  <si>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</si>
  <si>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</si>
  <si>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</si>
  <si>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</si>
  <si>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Universal</t>
  </si>
  <si>
    <t>1 min/lvl</t>
  </si>
  <si>
    <t>Instant</t>
  </si>
  <si>
    <t>Personal</t>
  </si>
  <si>
    <t>10 min/lvl</t>
  </si>
  <si>
    <t>Evocation</t>
  </si>
  <si>
    <t>Spell</t>
  </si>
  <si>
    <t>Languages</t>
  </si>
  <si>
    <t>School</t>
  </si>
  <si>
    <t>Equipment Worn</t>
  </si>
  <si>
    <t>Item</t>
  </si>
  <si>
    <t>Effects/</t>
  </si>
  <si>
    <t>Notes</t>
  </si>
  <si>
    <t>Equipment Carried</t>
  </si>
  <si>
    <t>Check</t>
  </si>
  <si>
    <t>Arcane</t>
  </si>
  <si>
    <t>Speed</t>
  </si>
  <si>
    <t>Divination</t>
  </si>
  <si>
    <t>Sleight of Hand</t>
  </si>
  <si>
    <t>Survival</t>
  </si>
  <si>
    <t>Weapon Proficiencies</t>
  </si>
  <si>
    <t>Atk</t>
  </si>
  <si>
    <t>Components</t>
  </si>
  <si>
    <t>Casting</t>
  </si>
  <si>
    <t>V S</t>
  </si>
  <si>
    <t>1 SA</t>
  </si>
  <si>
    <t>V S M/DF</t>
  </si>
  <si>
    <t>V S F</t>
  </si>
  <si>
    <t>Light</t>
  </si>
  <si>
    <t>Read Magic</t>
  </si>
  <si>
    <t>1st</t>
  </si>
  <si>
    <t>2nd</t>
  </si>
  <si>
    <t>3rd</t>
  </si>
  <si>
    <t>4th</t>
  </si>
  <si>
    <t>5th</t>
  </si>
  <si>
    <t>6th</t>
  </si>
  <si>
    <t>Spell Level</t>
  </si>
  <si>
    <t>0th</t>
  </si>
  <si>
    <t>7th</t>
  </si>
  <si>
    <t>Feats</t>
  </si>
  <si>
    <t>Roll</t>
  </si>
  <si>
    <t>Skill/Save</t>
  </si>
  <si>
    <t>30’</t>
  </si>
  <si>
    <t>Human</t>
  </si>
  <si>
    <t>V M/DF</t>
  </si>
  <si>
    <t>Perform:  [type]</t>
  </si>
  <si>
    <t>Knowledge:  Arcana</t>
  </si>
  <si>
    <t>human</t>
  </si>
  <si>
    <t>Bolts</t>
  </si>
  <si>
    <t>+0</t>
  </si>
  <si>
    <t>Value</t>
  </si>
  <si>
    <t>1d8</t>
  </si>
  <si>
    <t>Total Equity:</t>
  </si>
  <si>
    <t>19-20/x2</t>
  </si>
  <si>
    <t>-</t>
  </si>
  <si>
    <t>Traveler’s Outfit</t>
  </si>
  <si>
    <t>80’</t>
  </si>
  <si>
    <t>Race</t>
  </si>
  <si>
    <t>Class</t>
  </si>
  <si>
    <t>Sex</t>
  </si>
  <si>
    <t>Effective Caster Level:</t>
  </si>
  <si>
    <t>PHB</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</si>
  <si>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</si>
  <si>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</si>
  <si>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</si>
  <si>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</si>
  <si>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</si>
  <si>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</si>
  <si>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</si>
  <si>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</si>
  <si>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</si>
  <si>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</si>
  <si>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</si>
  <si>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</si>
  <si>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</si>
  <si>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</si>
  <si>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</si>
  <si>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</si>
  <si>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</si>
  <si>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</si>
  <si>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</si>
  <si>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</si>
  <si>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</si>
  <si>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</si>
  <si>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</si>
  <si>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</si>
  <si>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</si>
  <si>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Female</t>
  </si>
  <si>
    <t>Charisma Bonus</t>
  </si>
  <si>
    <t>Favored Soul Spells</t>
  </si>
  <si>
    <t>8th</t>
  </si>
  <si>
    <t>9th</t>
  </si>
  <si>
    <t>DC</t>
  </si>
  <si>
    <t>Cast?</t>
  </si>
  <si>
    <t>AC</t>
  </si>
  <si>
    <t>Dagger</t>
  </si>
  <si>
    <t>Gold Coins</t>
  </si>
  <si>
    <t>Bedroll</t>
  </si>
  <si>
    <t>Waterskin</t>
  </si>
  <si>
    <t>10’</t>
  </si>
  <si>
    <t>1d4</t>
  </si>
  <si>
    <t>4</t>
  </si>
  <si>
    <t>2</t>
  </si>
  <si>
    <t>Conjuration</t>
  </si>
  <si>
    <t>XP</t>
  </si>
  <si>
    <t>Character:</t>
  </si>
  <si>
    <t>%</t>
  </si>
  <si>
    <t>Excellent</t>
  </si>
  <si>
    <t>Missed Posts</t>
  </si>
  <si>
    <t>Maximum award for this segment</t>
  </si>
  <si>
    <t xml:space="preserve"> Character award for this segment</t>
  </si>
  <si>
    <t>Extra XPs</t>
  </si>
  <si>
    <t>Previous XP Balance</t>
  </si>
  <si>
    <t>Current XP Balance</t>
  </si>
  <si>
    <t>Thoroughness and clarity</t>
  </si>
  <si>
    <t>Level-appropriate use of skills, feats, limitations, and other features</t>
  </si>
  <si>
    <t>Convincing role-playing and character development</t>
  </si>
  <si>
    <t>Consistency with other characters’ actions and setting description</t>
  </si>
  <si>
    <t>Transmutation</t>
  </si>
  <si>
    <t>25’ + 2½’/lvl</t>
  </si>
  <si>
    <t>*</t>
  </si>
  <si>
    <t>Silk Rope</t>
  </si>
  <si>
    <t>50’</t>
  </si>
  <si>
    <t>Mending</t>
  </si>
  <si>
    <t>Illusion</t>
  </si>
  <si>
    <t>400’ + 40’/lvl</t>
  </si>
  <si>
    <t>Favored Soul Level</t>
  </si>
  <si>
    <t>Soft Equity Ceiling:</t>
  </si>
  <si>
    <t>60’</t>
  </si>
  <si>
    <t>+2 to act in character</t>
  </si>
  <si>
    <t>Total Spells</t>
  </si>
  <si>
    <t>Prc &amp; Slsh</t>
  </si>
  <si>
    <t>Attention to spelling &amp; punctuation; consistent use of past tense, third person</t>
  </si>
  <si>
    <t>Wish List:</t>
  </si>
  <si>
    <t>Touch Attack</t>
  </si>
  <si>
    <r>
      <t xml:space="preserve">+1 </t>
    </r>
    <r>
      <rPr>
        <i/>
        <sz val="13"/>
        <rFont val="Times New Roman"/>
        <family val="1"/>
      </rPr>
      <t>haste</t>
    </r>
  </si>
  <si>
    <r>
      <t>66</t>
    </r>
    <r>
      <rPr>
        <sz val="13"/>
        <rFont val="Times New Roman"/>
        <family val="1"/>
      </rPr>
      <t>/</t>
    </r>
    <r>
      <rPr>
        <sz val="13"/>
        <color indexed="51"/>
        <rFont val="Times New Roman"/>
        <family val="1"/>
      </rPr>
      <t>133</t>
    </r>
    <r>
      <rPr>
        <sz val="13"/>
        <rFont val="Times New Roman"/>
        <family val="1"/>
      </rPr>
      <t>/</t>
    </r>
    <r>
      <rPr>
        <sz val="13"/>
        <color indexed="10"/>
        <rFont val="Times New Roman"/>
        <family val="1"/>
      </rPr>
      <t>200</t>
    </r>
  </si>
  <si>
    <t>Scroll Case</t>
  </si>
  <si>
    <t>Aliya</t>
  </si>
  <si>
    <t>Evegress</t>
  </si>
  <si>
    <t>Played by Alice</t>
  </si>
  <si>
    <t>5’ 8”</t>
  </si>
  <si>
    <t>110 lbs.</t>
  </si>
  <si>
    <t>Chaotic Neutral</t>
  </si>
  <si>
    <t>Sorceress</t>
  </si>
  <si>
    <t>The North</t>
  </si>
  <si>
    <t>sorceress 1</t>
  </si>
  <si>
    <t>sorceress 2</t>
  </si>
  <si>
    <t>sorceress 3</t>
  </si>
  <si>
    <t>sorceress 4</t>
  </si>
  <si>
    <t>sorceress 5</t>
  </si>
  <si>
    <t>sorceress 7</t>
  </si>
  <si>
    <t>sorceress 6</t>
  </si>
  <si>
    <t>Sorceress Spells per Day</t>
  </si>
  <si>
    <t>Known Sorceress Spells</t>
  </si>
  <si>
    <t>Common, Elven</t>
  </si>
  <si>
    <t>Summon Familiar</t>
  </si>
  <si>
    <t>Human:  Alertness</t>
  </si>
  <si>
    <t>1st:  Combat Casting</t>
  </si>
  <si>
    <t>3rd:  Eschew Materials</t>
  </si>
  <si>
    <t>6th:  Negotiator</t>
  </si>
  <si>
    <t>Detect Magic</t>
  </si>
  <si>
    <t>Ghost Sound</t>
  </si>
  <si>
    <t>Mage Hand</t>
  </si>
  <si>
    <t>Message</t>
  </si>
  <si>
    <t>Burning Hands</t>
  </si>
  <si>
    <t>Comprehend Languages</t>
  </si>
  <si>
    <t>Mage Armor</t>
  </si>
  <si>
    <t>Magic Missile</t>
  </si>
  <si>
    <t>Shield</t>
  </si>
  <si>
    <t>Invisibility</t>
  </si>
  <si>
    <t>Summon Monster II</t>
  </si>
  <si>
    <t>Web</t>
  </si>
  <si>
    <t>Dispel Magic</t>
  </si>
  <si>
    <t>Fireball</t>
  </si>
  <si>
    <t>V S M</t>
  </si>
  <si>
    <t>1 rnd/lvl</t>
  </si>
  <si>
    <t>100’ + 10’/lvl</t>
  </si>
  <si>
    <t>15’</t>
  </si>
  <si>
    <t>1 hr/lvl</t>
  </si>
  <si>
    <t>V S F/DF</t>
  </si>
  <si>
    <t>1 FR</t>
  </si>
  <si>
    <t>Sorceress Spells</t>
  </si>
  <si>
    <t>Sorceresss Features</t>
  </si>
  <si>
    <t>Simple Weapons</t>
  </si>
  <si>
    <t xml:space="preserve">Speak Language: </t>
  </si>
  <si>
    <t>Craft</t>
  </si>
  <si>
    <t>Profession:  Companion</t>
  </si>
  <si>
    <t>none</t>
  </si>
  <si>
    <t>+4 while Casting on the Defensive</t>
  </si>
  <si>
    <t>five</t>
  </si>
  <si>
    <t>Backpack</t>
  </si>
  <si>
    <t>Candle</t>
  </si>
  <si>
    <t>Flint and Steel</t>
  </si>
  <si>
    <t>Torch</t>
  </si>
  <si>
    <t>Trail Rations</t>
  </si>
  <si>
    <t>Ring of Protection +3</t>
  </si>
  <si>
    <t>Mess Kit</t>
  </si>
  <si>
    <r>
      <t xml:space="preserve">Potion of </t>
    </r>
    <r>
      <rPr>
        <i/>
        <sz val="12"/>
        <rFont val="Times New Roman"/>
        <family val="1"/>
      </rPr>
      <t>Remove Curse</t>
    </r>
  </si>
  <si>
    <r>
      <t xml:space="preserve">Potion of </t>
    </r>
    <r>
      <rPr>
        <i/>
        <sz val="12"/>
        <rFont val="Times New Roman"/>
        <family val="1"/>
      </rPr>
      <t>Cure Light Wounds</t>
    </r>
  </si>
  <si>
    <t>Light Crossbow</t>
  </si>
  <si>
    <t>Flask of Holy Water</t>
  </si>
  <si>
    <t>1</t>
  </si>
  <si>
    <t>3 to Touch</t>
  </si>
  <si>
    <t>Average</t>
  </si>
  <si>
    <t>Good</t>
  </si>
  <si>
    <t>Regional:  Spell Hand</t>
  </si>
  <si>
    <t>Spell Hand Abilities</t>
  </si>
  <si>
    <t>q</t>
  </si>
  <si>
    <t>Open/Close</t>
  </si>
  <si>
    <t>Tenser’s Floating Disc</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</si>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</sst>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9"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i/>
      <sz val="13"/>
      <name val="Times New Roman"/>
      <family val="1"/>
    </font>
    <font>
      <sz val="13"/>
      <color rgb="FF9999FF"/>
      <name val="Times New Roman"/>
      <family val="1"/>
    </font>
    <font>
      <b/>
      <sz val="13"/>
      <color rgb="FF9999FF"/>
      <name val="Times New Roman"/>
      <family val="1"/>
    </font>
    <font>
      <b/>
      <sz val="12"/>
      <color indexed="81"/>
      <name val="Times New Roman"/>
      <family val="1"/>
    </font>
    <font>
      <i/>
      <sz val="12"/>
      <color indexed="81"/>
      <name val="Times New Roman"/>
      <family val="1"/>
    </font>
    <font>
      <b/>
      <sz val="12"/>
      <color theme="1"/>
      <name val="Times New Roman"/>
      <family val="1"/>
    </font>
    <font>
      <b/>
      <sz val="12"/>
      <color rgb="FF0000FF"/>
      <name val="Times New Roman"/>
      <family val="1"/>
    </font>
    <font>
      <i/>
      <sz val="12"/>
      <name val="Times New Roman"/>
      <family val="1"/>
    </font>
    <font>
      <i/>
      <sz val="18"/>
      <color theme="0"/>
      <name val="Times New Roman"/>
      <family val="1"/>
    </font>
    <font>
      <sz val="13"/>
      <color theme="0"/>
      <name val="Times New Roman"/>
      <family val="1"/>
    </font>
    <font>
      <sz val="12"/>
      <name val="Wingdings"/>
      <charset val="2"/>
    </font>
    <font>
      <i/>
      <sz val="22"/>
      <color rgb="FFCC66FF"/>
      <name val="Times New Roman"/>
      <family val="1"/>
    </font>
    <font>
      <i/>
      <sz val="18"/>
      <color rgb="FFCC66FF"/>
      <name val="Times New Roman"/>
      <family val="1"/>
    </font>
    <font>
      <i/>
      <sz val="16"/>
      <color rgb="FFCC66FF"/>
      <name val="Times New Roman"/>
      <family val="1"/>
    </font>
    <font>
      <b/>
      <i/>
      <sz val="12"/>
      <color indexed="81"/>
      <name val="Times New Roman"/>
      <family val="1"/>
    </font>
    <font>
      <sz val="13"/>
      <color rgb="FFCC66FF"/>
      <name val="Times New Roman"/>
      <family val="1"/>
    </font>
    <font>
      <sz val="13"/>
      <name val="Wingdings"/>
      <charset val="2"/>
    </font>
    <font>
      <b/>
      <sz val="13"/>
      <color rgb="FF00B0F0"/>
      <name val="Times New Roman"/>
      <family val="1"/>
    </font>
  </fonts>
  <fills count="2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66FF"/>
        <bgColor indexed="64"/>
      </patternFill>
    </fill>
    <fill>
      <patternFill patternType="solid">
        <fgColor rgb="FFFFFF00"/>
        <bgColor indexed="64"/>
      </patternFill>
    </fill>
    <fill>
      <patternFill patternType="solid">
        <fgColor rgb="FF9900FF"/>
        <bgColor indexed="64"/>
      </patternFill>
    </fill>
    <fill>
      <patternFill patternType="solid">
        <fgColor rgb="FF33CC33"/>
        <bgColor indexed="64"/>
      </patternFill>
    </fill>
    <fill>
      <patternFill patternType="solid">
        <fgColor theme="0" tint="-0.249977111117893"/>
        <bgColor indexed="55"/>
      </patternFill>
    </fill>
    <fill>
      <patternFill patternType="solid">
        <fgColor indexed="12"/>
        <bgColor indexed="64"/>
      </patternFill>
    </fill>
  </fills>
  <borders count="12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hair">
        <color indexed="64"/>
      </right>
      <top/>
      <bottom style="hair">
        <color indexed="64"/>
      </bottom>
      <diagonal/>
    </border>
    <border>
      <left/>
      <right/>
      <top/>
      <bottom style="thin">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style="double">
        <color auto="1"/>
      </left>
      <right style="medium">
        <color auto="1"/>
      </right>
      <top style="hair">
        <color indexed="64"/>
      </top>
      <bottom style="hair">
        <color indexed="64"/>
      </bottom>
      <diagonal/>
    </border>
    <border>
      <left style="double">
        <color auto="1"/>
      </left>
      <right style="medium">
        <color auto="1"/>
      </right>
      <top style="hair">
        <color indexed="64"/>
      </top>
      <bottom style="double">
        <color indexed="64"/>
      </bottom>
      <diagonal/>
    </border>
    <border>
      <left style="double">
        <color auto="1"/>
      </left>
      <right style="medium">
        <color auto="1"/>
      </right>
      <top style="hair">
        <color indexed="64"/>
      </top>
      <bottom/>
      <diagonal/>
    </border>
    <border>
      <left/>
      <right style="hair">
        <color indexed="64"/>
      </right>
      <top style="hair">
        <color indexed="64"/>
      </top>
      <bottom/>
      <diagonal/>
    </border>
    <border>
      <left style="double">
        <color indexed="64"/>
      </left>
      <right/>
      <top style="hair">
        <color indexed="64"/>
      </top>
      <bottom/>
      <diagonal/>
    </border>
    <border>
      <left style="hair">
        <color indexed="64"/>
      </left>
      <right/>
      <top style="hair">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5" fillId="0" borderId="0"/>
    <xf numFmtId="0" fontId="2" fillId="0" borderId="0"/>
    <xf numFmtId="0" fontId="38"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5" fillId="0" borderId="0"/>
  </cellStyleXfs>
  <cellXfs count="460">
    <xf numFmtId="0" fontId="0" fillId="0" borderId="0" xfId="0"/>
    <xf numFmtId="9" fontId="7" fillId="0" borderId="28" xfId="2" applyFont="1" applyFill="1" applyBorder="1" applyAlignment="1">
      <alignment horizontal="center" vertical="center" shrinkToFit="1"/>
    </xf>
    <xf numFmtId="0" fontId="12" fillId="3" borderId="39"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14" xfId="2"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14" xfId="2" applyNumberFormat="1" applyFont="1" applyFill="1" applyBorder="1" applyAlignment="1">
      <alignment horizontal="center" vertical="center" shrinkToFit="1"/>
    </xf>
    <xf numFmtId="0" fontId="20" fillId="2" borderId="64" xfId="0" applyFont="1" applyFill="1" applyBorder="1" applyAlignment="1">
      <alignment horizontal="left" vertical="center"/>
    </xf>
    <xf numFmtId="0" fontId="4" fillId="2" borderId="64" xfId="0" applyFont="1" applyFill="1" applyBorder="1" applyAlignment="1">
      <alignment horizontal="centerContinuous" vertical="center"/>
    </xf>
    <xf numFmtId="0" fontId="5" fillId="2" borderId="64" xfId="0" applyFont="1" applyFill="1" applyBorder="1" applyAlignment="1">
      <alignment horizontal="centerContinuous" vertical="center"/>
    </xf>
    <xf numFmtId="0" fontId="34" fillId="2" borderId="65"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8" xfId="0" applyFont="1" applyFill="1" applyBorder="1" applyAlignment="1">
      <alignment horizontal="right" vertical="center"/>
    </xf>
    <xf numFmtId="0" fontId="6" fillId="4" borderId="81" xfId="0" applyFont="1" applyFill="1" applyBorder="1" applyAlignment="1">
      <alignment horizontal="right" vertical="center"/>
    </xf>
    <xf numFmtId="49" fontId="7" fillId="0" borderId="69"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39" fillId="2" borderId="4" xfId="0" applyFont="1" applyFill="1" applyBorder="1" applyAlignment="1">
      <alignment horizontal="right" vertical="center"/>
    </xf>
    <xf numFmtId="0" fontId="11" fillId="4" borderId="52"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3"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0" borderId="27" xfId="8" applyFont="1" applyFill="1" applyBorder="1" applyAlignment="1">
      <alignment horizontal="center" vertical="center" wrapText="1"/>
    </xf>
    <xf numFmtId="0" fontId="7" fillId="0" borderId="48" xfId="8" applyFont="1" applyFill="1" applyBorder="1" applyAlignment="1">
      <alignment horizontal="center" vertical="center" wrapText="1"/>
    </xf>
    <xf numFmtId="9" fontId="7" fillId="0" borderId="48" xfId="2" applyFont="1" applyFill="1" applyBorder="1" applyAlignment="1">
      <alignment horizontal="center" vertical="center" shrinkToFit="1"/>
    </xf>
    <xf numFmtId="0" fontId="7" fillId="0" borderId="29" xfId="0" applyNumberFormat="1" applyFont="1" applyFill="1" applyBorder="1" applyAlignment="1">
      <alignment horizontal="center" vertical="center" wrapText="1"/>
    </xf>
    <xf numFmtId="0" fontId="7" fillId="0" borderId="35" xfId="0" applyNumberFormat="1" applyFont="1" applyFill="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Border="1" applyAlignment="1">
      <alignment horizontal="centerContinuous" vertical="center"/>
    </xf>
    <xf numFmtId="0" fontId="46" fillId="0" borderId="33" xfId="0" applyFont="1" applyBorder="1" applyAlignment="1">
      <alignment horizontal="centerContinuous" vertical="center"/>
    </xf>
    <xf numFmtId="0" fontId="26" fillId="0" borderId="37" xfId="0" applyFont="1" applyFill="1" applyBorder="1" applyAlignment="1">
      <alignment horizontal="centerContinuous" vertical="center"/>
    </xf>
    <xf numFmtId="0" fontId="50" fillId="0" borderId="37" xfId="0" applyFont="1" applyFill="1" applyBorder="1" applyAlignment="1">
      <alignment horizontal="center" vertical="center" shrinkToFit="1"/>
    </xf>
    <xf numFmtId="0" fontId="7" fillId="0" borderId="50" xfId="0" applyFont="1" applyFill="1" applyBorder="1" applyAlignment="1">
      <alignment horizontal="centerContinuous" vertical="center"/>
    </xf>
    <xf numFmtId="0" fontId="7" fillId="0" borderId="55"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0" fontId="2" fillId="0" borderId="73" xfId="0" applyFont="1" applyBorder="1" applyAlignment="1">
      <alignment horizontal="center" vertical="center" shrinkToFit="1"/>
    </xf>
    <xf numFmtId="0" fontId="2" fillId="0" borderId="74"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0" fontId="2" fillId="0" borderId="75" xfId="0" applyFont="1" applyBorder="1" applyAlignment="1">
      <alignment horizontal="center" vertical="center" shrinkToFit="1"/>
    </xf>
    <xf numFmtId="0" fontId="2" fillId="0" borderId="43"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1" xfId="0" applyFont="1" applyBorder="1" applyAlignment="1">
      <alignment horizontal="center" vertical="center" shrinkToFit="1"/>
    </xf>
    <xf numFmtId="164" fontId="5" fillId="0" borderId="43"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4"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0" xfId="0" applyFont="1" applyFill="1" applyBorder="1" applyAlignment="1">
      <alignment horizontal="centerContinuous" vertical="center"/>
    </xf>
    <xf numFmtId="0" fontId="21" fillId="11" borderId="51" xfId="0" applyFont="1" applyFill="1" applyBorder="1" applyAlignment="1">
      <alignment horizontal="centerContinuous" vertical="center"/>
    </xf>
    <xf numFmtId="164" fontId="2" fillId="0" borderId="71"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49" fontId="17" fillId="0" borderId="35" xfId="0" applyNumberFormat="1" applyFont="1" applyBorder="1" applyAlignment="1">
      <alignment horizontal="center" shrinkToFit="1"/>
    </xf>
    <xf numFmtId="0" fontId="2" fillId="0" borderId="43" xfId="0" applyFont="1" applyBorder="1" applyAlignment="1">
      <alignment horizontal="center" vertical="center"/>
    </xf>
    <xf numFmtId="164" fontId="2" fillId="0" borderId="43" xfId="0" applyNumberFormat="1" applyFont="1" applyFill="1" applyBorder="1" applyAlignment="1">
      <alignment horizontal="center" vertical="center"/>
    </xf>
    <xf numFmtId="0" fontId="21" fillId="11" borderId="33"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 fillId="0" borderId="41" xfId="0" applyFont="1" applyBorder="1" applyAlignment="1">
      <alignment horizontal="center" vertical="center"/>
    </xf>
    <xf numFmtId="164" fontId="2" fillId="0" borderId="41" xfId="0" applyNumberFormat="1" applyFont="1" applyFill="1" applyBorder="1" applyAlignment="1">
      <alignment horizontal="center" vertical="center"/>
    </xf>
    <xf numFmtId="1" fontId="7" fillId="0" borderId="12" xfId="0" applyNumberFormat="1" applyFont="1" applyBorder="1" applyAlignment="1">
      <alignment horizontal="center" vertical="center"/>
    </xf>
    <xf numFmtId="1" fontId="2" fillId="0" borderId="41" xfId="0" applyNumberFormat="1" applyFont="1" applyFill="1" applyBorder="1" applyAlignment="1">
      <alignment horizontal="center" vertical="center"/>
    </xf>
    <xf numFmtId="0" fontId="7" fillId="0" borderId="47" xfId="8" applyFont="1" applyFill="1" applyBorder="1" applyAlignment="1">
      <alignment horizontal="center" vertical="center" wrapText="1"/>
    </xf>
    <xf numFmtId="9" fontId="7" fillId="0" borderId="47" xfId="2" applyFont="1" applyFill="1" applyBorder="1" applyAlignment="1">
      <alignment horizontal="center" vertical="center" shrinkToFit="1"/>
    </xf>
    <xf numFmtId="9" fontId="7" fillId="0" borderId="49" xfId="2" applyFont="1" applyFill="1" applyBorder="1" applyAlignment="1">
      <alignment horizontal="center" vertical="center" shrinkToFit="1"/>
    </xf>
    <xf numFmtId="0" fontId="7" fillId="0" borderId="49" xfId="2" applyNumberFormat="1" applyFont="1" applyFill="1" applyBorder="1" applyAlignment="1">
      <alignment horizontal="center" vertical="center" shrinkToFit="1"/>
    </xf>
    <xf numFmtId="1" fontId="2" fillId="0" borderId="56"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3" xfId="0" applyNumberFormat="1" applyFont="1" applyFill="1" applyBorder="1" applyAlignment="1">
      <alignment horizontal="center" vertical="center"/>
    </xf>
    <xf numFmtId="0" fontId="2" fillId="0" borderId="42" xfId="0" applyFont="1" applyBorder="1" applyAlignment="1">
      <alignment horizontal="left" vertical="center" shrinkToFit="1"/>
    </xf>
    <xf numFmtId="0" fontId="2" fillId="0" borderId="0" xfId="0" applyFont="1" applyBorder="1" applyAlignment="1">
      <alignment vertical="center"/>
    </xf>
    <xf numFmtId="1" fontId="7" fillId="0" borderId="30" xfId="0" applyNumberFormat="1" applyFont="1" applyBorder="1" applyAlignment="1">
      <alignment horizontal="center" vertical="center"/>
    </xf>
    <xf numFmtId="1" fontId="2" fillId="0" borderId="37" xfId="0" applyNumberFormat="1" applyFont="1" applyFill="1" applyBorder="1" applyAlignment="1">
      <alignment horizontal="center" vertical="center"/>
    </xf>
    <xf numFmtId="1" fontId="2" fillId="0" borderId="50" xfId="0" applyNumberFormat="1" applyFont="1" applyFill="1" applyBorder="1" applyAlignment="1">
      <alignment horizontal="center" vertical="center"/>
    </xf>
    <xf numFmtId="0" fontId="6" fillId="4" borderId="11" xfId="0" applyFont="1" applyFill="1" applyBorder="1" applyAlignment="1">
      <alignment horizontal="right" vertical="center"/>
    </xf>
    <xf numFmtId="0" fontId="5" fillId="0" borderId="43"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shrinkToFit="1"/>
    </xf>
    <xf numFmtId="0" fontId="7" fillId="0" borderId="49" xfId="0" applyNumberFormat="1" applyFont="1" applyFill="1" applyBorder="1" applyAlignment="1">
      <alignment horizontal="center" vertical="center" shrinkToFit="1"/>
    </xf>
    <xf numFmtId="0" fontId="2" fillId="13" borderId="73" xfId="0" applyFont="1" applyFill="1" applyBorder="1" applyAlignment="1">
      <alignment horizontal="center" vertical="center"/>
    </xf>
    <xf numFmtId="0" fontId="2" fillId="13" borderId="46" xfId="0" applyFont="1" applyFill="1" applyBorder="1" applyAlignment="1">
      <alignment horizontal="center" vertical="center"/>
    </xf>
    <xf numFmtId="49" fontId="2" fillId="13" borderId="46" xfId="0" applyNumberFormat="1" applyFont="1" applyFill="1" applyBorder="1" applyAlignment="1">
      <alignment horizontal="center" vertical="center"/>
    </xf>
    <xf numFmtId="0" fontId="2" fillId="13" borderId="45" xfId="0" applyFont="1" applyFill="1" applyBorder="1" applyAlignment="1">
      <alignment horizontal="center" vertical="center"/>
    </xf>
    <xf numFmtId="0" fontId="2" fillId="13" borderId="56" xfId="0" applyFont="1" applyFill="1" applyBorder="1" applyAlignment="1">
      <alignment horizontal="center" vertical="center"/>
    </xf>
    <xf numFmtId="1" fontId="2" fillId="13" borderId="41" xfId="0" applyNumberFormat="1" applyFont="1" applyFill="1" applyBorder="1" applyAlignment="1">
      <alignment horizontal="center" vertical="center"/>
    </xf>
    <xf numFmtId="0" fontId="2" fillId="0" borderId="74" xfId="0" applyFont="1" applyBorder="1" applyAlignment="1">
      <alignment horizontal="center" vertical="center"/>
    </xf>
    <xf numFmtId="49" fontId="2" fillId="0" borderId="41" xfId="0" applyNumberFormat="1" applyFont="1" applyBorder="1" applyAlignment="1">
      <alignment horizontal="center" vertical="center"/>
    </xf>
    <xf numFmtId="164" fontId="2" fillId="0" borderId="41" xfId="0" applyNumberFormat="1" applyFont="1" applyBorder="1" applyAlignment="1">
      <alignment horizontal="center" vertical="center"/>
    </xf>
    <xf numFmtId="0" fontId="2" fillId="0" borderId="42" xfId="0" applyFont="1" applyBorder="1" applyAlignment="1">
      <alignment horizontal="center" vertical="center"/>
    </xf>
    <xf numFmtId="0" fontId="2" fillId="13" borderId="43" xfId="0" applyFont="1" applyFill="1" applyBorder="1" applyAlignment="1">
      <alignment horizontal="center" vertical="center"/>
    </xf>
    <xf numFmtId="49" fontId="2" fillId="13" borderId="43" xfId="0" applyNumberFormat="1" applyFont="1" applyFill="1" applyBorder="1" applyAlignment="1">
      <alignment horizontal="center" vertical="center"/>
    </xf>
    <xf numFmtId="1" fontId="2" fillId="13" borderId="43" xfId="0" applyNumberFormat="1" applyFont="1" applyFill="1" applyBorder="1" applyAlignment="1">
      <alignment horizontal="center" vertical="center"/>
    </xf>
    <xf numFmtId="0" fontId="2" fillId="0" borderId="43" xfId="0" quotePrefix="1" applyFont="1" applyBorder="1" applyAlignment="1">
      <alignment horizontal="center" vertical="center"/>
    </xf>
    <xf numFmtId="9" fontId="2" fillId="0" borderId="43" xfId="0" applyNumberFormat="1" applyFont="1" applyBorder="1" applyAlignment="1">
      <alignment horizontal="center" vertical="center"/>
    </xf>
    <xf numFmtId="0" fontId="2" fillId="0" borderId="86" xfId="0" applyFont="1" applyFill="1" applyBorder="1" applyAlignment="1">
      <alignment horizontal="centerContinuous" vertical="center"/>
    </xf>
    <xf numFmtId="0" fontId="5" fillId="0" borderId="72" xfId="0" quotePrefix="1" applyFont="1" applyBorder="1" applyAlignment="1">
      <alignment horizontal="centerContinuous" vertical="center"/>
    </xf>
    <xf numFmtId="0" fontId="47" fillId="0" borderId="33" xfId="0" applyFont="1" applyBorder="1" applyAlignment="1">
      <alignment horizontal="centerContinuous" vertical="center"/>
    </xf>
    <xf numFmtId="0" fontId="48" fillId="0" borderId="33" xfId="0" applyFont="1" applyBorder="1" applyAlignment="1">
      <alignment horizontal="centerContinuous" vertical="center"/>
    </xf>
    <xf numFmtId="0" fontId="21" fillId="11" borderId="92" xfId="0" applyFont="1" applyFill="1" applyBorder="1" applyAlignment="1">
      <alignment horizontal="center" vertical="center"/>
    </xf>
    <xf numFmtId="1" fontId="21" fillId="11" borderId="33" xfId="0" applyNumberFormat="1" applyFont="1" applyFill="1" applyBorder="1" applyAlignment="1">
      <alignment horizontal="center" vertical="center"/>
    </xf>
    <xf numFmtId="1" fontId="2" fillId="0" borderId="78" xfId="0" applyNumberFormat="1" applyFont="1" applyBorder="1" applyAlignment="1">
      <alignment horizontal="center" vertical="center"/>
    </xf>
    <xf numFmtId="0" fontId="2" fillId="0" borderId="80" xfId="0" applyFont="1" applyFill="1" applyBorder="1" applyAlignment="1">
      <alignment horizontal="centerContinuous" vertical="center" shrinkToFit="1"/>
    </xf>
    <xf numFmtId="0" fontId="2" fillId="0" borderId="71" xfId="0" applyFont="1" applyFill="1" applyBorder="1" applyAlignment="1">
      <alignment horizontal="centerContinuous" vertical="center"/>
    </xf>
    <xf numFmtId="0" fontId="2" fillId="0" borderId="62" xfId="0" applyFont="1" applyFill="1" applyBorder="1" applyAlignment="1">
      <alignment horizontal="centerContinuous" vertical="center"/>
    </xf>
    <xf numFmtId="49" fontId="2" fillId="0" borderId="84"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72" xfId="0" applyFont="1" applyFill="1" applyBorder="1" applyAlignment="1">
      <alignment horizontal="centerContinuous" vertical="center"/>
    </xf>
    <xf numFmtId="1" fontId="2" fillId="0" borderId="50" xfId="0" applyNumberFormat="1" applyFont="1" applyBorder="1" applyAlignment="1">
      <alignment horizontal="center" vertical="center"/>
    </xf>
    <xf numFmtId="0" fontId="26" fillId="0" borderId="50" xfId="0" applyFont="1" applyFill="1" applyBorder="1" applyAlignment="1">
      <alignment horizontal="centerContinuous"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79" xfId="0" applyFont="1" applyBorder="1" applyAlignment="1">
      <alignment horizontal="center" vertical="center" shrinkToFit="1"/>
    </xf>
    <xf numFmtId="1" fontId="2" fillId="0" borderId="41" xfId="0" applyNumberFormat="1" applyFont="1" applyBorder="1" applyAlignment="1">
      <alignment horizontal="center" vertical="center" shrinkToFit="1"/>
    </xf>
    <xf numFmtId="0" fontId="2" fillId="0" borderId="87" xfId="0" applyFont="1" applyBorder="1" applyAlignment="1">
      <alignment horizontal="left" vertical="center"/>
    </xf>
    <xf numFmtId="1" fontId="2" fillId="0" borderId="37"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6"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NumberFormat="1" applyFont="1" applyFill="1" applyBorder="1" applyAlignment="1">
      <alignment horizontal="center" vertical="center"/>
    </xf>
    <xf numFmtId="0" fontId="43" fillId="12" borderId="38" xfId="0" applyNumberFormat="1" applyFont="1" applyFill="1" applyBorder="1" applyAlignment="1">
      <alignment horizontal="center" vertical="center"/>
    </xf>
    <xf numFmtId="0" fontId="12" fillId="3" borderId="67" xfId="0" applyFont="1" applyFill="1" applyBorder="1" applyAlignment="1">
      <alignment horizontal="center" vertical="center"/>
    </xf>
    <xf numFmtId="0" fontId="41" fillId="0" borderId="1" xfId="0" applyFont="1" applyFill="1" applyBorder="1" applyAlignment="1">
      <alignment vertical="center"/>
    </xf>
    <xf numFmtId="0" fontId="6" fillId="0" borderId="27" xfId="0" applyFont="1" applyFill="1" applyBorder="1" applyAlignment="1">
      <alignment horizontal="center" vertical="center"/>
    </xf>
    <xf numFmtId="0" fontId="50"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2"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40"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53" fillId="0" borderId="1" xfId="0" applyFont="1" applyFill="1" applyBorder="1" applyAlignment="1">
      <alignment vertical="center"/>
    </xf>
    <xf numFmtId="0" fontId="52"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2" fillId="0" borderId="34" xfId="0" applyFont="1" applyFill="1" applyBorder="1" applyAlignment="1">
      <alignment vertical="center"/>
    </xf>
    <xf numFmtId="0" fontId="6" fillId="0" borderId="48" xfId="0" applyFont="1" applyFill="1" applyBorder="1" applyAlignment="1">
      <alignment horizontal="center" vertical="center"/>
    </xf>
    <xf numFmtId="0" fontId="7" fillId="0" borderId="48" xfId="0" applyFont="1" applyFill="1" applyBorder="1" applyAlignment="1">
      <alignment horizontal="center" vertical="center"/>
    </xf>
    <xf numFmtId="0" fontId="43" fillId="0" borderId="48" xfId="0" applyFont="1" applyFill="1" applyBorder="1" applyAlignment="1">
      <alignment horizontal="center" vertical="center"/>
    </xf>
    <xf numFmtId="1" fontId="7" fillId="0" borderId="48" xfId="0" applyNumberFormat="1" applyFont="1" applyFill="1" applyBorder="1" applyAlignment="1">
      <alignment horizontal="center" vertical="center"/>
    </xf>
    <xf numFmtId="0" fontId="40" fillId="12" borderId="48" xfId="0" applyNumberFormat="1" applyFont="1" applyFill="1" applyBorder="1" applyAlignment="1">
      <alignment horizontal="center" vertical="center"/>
    </xf>
    <xf numFmtId="0" fontId="7" fillId="0" borderId="35"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52" fillId="0" borderId="27" xfId="0" applyNumberFormat="1" applyFont="1" applyFill="1" applyBorder="1" applyAlignment="1">
      <alignment horizontal="center" vertical="center"/>
    </xf>
    <xf numFmtId="0" fontId="52" fillId="0" borderId="28" xfId="0" applyNumberFormat="1" applyFont="1" applyFill="1" applyBorder="1" applyAlignment="1">
      <alignment horizontal="center" vertical="center"/>
    </xf>
    <xf numFmtId="0" fontId="53" fillId="0" borderId="28" xfId="0" applyNumberFormat="1" applyFont="1" applyFill="1" applyBorder="1" applyAlignment="1">
      <alignment horizontal="center" vertical="center"/>
    </xf>
    <xf numFmtId="0" fontId="14" fillId="9" borderId="1" xfId="0" applyFont="1" applyFill="1" applyBorder="1" applyAlignment="1">
      <alignment vertical="center"/>
    </xf>
    <xf numFmtId="0" fontId="7" fillId="9" borderId="27" xfId="0" applyNumberFormat="1" applyFont="1" applyFill="1" applyBorder="1" applyAlignment="1">
      <alignment horizontal="center" vertical="center"/>
    </xf>
    <xf numFmtId="49" fontId="23" fillId="9" borderId="27" xfId="0" applyNumberFormat="1" applyFont="1" applyFill="1" applyBorder="1" applyAlignment="1">
      <alignment horizontal="center" vertical="center"/>
    </xf>
    <xf numFmtId="0" fontId="23" fillId="9" borderId="28" xfId="0" applyNumberFormat="1" applyFont="1" applyFill="1" applyBorder="1" applyAlignment="1">
      <alignment horizontal="center" vertical="center"/>
    </xf>
    <xf numFmtId="0" fontId="14" fillId="9" borderId="28"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10" fillId="7" borderId="1" xfId="0" applyFont="1" applyFill="1" applyBorder="1" applyAlignment="1">
      <alignment vertical="center"/>
    </xf>
    <xf numFmtId="0" fontId="7" fillId="7" borderId="27" xfId="0" applyNumberFormat="1" applyFont="1" applyFill="1" applyBorder="1" applyAlignment="1">
      <alignment horizontal="center" vertical="center"/>
    </xf>
    <xf numFmtId="49" fontId="26" fillId="7" borderId="27" xfId="0" applyNumberFormat="1" applyFont="1" applyFill="1" applyBorder="1" applyAlignment="1">
      <alignment horizontal="center" vertical="center"/>
    </xf>
    <xf numFmtId="0" fontId="26" fillId="7" borderId="28" xfId="0" applyNumberFormat="1" applyFont="1" applyFill="1" applyBorder="1" applyAlignment="1">
      <alignment horizontal="center" vertical="center"/>
    </xf>
    <xf numFmtId="0" fontId="10" fillId="7" borderId="28"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0" fontId="22" fillId="0" borderId="1" xfId="0" applyFont="1" applyFill="1" applyBorder="1" applyAlignment="1">
      <alignment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53" fillId="5" borderId="1" xfId="0" applyFont="1" applyFill="1" applyBorder="1" applyAlignment="1">
      <alignment vertical="center"/>
    </xf>
    <xf numFmtId="49" fontId="52" fillId="5" borderId="27" xfId="0" applyNumberFormat="1" applyFont="1" applyFill="1" applyBorder="1" applyAlignment="1">
      <alignment horizontal="center" vertical="center"/>
    </xf>
    <xf numFmtId="0" fontId="52" fillId="5" borderId="28" xfId="0" applyNumberFormat="1" applyFont="1" applyFill="1" applyBorder="1" applyAlignment="1">
      <alignment horizontal="center" vertical="center"/>
    </xf>
    <xf numFmtId="0" fontId="53"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53" fillId="0" borderId="8" xfId="0" applyFont="1" applyFill="1" applyBorder="1" applyAlignment="1">
      <alignment vertical="center"/>
    </xf>
    <xf numFmtId="0" fontId="7" fillId="0" borderId="47" xfId="0" applyNumberFormat="1" applyFont="1" applyFill="1" applyBorder="1" applyAlignment="1">
      <alignment horizontal="center" vertical="center"/>
    </xf>
    <xf numFmtId="49" fontId="52" fillId="0" borderId="47" xfId="0" applyNumberFormat="1" applyFont="1" applyFill="1" applyBorder="1" applyAlignment="1">
      <alignment horizontal="center" vertical="center"/>
    </xf>
    <xf numFmtId="0" fontId="52" fillId="0" borderId="49" xfId="0" applyNumberFormat="1" applyFont="1" applyFill="1" applyBorder="1" applyAlignment="1">
      <alignment horizontal="center" vertical="center"/>
    </xf>
    <xf numFmtId="0" fontId="53" fillId="0" borderId="49" xfId="0" applyNumberFormat="1" applyFont="1" applyFill="1" applyBorder="1" applyAlignment="1">
      <alignment horizontal="center" vertical="center"/>
    </xf>
    <xf numFmtId="49" fontId="7" fillId="0" borderId="49" xfId="0" applyNumberFormat="1" applyFont="1" applyFill="1" applyBorder="1" applyAlignment="1">
      <alignment horizontal="center" vertical="center"/>
    </xf>
    <xf numFmtId="0" fontId="40" fillId="12" borderId="47" xfId="0" applyNumberFormat="1" applyFont="1" applyFill="1" applyBorder="1" applyAlignment="1">
      <alignment horizontal="center" vertical="center"/>
    </xf>
    <xf numFmtId="0" fontId="7" fillId="0" borderId="36" xfId="0" quotePrefix="1" applyNumberFormat="1" applyFont="1" applyFill="1" applyBorder="1" applyAlignment="1">
      <alignment horizontal="center" vertical="center"/>
    </xf>
    <xf numFmtId="0" fontId="4" fillId="0" borderId="0" xfId="0" applyFont="1" applyBorder="1" applyAlignment="1">
      <alignment horizontal="left" vertical="center"/>
    </xf>
    <xf numFmtId="0" fontId="7" fillId="0" borderId="26" xfId="0" quotePrefix="1" applyFont="1" applyFill="1" applyBorder="1" applyAlignment="1">
      <alignment horizontal="center" vertical="center"/>
    </xf>
    <xf numFmtId="0" fontId="49" fillId="0" borderId="0" xfId="0" applyFont="1" applyBorder="1" applyAlignment="1">
      <alignment horizontal="centerContinuous" vertical="center"/>
    </xf>
    <xf numFmtId="0" fontId="36" fillId="0" borderId="0"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1" xfId="0" applyFont="1" applyBorder="1" applyAlignment="1">
      <alignment horizontal="right"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4" fillId="0" borderId="37" xfId="0" applyFont="1" applyBorder="1" applyAlignment="1">
      <alignment horizontal="right" vertical="center"/>
    </xf>
    <xf numFmtId="0" fontId="2" fillId="0" borderId="57" xfId="0" applyFont="1" applyBorder="1" applyAlignment="1">
      <alignment horizontal="center" vertical="center"/>
    </xf>
    <xf numFmtId="0" fontId="4" fillId="0" borderId="50" xfId="0" applyFont="1" applyBorder="1" applyAlignment="1">
      <alignment horizontal="right" vertical="center"/>
    </xf>
    <xf numFmtId="0" fontId="51" fillId="0" borderId="0" xfId="0" applyFont="1" applyBorder="1" applyAlignment="1">
      <alignment vertical="center"/>
    </xf>
    <xf numFmtId="0" fontId="2" fillId="14" borderId="59" xfId="0" applyFont="1" applyFill="1" applyBorder="1" applyAlignment="1">
      <alignment horizontal="center" vertical="center"/>
    </xf>
    <xf numFmtId="0" fontId="2" fillId="14" borderId="60" xfId="0" applyFont="1" applyFill="1" applyBorder="1" applyAlignment="1">
      <alignment horizontal="center"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4" fillId="14" borderId="44" xfId="0" applyFont="1" applyFill="1" applyBorder="1" applyAlignment="1">
      <alignment horizontal="center" vertical="center"/>
    </xf>
    <xf numFmtId="0" fontId="4" fillId="14" borderId="43" xfId="0" applyFont="1" applyFill="1" applyBorder="1" applyAlignment="1">
      <alignment horizontal="center" vertical="center"/>
    </xf>
    <xf numFmtId="0" fontId="6" fillId="4" borderId="32"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6" xfId="0" applyFont="1" applyBorder="1" applyAlignment="1">
      <alignment horizontal="right" vertical="center"/>
    </xf>
    <xf numFmtId="49" fontId="2" fillId="0" borderId="93" xfId="0" applyNumberFormat="1" applyFont="1" applyBorder="1" applyAlignment="1">
      <alignment horizontal="center" vertical="center"/>
    </xf>
    <xf numFmtId="0" fontId="4" fillId="15" borderId="44" xfId="0" applyFont="1" applyFill="1" applyBorder="1" applyAlignment="1">
      <alignment horizontal="center" vertical="center"/>
    </xf>
    <xf numFmtId="49" fontId="2" fillId="15" borderId="59" xfId="0" applyNumberFormat="1" applyFont="1" applyFill="1" applyBorder="1" applyAlignment="1">
      <alignment horizontal="center" vertical="center"/>
    </xf>
    <xf numFmtId="49" fontId="2" fillId="15" borderId="60" xfId="0" applyNumberFormat="1" applyFont="1" applyFill="1" applyBorder="1" applyAlignment="1">
      <alignment horizontal="center" vertical="center"/>
    </xf>
    <xf numFmtId="0" fontId="4" fillId="15" borderId="43" xfId="0" applyFont="1" applyFill="1" applyBorder="1" applyAlignment="1">
      <alignment horizontal="center" vertical="center"/>
    </xf>
    <xf numFmtId="0" fontId="2" fillId="13" borderId="75" xfId="0" applyFont="1" applyFill="1" applyBorder="1" applyAlignment="1">
      <alignment horizontal="center" vertical="center"/>
    </xf>
    <xf numFmtId="0" fontId="2" fillId="13" borderId="44" xfId="0" applyFont="1" applyFill="1" applyBorder="1" applyAlignment="1">
      <alignment horizontal="center" vertical="center"/>
    </xf>
    <xf numFmtId="0" fontId="2" fillId="13" borderId="50"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9" fontId="4" fillId="0" borderId="0" xfId="1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9" fontId="2" fillId="0" borderId="0" xfId="10" applyAlignment="1">
      <alignment horizontal="center" vertical="center"/>
    </xf>
    <xf numFmtId="1" fontId="2" fillId="0" borderId="0" xfId="5" applyNumberFormat="1" applyAlignment="1">
      <alignment horizontal="center" vertical="center"/>
    </xf>
    <xf numFmtId="0" fontId="2" fillId="0" borderId="0" xfId="5" applyAlignment="1">
      <alignment vertical="center"/>
    </xf>
    <xf numFmtId="1" fontId="2" fillId="0" borderId="94" xfId="5" applyNumberFormat="1" applyBorder="1" applyAlignment="1">
      <alignment horizontal="center" vertical="center"/>
    </xf>
    <xf numFmtId="0" fontId="4" fillId="0" borderId="0" xfId="5" applyFont="1" applyAlignment="1">
      <alignment vertical="center"/>
    </xf>
    <xf numFmtId="1" fontId="4" fillId="0" borderId="0" xfId="5" applyNumberFormat="1" applyFont="1" applyAlignment="1">
      <alignment horizontal="center" vertical="center"/>
    </xf>
    <xf numFmtId="0" fontId="0" fillId="0" borderId="0" xfId="0" applyAlignment="1">
      <alignment horizontal="center" vertical="center"/>
    </xf>
    <xf numFmtId="0" fontId="7" fillId="0" borderId="29" xfId="0" applyFont="1" applyBorder="1" applyAlignment="1">
      <alignment horizontal="center" vertical="center" wrapText="1"/>
    </xf>
    <xf numFmtId="2" fontId="5" fillId="0" borderId="41" xfId="0" applyNumberFormat="1" applyFont="1" applyBorder="1" applyAlignment="1">
      <alignment horizontal="center" vertical="center" shrinkToFit="1"/>
    </xf>
    <xf numFmtId="0" fontId="49" fillId="0" borderId="0" xfId="0" applyFont="1" applyAlignment="1">
      <alignment horizontal="centerContinuous" vertical="center" wrapText="1"/>
    </xf>
    <xf numFmtId="0" fontId="56" fillId="0" borderId="16" xfId="0" applyFont="1" applyBorder="1" applyAlignment="1">
      <alignment horizontal="center"/>
    </xf>
    <xf numFmtId="0" fontId="56" fillId="0" borderId="95" xfId="0" applyFont="1" applyBorder="1" applyAlignment="1">
      <alignment horizontal="center"/>
    </xf>
    <xf numFmtId="0" fontId="56" fillId="0" borderId="96" xfId="0" applyFont="1" applyBorder="1" applyAlignment="1">
      <alignment horizontal="center"/>
    </xf>
    <xf numFmtId="0" fontId="56" fillId="0" borderId="97" xfId="0" applyFont="1" applyBorder="1" applyAlignment="1">
      <alignment horizontal="center"/>
    </xf>
    <xf numFmtId="0" fontId="0" fillId="0" borderId="98" xfId="0" applyBorder="1" applyAlignment="1">
      <alignment horizontal="center"/>
    </xf>
    <xf numFmtId="0" fontId="0" fillId="10" borderId="88" xfId="0" applyFill="1" applyBorder="1" applyAlignment="1">
      <alignment horizontal="center"/>
    </xf>
    <xf numFmtId="0" fontId="0" fillId="10" borderId="89" xfId="0" applyFill="1" applyBorder="1" applyAlignment="1">
      <alignment horizontal="center"/>
    </xf>
    <xf numFmtId="0" fontId="0" fillId="0" borderId="99" xfId="0" applyBorder="1" applyAlignment="1">
      <alignment horizontal="center"/>
    </xf>
    <xf numFmtId="0" fontId="0" fillId="0" borderId="57" xfId="0" applyBorder="1" applyAlignment="1">
      <alignment horizontal="center"/>
    </xf>
    <xf numFmtId="0" fontId="0" fillId="10" borderId="41" xfId="0" applyFill="1" applyBorder="1" applyAlignment="1">
      <alignment horizontal="center"/>
    </xf>
    <xf numFmtId="0" fontId="0" fillId="10" borderId="42" xfId="0" applyFill="1" applyBorder="1" applyAlignment="1">
      <alignment horizontal="center"/>
    </xf>
    <xf numFmtId="0" fontId="0" fillId="0" borderId="41" xfId="0" applyBorder="1" applyAlignment="1">
      <alignment horizontal="center"/>
    </xf>
    <xf numFmtId="0" fontId="57" fillId="0" borderId="99" xfId="0" applyFont="1" applyBorder="1" applyAlignment="1">
      <alignment horizontal="center"/>
    </xf>
    <xf numFmtId="0" fontId="57" fillId="0" borderId="57" xfId="0" applyFont="1" applyBorder="1" applyAlignment="1">
      <alignment horizontal="center"/>
    </xf>
    <xf numFmtId="0" fontId="0" fillId="0" borderId="100" xfId="0" applyBorder="1" applyAlignment="1">
      <alignment horizontal="center"/>
    </xf>
    <xf numFmtId="0" fontId="0" fillId="0" borderId="6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49" fontId="2" fillId="0" borderId="93" xfId="0" applyNumberFormat="1" applyFont="1"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2" fillId="0" borderId="62" xfId="0" applyFont="1" applyBorder="1" applyAlignment="1">
      <alignment horizontal="center"/>
    </xf>
    <xf numFmtId="0" fontId="7" fillId="0" borderId="36" xfId="0" applyNumberFormat="1" applyFont="1" applyFill="1" applyBorder="1" applyAlignment="1">
      <alignment horizontal="center" vertical="center" wrapText="1"/>
    </xf>
    <xf numFmtId="0" fontId="7" fillId="0" borderId="35" xfId="0" quotePrefix="1" applyNumberFormat="1" applyFont="1" applyFill="1" applyBorder="1" applyAlignment="1">
      <alignment horizontal="center" vertical="center" wrapText="1"/>
    </xf>
    <xf numFmtId="0" fontId="5" fillId="0" borderId="41" xfId="0" applyFont="1" applyBorder="1" applyAlignment="1">
      <alignment horizontal="center" vertical="center" shrinkToFit="1"/>
    </xf>
    <xf numFmtId="0" fontId="5" fillId="0" borderId="87" xfId="0" applyFont="1" applyBorder="1" applyAlignment="1">
      <alignment horizontal="left" vertical="center"/>
    </xf>
    <xf numFmtId="2" fontId="2" fillId="0" borderId="37" xfId="0" applyNumberFormat="1" applyFont="1" applyBorder="1" applyAlignment="1">
      <alignment horizontal="center" vertical="center" shrinkToFit="1"/>
    </xf>
    <xf numFmtId="165" fontId="2" fillId="0" borderId="0" xfId="0" applyNumberFormat="1" applyFont="1" applyBorder="1" applyAlignment="1">
      <alignment horizontal="center" vertical="center"/>
    </xf>
    <xf numFmtId="165" fontId="2" fillId="0" borderId="0" xfId="0" applyNumberFormat="1" applyFont="1" applyAlignment="1">
      <alignment horizontal="center" vertical="center"/>
    </xf>
    <xf numFmtId="0" fontId="50" fillId="0" borderId="78" xfId="0" applyFont="1" applyFill="1" applyBorder="1" applyAlignment="1">
      <alignment horizontal="center" vertical="center" shrinkToFit="1"/>
    </xf>
    <xf numFmtId="0" fontId="7" fillId="0" borderId="27" xfId="0" applyFont="1" applyBorder="1" applyAlignment="1">
      <alignment horizontal="center" vertical="center" shrinkToFit="1"/>
    </xf>
    <xf numFmtId="0" fontId="2" fillId="0" borderId="103" xfId="0" applyFont="1" applyFill="1" applyBorder="1" applyAlignment="1">
      <alignment horizontal="centerContinuous" vertical="center" shrinkToFit="1"/>
    </xf>
    <xf numFmtId="0" fontId="21" fillId="0" borderId="85" xfId="0" applyFont="1" applyFill="1" applyBorder="1" applyAlignment="1">
      <alignment horizontal="centerContinuous" vertical="center"/>
    </xf>
    <xf numFmtId="0" fontId="21" fillId="0" borderId="102" xfId="0" applyFont="1" applyFill="1" applyBorder="1" applyAlignment="1">
      <alignment horizontal="centerContinuous" vertical="center"/>
    </xf>
    <xf numFmtId="0" fontId="2" fillId="0" borderId="104" xfId="0" applyFont="1" applyFill="1" applyBorder="1" applyAlignment="1">
      <alignment horizontal="center" vertical="center"/>
    </xf>
    <xf numFmtId="0" fontId="2" fillId="0" borderId="76" xfId="0" applyFont="1" applyFill="1" applyBorder="1" applyAlignment="1">
      <alignment horizontal="center" vertical="center"/>
    </xf>
    <xf numFmtId="0" fontId="51" fillId="0" borderId="0" xfId="0" applyFont="1" applyBorder="1" applyAlignment="1">
      <alignment horizontal="center" vertical="center"/>
    </xf>
    <xf numFmtId="0" fontId="60" fillId="0" borderId="0" xfId="0" applyFont="1" applyBorder="1" applyAlignment="1">
      <alignment vertical="center"/>
    </xf>
    <xf numFmtId="0" fontId="60" fillId="0" borderId="0" xfId="0" applyFont="1" applyBorder="1" applyAlignment="1">
      <alignment horizontal="center" vertical="center"/>
    </xf>
    <xf numFmtId="0" fontId="2" fillId="0" borderId="46" xfId="0" applyFont="1" applyBorder="1" applyAlignment="1">
      <alignment horizontal="center" vertical="center"/>
    </xf>
    <xf numFmtId="0" fontId="2" fillId="0" borderId="46" xfId="0" quotePrefix="1" applyFont="1" applyBorder="1" applyAlignment="1">
      <alignment horizontal="center" vertical="center"/>
    </xf>
    <xf numFmtId="164" fontId="2" fillId="0" borderId="105" xfId="0" applyNumberFormat="1" applyFont="1" applyFill="1" applyBorder="1" applyAlignment="1">
      <alignment horizontal="centerContinuous" vertical="center"/>
    </xf>
    <xf numFmtId="164" fontId="2" fillId="0" borderId="106" xfId="0" applyNumberFormat="1" applyFont="1" applyFill="1" applyBorder="1" applyAlignment="1">
      <alignment horizontal="centerContinuous" vertical="center"/>
    </xf>
    <xf numFmtId="0" fontId="5" fillId="0" borderId="107" xfId="0" quotePrefix="1" applyFont="1" applyBorder="1" applyAlignment="1">
      <alignment horizontal="centerContinuous" vertical="center"/>
    </xf>
    <xf numFmtId="0" fontId="2" fillId="0" borderId="8" xfId="0" applyFont="1" applyFill="1" applyBorder="1" applyAlignment="1">
      <alignment horizontal="centerContinuous" vertical="center"/>
    </xf>
    <xf numFmtId="0" fontId="5" fillId="0" borderId="108" xfId="0" applyFont="1" applyFill="1" applyBorder="1" applyAlignment="1">
      <alignment horizontal="centerContinuous" vertical="center"/>
    </xf>
    <xf numFmtId="0" fontId="5" fillId="0" borderId="109" xfId="0" applyFont="1" applyFill="1" applyBorder="1" applyAlignment="1">
      <alignment horizontal="centerContinuous" vertical="center"/>
    </xf>
    <xf numFmtId="164" fontId="5" fillId="0" borderId="109" xfId="0" applyNumberFormat="1" applyFont="1" applyFill="1" applyBorder="1" applyAlignment="1">
      <alignment horizontal="center" vertical="center"/>
    </xf>
    <xf numFmtId="49" fontId="2" fillId="0" borderId="109" xfId="0" applyNumberFormat="1" applyFont="1" applyFill="1" applyBorder="1" applyAlignment="1">
      <alignment horizontal="center" vertical="center"/>
    </xf>
    <xf numFmtId="49" fontId="2" fillId="0" borderId="110" xfId="0" applyNumberFormat="1" applyFont="1" applyFill="1" applyBorder="1" applyAlignment="1">
      <alignment horizontal="centerContinuous" vertical="center"/>
    </xf>
    <xf numFmtId="0" fontId="5" fillId="0" borderId="10" xfId="0" applyFont="1" applyFill="1" applyBorder="1" applyAlignment="1">
      <alignment horizontal="centerContinuous" vertical="center"/>
    </xf>
    <xf numFmtId="2" fontId="2" fillId="0" borderId="55" xfId="0" applyNumberFormat="1" applyFont="1" applyFill="1" applyBorder="1" applyAlignment="1">
      <alignment horizontal="center" vertical="center"/>
    </xf>
    <xf numFmtId="0" fontId="2" fillId="0" borderId="111" xfId="0" applyFont="1" applyFill="1" applyBorder="1" applyAlignment="1">
      <alignment horizontal="centerContinuous" vertical="center"/>
    </xf>
    <xf numFmtId="0" fontId="2" fillId="0" borderId="112" xfId="0" applyFont="1" applyFill="1" applyBorder="1" applyAlignment="1">
      <alignment horizontal="centerContinuous" vertical="center"/>
    </xf>
    <xf numFmtId="0" fontId="2" fillId="0" borderId="46" xfId="0" applyFont="1" applyFill="1" applyBorder="1" applyAlignment="1">
      <alignment horizontal="centerContinuous" vertical="center"/>
    </xf>
    <xf numFmtId="0" fontId="2" fillId="0" borderId="46" xfId="0" applyFont="1" applyFill="1" applyBorder="1" applyAlignment="1">
      <alignment horizontal="center" vertical="center"/>
    </xf>
    <xf numFmtId="0" fontId="2" fillId="0" borderId="105" xfId="0" applyFont="1" applyFill="1" applyBorder="1" applyAlignment="1">
      <alignment horizontal="centerContinuous" vertical="center"/>
    </xf>
    <xf numFmtId="0" fontId="2" fillId="0" borderId="106" xfId="0" applyFont="1" applyFill="1" applyBorder="1" applyAlignment="1">
      <alignment horizontal="centerContinuous" vertical="center"/>
    </xf>
    <xf numFmtId="0" fontId="2" fillId="0" borderId="107" xfId="0" applyFont="1" applyFill="1" applyBorder="1" applyAlignment="1">
      <alignment horizontal="centerContinuous" vertical="center"/>
    </xf>
    <xf numFmtId="0" fontId="2" fillId="0" borderId="56" xfId="0" applyFont="1" applyFill="1" applyBorder="1" applyAlignment="1">
      <alignment horizontal="center" vertical="center"/>
    </xf>
    <xf numFmtId="0" fontId="61" fillId="0" borderId="0" xfId="0" applyFont="1" applyBorder="1" applyAlignment="1">
      <alignment vertical="center"/>
    </xf>
    <xf numFmtId="0" fontId="7" fillId="0" borderId="3" xfId="0" quotePrefix="1" applyFont="1" applyFill="1" applyBorder="1" applyAlignment="1">
      <alignment horizontal="center" vertical="center"/>
    </xf>
    <xf numFmtId="0" fontId="60" fillId="16" borderId="50" xfId="0" applyFont="1" applyFill="1" applyBorder="1" applyAlignment="1">
      <alignment horizontal="centerContinuous" vertical="center"/>
    </xf>
    <xf numFmtId="0" fontId="7" fillId="0" borderId="14" xfId="0" applyFont="1" applyFill="1" applyBorder="1" applyAlignment="1">
      <alignment horizontal="center" vertical="center"/>
    </xf>
    <xf numFmtId="164" fontId="2" fillId="0" borderId="84" xfId="0" quotePrefix="1" applyNumberFormat="1" applyFont="1" applyFill="1" applyBorder="1" applyAlignment="1">
      <alignment horizontal="centerContinuous" vertical="center"/>
    </xf>
    <xf numFmtId="0" fontId="44" fillId="18" borderId="21" xfId="0" applyFont="1" applyFill="1" applyBorder="1" applyAlignment="1">
      <alignment horizontal="center" vertical="center"/>
    </xf>
    <xf numFmtId="1" fontId="45" fillId="18" borderId="41" xfId="0" applyNumberFormat="1" applyFont="1" applyFill="1" applyBorder="1" applyAlignment="1">
      <alignment horizontal="center" vertical="center"/>
    </xf>
    <xf numFmtId="1" fontId="45" fillId="18" borderId="43" xfId="0" applyNumberFormat="1" applyFont="1" applyFill="1" applyBorder="1" applyAlignment="1">
      <alignment horizontal="center" vertical="center"/>
    </xf>
    <xf numFmtId="0" fontId="21" fillId="11" borderId="113" xfId="0" applyFont="1" applyFill="1" applyBorder="1" applyAlignment="1">
      <alignment horizontal="center" vertical="center"/>
    </xf>
    <xf numFmtId="0" fontId="62" fillId="2" borderId="63" xfId="0" applyFont="1" applyFill="1" applyBorder="1" applyAlignment="1">
      <alignment horizontal="right" vertical="center"/>
    </xf>
    <xf numFmtId="0" fontId="62" fillId="2" borderId="64" xfId="0" applyFont="1" applyFill="1" applyBorder="1" applyAlignment="1">
      <alignment horizontal="left" vertical="center"/>
    </xf>
    <xf numFmtId="0" fontId="63" fillId="0" borderId="0" xfId="0" applyFont="1" applyBorder="1" applyAlignment="1">
      <alignment horizontal="centerContinuous" vertical="center"/>
    </xf>
    <xf numFmtId="0" fontId="37" fillId="16" borderId="62" xfId="0" applyFont="1" applyFill="1" applyBorder="1" applyAlignment="1">
      <alignment horizontal="center" vertical="center"/>
    </xf>
    <xf numFmtId="0" fontId="37" fillId="16" borderId="43" xfId="0" applyFont="1" applyFill="1" applyBorder="1" applyAlignment="1">
      <alignment horizontal="center" vertical="center"/>
    </xf>
    <xf numFmtId="0" fontId="64" fillId="0" borderId="0" xfId="0" applyFont="1" applyAlignment="1">
      <alignment horizontal="centerContinuous" vertical="center" wrapText="1"/>
    </xf>
    <xf numFmtId="0" fontId="6" fillId="10" borderId="1" xfId="0" applyFont="1" applyFill="1" applyBorder="1" applyAlignment="1">
      <alignment horizontal="right" vertical="center"/>
    </xf>
    <xf numFmtId="0" fontId="7" fillId="10" borderId="0" xfId="0" applyFont="1" applyFill="1" applyBorder="1" applyAlignment="1">
      <alignment horizontal="centerContinuous" vertical="center"/>
    </xf>
    <xf numFmtId="0" fontId="6" fillId="10" borderId="0" xfId="0" applyFont="1" applyFill="1" applyBorder="1" applyAlignment="1">
      <alignment horizontal="right" vertical="center"/>
    </xf>
    <xf numFmtId="0" fontId="7" fillId="10" borderId="0" xfId="0" applyFont="1" applyFill="1" applyBorder="1" applyAlignment="1">
      <alignment horizontal="center" vertical="center"/>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63" fillId="0" borderId="25" xfId="0" applyFont="1" applyBorder="1" applyAlignment="1">
      <alignment horizontal="centerContinuous" vertical="center"/>
    </xf>
    <xf numFmtId="0" fontId="12" fillId="16" borderId="22" xfId="0" applyFont="1" applyFill="1" applyBorder="1" applyAlignment="1">
      <alignment horizontal="centerContinuous" vertical="center" wrapText="1"/>
    </xf>
    <xf numFmtId="0" fontId="12" fillId="16" borderId="23" xfId="0" applyFont="1" applyFill="1" applyBorder="1" applyAlignment="1">
      <alignment horizontal="center" vertical="center"/>
    </xf>
    <xf numFmtId="0" fontId="12" fillId="16" borderId="23" xfId="0" applyNumberFormat="1" applyFont="1" applyFill="1" applyBorder="1" applyAlignment="1">
      <alignment horizontal="center" vertical="center" wrapText="1"/>
    </xf>
    <xf numFmtId="0" fontId="12" fillId="16" borderId="23" xfId="0" applyFont="1" applyFill="1" applyBorder="1" applyAlignment="1">
      <alignment horizontal="center" vertical="center" wrapText="1"/>
    </xf>
    <xf numFmtId="0" fontId="12" fillId="16" borderId="24" xfId="0" applyNumberFormat="1" applyFont="1" applyFill="1" applyBorder="1" applyAlignment="1">
      <alignment horizontal="centerContinuous" vertical="center" wrapText="1"/>
    </xf>
    <xf numFmtId="0" fontId="59" fillId="16" borderId="33" xfId="0" applyFont="1" applyFill="1" applyBorder="1" applyAlignment="1">
      <alignment horizontal="centerContinuous" vertical="center"/>
    </xf>
    <xf numFmtId="0" fontId="60" fillId="16" borderId="37" xfId="0" applyFont="1" applyFill="1" applyBorder="1" applyAlignment="1">
      <alignment horizontal="centerContinuous" vertical="center"/>
    </xf>
    <xf numFmtId="0" fontId="6" fillId="19" borderId="30" xfId="0" applyFont="1" applyFill="1" applyBorder="1" applyAlignment="1">
      <alignment horizontal="center" vertical="center"/>
    </xf>
    <xf numFmtId="0" fontId="11" fillId="10" borderId="1" xfId="0" applyFont="1" applyFill="1" applyBorder="1" applyAlignment="1">
      <alignment vertical="center"/>
    </xf>
    <xf numFmtId="0" fontId="7" fillId="10" borderId="27" xfId="0" applyNumberFormat="1" applyFont="1" applyFill="1" applyBorder="1" applyAlignment="1">
      <alignment horizontal="center" vertical="center"/>
    </xf>
    <xf numFmtId="49" fontId="17" fillId="10" borderId="27" xfId="0" applyNumberFormat="1" applyFont="1" applyFill="1" applyBorder="1" applyAlignment="1">
      <alignment horizontal="center" vertical="center"/>
    </xf>
    <xf numFmtId="0" fontId="17" fillId="10" borderId="28" xfId="0" applyNumberFormat="1" applyFont="1" applyFill="1" applyBorder="1" applyAlignment="1">
      <alignment horizontal="center" vertical="center"/>
    </xf>
    <xf numFmtId="0" fontId="11" fillId="10" borderId="28" xfId="0" applyNumberFormat="1" applyFont="1" applyFill="1" applyBorder="1" applyAlignment="1">
      <alignment horizontal="center" vertical="center"/>
    </xf>
    <xf numFmtId="49" fontId="7" fillId="10" borderId="28" xfId="0" applyNumberFormat="1" applyFont="1" applyFill="1" applyBorder="1" applyAlignment="1">
      <alignment horizontal="center" vertical="center"/>
    </xf>
    <xf numFmtId="49" fontId="7" fillId="20" borderId="28" xfId="0" applyNumberFormat="1" applyFont="1" applyFill="1" applyBorder="1" applyAlignment="1">
      <alignment horizontal="center" vertical="center"/>
    </xf>
    <xf numFmtId="0" fontId="40" fillId="10" borderId="28" xfId="0" applyNumberFormat="1" applyFont="1" applyFill="1" applyBorder="1" applyAlignment="1">
      <alignment horizontal="center" vertical="center"/>
    </xf>
    <xf numFmtId="0" fontId="7" fillId="10" borderId="29" xfId="0" quotePrefix="1" applyNumberFormat="1" applyFont="1" applyFill="1" applyBorder="1" applyAlignment="1">
      <alignment horizontal="center" vertical="center"/>
    </xf>
    <xf numFmtId="49" fontId="7" fillId="0" borderId="90" xfId="0" applyNumberFormat="1" applyFont="1" applyFill="1" applyBorder="1" applyAlignment="1">
      <alignment horizontal="centerContinuous" vertical="center"/>
    </xf>
    <xf numFmtId="0" fontId="2" fillId="0" borderId="91" xfId="0" applyNumberFormat="1" applyFont="1" applyFill="1" applyBorder="1" applyAlignment="1">
      <alignment horizontal="centerContinuous" vertical="center"/>
    </xf>
    <xf numFmtId="0" fontId="2" fillId="17" borderId="46" xfId="0" applyFont="1" applyFill="1" applyBorder="1" applyAlignment="1">
      <alignment horizontal="center" vertical="center"/>
    </xf>
    <xf numFmtId="49" fontId="2" fillId="0" borderId="46" xfId="0" applyNumberFormat="1" applyFont="1" applyFill="1" applyBorder="1" applyAlignment="1">
      <alignment horizontal="center" vertical="center"/>
    </xf>
    <xf numFmtId="164" fontId="2" fillId="0" borderId="46" xfId="0" applyNumberFormat="1" applyFont="1" applyFill="1" applyBorder="1" applyAlignment="1">
      <alignment horizontal="center" vertical="center"/>
    </xf>
    <xf numFmtId="1" fontId="45" fillId="18" borderId="46" xfId="0" applyNumberFormat="1" applyFont="1" applyFill="1" applyBorder="1" applyAlignment="1">
      <alignment horizontal="center" vertical="center"/>
    </xf>
    <xf numFmtId="1" fontId="2" fillId="0" borderId="46" xfId="0" applyNumberFormat="1" applyFont="1" applyFill="1" applyBorder="1" applyAlignment="1">
      <alignment horizontal="center" vertical="center"/>
    </xf>
    <xf numFmtId="0" fontId="2" fillId="0" borderId="45" xfId="0" quotePrefix="1" applyFont="1" applyFill="1" applyBorder="1" applyAlignment="1">
      <alignment horizontal="center" vertical="center"/>
    </xf>
    <xf numFmtId="0" fontId="2" fillId="13" borderId="75" xfId="0" applyFont="1" applyFill="1" applyBorder="1" applyAlignment="1">
      <alignment horizontal="center" vertical="center" shrinkToFit="1"/>
    </xf>
    <xf numFmtId="0" fontId="2" fillId="17" borderId="43" xfId="0" applyFont="1" applyFill="1" applyBorder="1" applyAlignment="1">
      <alignment horizontal="center" vertical="center"/>
    </xf>
    <xf numFmtId="164" fontId="2" fillId="13" borderId="43" xfId="0" applyNumberFormat="1" applyFont="1" applyFill="1" applyBorder="1" applyAlignment="1">
      <alignment horizontal="center" vertical="center"/>
    </xf>
    <xf numFmtId="0" fontId="2" fillId="13" borderId="44" xfId="0" quotePrefix="1" applyFont="1" applyFill="1" applyBorder="1" applyAlignment="1">
      <alignment horizontal="center" vertical="center"/>
    </xf>
    <xf numFmtId="9" fontId="2" fillId="0" borderId="46" xfId="0" applyNumberFormat="1" applyFont="1" applyFill="1" applyBorder="1" applyAlignment="1">
      <alignment horizontal="center" vertical="center"/>
    </xf>
    <xf numFmtId="1" fontId="2" fillId="0" borderId="56" xfId="0" applyNumberFormat="1" applyFont="1" applyFill="1" applyBorder="1" applyAlignment="1">
      <alignment horizontal="center" vertical="center"/>
    </xf>
    <xf numFmtId="1" fontId="2" fillId="13" borderId="50" xfId="0" applyNumberFormat="1" applyFont="1" applyFill="1" applyBorder="1" applyAlignment="1">
      <alignment horizontal="center" vertical="center"/>
    </xf>
    <xf numFmtId="1" fontId="7" fillId="16" borderId="30" xfId="0" applyNumberFormat="1" applyFont="1" applyFill="1" applyBorder="1" applyAlignment="1">
      <alignment horizontal="center" vertical="center"/>
    </xf>
    <xf numFmtId="1" fontId="7" fillId="17" borderId="82" xfId="0" applyNumberFormat="1" applyFont="1" applyFill="1" applyBorder="1" applyAlignment="1">
      <alignment horizontal="centerContinuous" vertical="center"/>
    </xf>
    <xf numFmtId="0" fontId="2" fillId="17" borderId="83" xfId="0" applyFont="1" applyFill="1" applyBorder="1" applyAlignment="1">
      <alignment horizontal="centerContinuous" vertical="center"/>
    </xf>
    <xf numFmtId="0" fontId="66" fillId="0" borderId="1" xfId="8" applyFont="1" applyFill="1" applyBorder="1" applyAlignment="1">
      <alignment horizontal="center" vertical="center" shrinkToFit="1"/>
    </xf>
    <xf numFmtId="0" fontId="66" fillId="0" borderId="34" xfId="8" applyFont="1" applyFill="1" applyBorder="1" applyAlignment="1">
      <alignment horizontal="center" vertical="center" shrinkToFit="1"/>
    </xf>
    <xf numFmtId="0" fontId="66" fillId="0" borderId="8" xfId="8" applyFont="1" applyFill="1" applyBorder="1" applyAlignment="1">
      <alignment horizontal="center" vertical="center" shrinkToFit="1"/>
    </xf>
    <xf numFmtId="0" fontId="36" fillId="0" borderId="114" xfId="0" applyFont="1" applyBorder="1" applyAlignment="1">
      <alignment horizontal="centerContinuous" vertical="center" wrapText="1"/>
    </xf>
    <xf numFmtId="0" fontId="16" fillId="0" borderId="115" xfId="0" applyFont="1" applyBorder="1" applyAlignment="1">
      <alignment horizontal="centerContinuous" vertical="center" wrapText="1"/>
    </xf>
    <xf numFmtId="0" fontId="16" fillId="0" borderId="116" xfId="0" applyFont="1" applyBorder="1" applyAlignment="1">
      <alignment horizontal="centerContinuous" vertical="center" wrapText="1"/>
    </xf>
    <xf numFmtId="0" fontId="12" fillId="21" borderId="34" xfId="0" applyFont="1" applyFill="1" applyBorder="1" applyAlignment="1">
      <alignment horizontal="centerContinuous" vertical="center" wrapText="1"/>
    </xf>
    <xf numFmtId="0" fontId="12" fillId="21" borderId="117" xfId="0" applyFont="1" applyFill="1" applyBorder="1" applyAlignment="1">
      <alignment horizontal="center" vertical="center" wrapText="1"/>
    </xf>
    <xf numFmtId="0" fontId="12" fillId="21" borderId="118" xfId="0" applyFont="1" applyFill="1" applyBorder="1" applyAlignment="1">
      <alignment horizontal="center" vertical="center" wrapText="1"/>
    </xf>
    <xf numFmtId="0" fontId="12" fillId="21" borderId="119" xfId="0" applyFont="1" applyFill="1" applyBorder="1" applyAlignment="1">
      <alignment horizontal="center" vertical="center" wrapText="1"/>
    </xf>
    <xf numFmtId="0" fontId="7" fillId="0" borderId="120" xfId="0" applyFont="1" applyBorder="1" applyAlignment="1">
      <alignment horizontal="center" vertical="center"/>
    </xf>
    <xf numFmtId="0" fontId="7" fillId="0" borderId="121" xfId="0" applyFont="1" applyBorder="1" applyAlignment="1">
      <alignment horizontal="center" vertical="center"/>
    </xf>
    <xf numFmtId="49" fontId="7" fillId="0" borderId="121" xfId="0" applyNumberFormat="1" applyFont="1" applyBorder="1" applyAlignment="1">
      <alignment horizontal="center" vertical="center"/>
    </xf>
    <xf numFmtId="0" fontId="67" fillId="8" borderId="122" xfId="2" applyNumberFormat="1" applyFont="1" applyFill="1" applyBorder="1" applyAlignment="1">
      <alignment horizontal="center" vertical="center" shrinkToFit="1"/>
    </xf>
    <xf numFmtId="0" fontId="7" fillId="0" borderId="1" xfId="0" applyFont="1" applyBorder="1" applyAlignment="1">
      <alignment horizontal="center" vertical="center"/>
    </xf>
    <xf numFmtId="0" fontId="7" fillId="0" borderId="27" xfId="0" applyFont="1" applyBorder="1" applyAlignment="1">
      <alignment horizontal="center" vertical="center"/>
    </xf>
    <xf numFmtId="49" fontId="7" fillId="0" borderId="27" xfId="0" applyNumberFormat="1" applyFont="1" applyBorder="1" applyAlignment="1">
      <alignment horizontal="center" vertical="center"/>
    </xf>
    <xf numFmtId="0" fontId="67" fillId="8" borderId="29" xfId="2" applyNumberFormat="1" applyFont="1" applyFill="1" applyBorder="1" applyAlignment="1">
      <alignment horizontal="center" vertical="center" shrinkToFit="1"/>
    </xf>
    <xf numFmtId="0" fontId="7" fillId="0" borderId="8" xfId="0" applyFont="1" applyBorder="1" applyAlignment="1">
      <alignment horizontal="center" vertical="center"/>
    </xf>
    <xf numFmtId="0" fontId="7" fillId="0" borderId="47" xfId="0" applyFont="1" applyBorder="1" applyAlignment="1">
      <alignment horizontal="center" vertical="center"/>
    </xf>
    <xf numFmtId="49" fontId="7" fillId="0" borderId="47" xfId="0" applyNumberFormat="1" applyFont="1" applyBorder="1" applyAlignment="1">
      <alignment horizontal="center" vertical="center"/>
    </xf>
    <xf numFmtId="0" fontId="67" fillId="8" borderId="36" xfId="2" applyNumberFormat="1" applyFont="1" applyFill="1" applyBorder="1" applyAlignment="1">
      <alignment horizontal="center" vertical="center" shrinkToFit="1"/>
    </xf>
    <xf numFmtId="0" fontId="68" fillId="2" borderId="4" xfId="0" applyFont="1" applyFill="1" applyBorder="1" applyAlignment="1">
      <alignment horizontal="right"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rgb="FFFFC000"/>
        </patternFill>
      </fill>
    </dxf>
    <dxf>
      <fill>
        <patternFill>
          <bgColor rgb="FFFF0000"/>
        </patternFill>
      </fill>
    </dxf>
  </dxfs>
  <tableStyles count="0" defaultTableStyle="TableStyleMedium2" defaultPivotStyle="PivotStyleLight16"/>
  <colors>
    <mruColors>
      <color rgb="FFCC66FF"/>
      <color rgb="FFCCFFCC"/>
      <color rgb="FF33CC33"/>
      <color rgb="FF9900FF"/>
      <color rgb="FF008000"/>
      <color rgb="FF0000FF"/>
      <color rgb="FF009900"/>
      <color rgb="FFFF3300"/>
      <color rgb="FF99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41910</xdr:colOff>
      <xdr:row>16</xdr:row>
      <xdr:rowOff>51434</xdr:rowOff>
    </xdr:from>
    <xdr:to>
      <xdr:col>6</xdr:col>
      <xdr:colOff>1261110</xdr:colOff>
      <xdr:row>46</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Aliya is tall and skinny and doesn’t look very strong. Her moves are very feminine, graceful and suave. She has copper red hair cut in a long bob, with piercing, playful and observant blue eyes. She dresses in travel clothes of the upper class with subdued colors and with delicate blue adornments. They consist of a double, extreme split, slinky, maxi skirt, a corset, and a fine leather shrug.  All completed with black knee-high strappy sandals, a backpack and belt with pouches.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Aliya was born in Neverwinter, in the north of Faerûn. Her mother, Xela, was a prostitute while her father, Argran, was an owner of a brothel. Aliya had a very large, and mixed, family with many different mothers.  It was clear what was waiting for her in adult life. Her communal upbringing demanded the little Aliya fight for everything.  Since she was never very strong, she had to make up for that with being cunning, intelligent and, on occasion, taking a beating quietly from her siblings.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Her father’s enterprising instinct realized he could do better with Aliya, so he sold her off at the age of 6 to a wealthy sorcerer, Savar Evegress. It was a deciding moment of young Aliya’s life. Savar was old and desired a family.  When he realized Aliya had a natural magical talent he began teaching her.</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First few years were full of home study with Savar who was very strict and demanding. Only when she was 12 did they start to travel Faerûn together.  Aliya was even able to visit other planes with her adopted father. Savar wasn’t the most powerful sorcerer, in fact he was just above average.  It was only because of his experience that he gained mild respect. That was why he was even happier when Aliya was proving to be on a path to become better than he was.</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She was 15 when they were helping Savar’s friend from Baldur’s Gate and ran into trouble with several demons on a mission.  It was too much for them both and Savar, at the last moment, teleported her out while he stayed behind and died. Aliya returned to Neverwinter, orphaned and full of sorrow. She was unable to find any support with her biological parents as they were only interested in money. Fortunately, Savar had a contingency plan in case of his demise and the Neverwinter Academy took Aliya in.</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For the next two years, Aliya studied heavily at the Neverwinter Academy becoming one of the best students but also quite a handful, having a hard time adjusting to all the rules. Finally, she ran away and decided to wander Faerûn as an adventurer.</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Aliya is confident, extroverted and sometimes a bit naïve.  She is free-spirited, friendly and inquisitive, but also sarcastic and flirtatious. She has a dry sense of humor and sharp mind. Aliya is a pragmatic person, a realist, and a bit of a vain hedonist who doesn’t like boredom. She likes to challenge herself, to explore, to learn, and enjoys pampering herself.</a:t>
          </a:r>
        </a:p>
        <a:p>
          <a:pPr algn="just"/>
          <a:endParaRPr lang="en-US" sz="1200">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60960</xdr:colOff>
      <xdr:row>12</xdr:row>
      <xdr:rowOff>60960</xdr:rowOff>
    </xdr:from>
    <xdr:to>
      <xdr:col>6</xdr:col>
      <xdr:colOff>1232535</xdr:colOff>
      <xdr:row>15</xdr:row>
      <xdr:rowOff>257174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145280" y="2819400"/>
          <a:ext cx="2291715" cy="84391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twoCellAnchor editAs="oneCell">
    <xdr:from>
      <xdr:col>5</xdr:col>
      <xdr:colOff>83819</xdr:colOff>
      <xdr:row>1</xdr:row>
      <xdr:rowOff>99655</xdr:rowOff>
    </xdr:from>
    <xdr:to>
      <xdr:col>6</xdr:col>
      <xdr:colOff>1218604</xdr:colOff>
      <xdr:row>11</xdr:row>
      <xdr:rowOff>182880</xdr:rowOff>
    </xdr:to>
    <xdr:pic>
      <xdr:nvPicPr>
        <xdr:cNvPr id="2" name="Picture 1">
          <a:extLst>
            <a:ext uri="{FF2B5EF4-FFF2-40B4-BE49-F238E27FC236}">
              <a16:creationId xmlns:a16="http://schemas.microsoft.com/office/drawing/2014/main" id="{4049D3A6-BDA1-4C5D-A029-ED8381D8A9F7}"/>
            </a:ext>
          </a:extLst>
        </xdr:cNvPr>
        <xdr:cNvPicPr>
          <a:picLocks noChangeAspect="1"/>
        </xdr:cNvPicPr>
      </xdr:nvPicPr>
      <xdr:blipFill>
        <a:blip xmlns:r="http://schemas.openxmlformats.org/officeDocument/2006/relationships" r:embed="rId1"/>
        <a:stretch>
          <a:fillRect/>
        </a:stretch>
      </xdr:blipFill>
      <xdr:spPr>
        <a:xfrm>
          <a:off x="4168139" y="473035"/>
          <a:ext cx="2254925" cy="2254925"/>
        </a:xfrm>
        <a:prstGeom prst="rect">
          <a:avLst/>
        </a:prstGeom>
        <a:ln w="41275" cmpd="dbl">
          <a:solidFill>
            <a:srgbClr val="CC66FF"/>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C4356AEA-E66E-435D-B340-B13D8167085E}"/>
            </a:ext>
          </a:extLst>
        </xdr:cNvPr>
        <xdr:cNvSpPr>
          <a:spLocks noChangeArrowheads="1"/>
        </xdr:cNvSpPr>
      </xdr:nvSpPr>
      <xdr:spPr bwMode="auto">
        <a:xfrm>
          <a:off x="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205740</xdr:colOff>
      <xdr:row>1</xdr:row>
      <xdr:rowOff>123825</xdr:rowOff>
    </xdr:from>
    <xdr:to>
      <xdr:col>4</xdr:col>
      <xdr:colOff>93345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otoko7k@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showGridLines="0" tabSelected="1" zoomScaleNormal="100" workbookViewId="0"/>
  </sheetViews>
  <sheetFormatPr defaultColWidth="13" defaultRowHeight="15.6" x14ac:dyDescent="0.3"/>
  <cols>
    <col min="1" max="1" width="13.8984375" style="51" customWidth="1"/>
    <col min="2" max="2" width="10" style="52" customWidth="1"/>
    <col min="3" max="3" width="5.09765625" style="52" customWidth="1"/>
    <col min="4" max="4" width="13.69921875" style="51" bestFit="1" customWidth="1"/>
    <col min="5" max="5" width="10.8984375" style="52" bestFit="1" customWidth="1"/>
    <col min="6" max="6" width="14.69921875" style="51" customWidth="1"/>
    <col min="7" max="7" width="17.09765625" style="52" customWidth="1"/>
    <col min="8" max="16384" width="13" style="12"/>
  </cols>
  <sheetData>
    <row r="1" spans="1:7" ht="29.4" thickTop="1" thickBot="1" x14ac:dyDescent="0.35">
      <c r="A1" s="389" t="s">
        <v>200</v>
      </c>
      <c r="B1" s="390" t="s">
        <v>201</v>
      </c>
      <c r="C1" s="8"/>
      <c r="D1" s="9"/>
      <c r="E1" s="10"/>
      <c r="F1" s="9"/>
      <c r="G1" s="11" t="s">
        <v>202</v>
      </c>
    </row>
    <row r="2" spans="1:7" ht="17.399999999999999" thickTop="1" x14ac:dyDescent="0.3">
      <c r="A2" s="13" t="s">
        <v>119</v>
      </c>
      <c r="B2" s="14" t="s">
        <v>105</v>
      </c>
      <c r="C2" s="14"/>
      <c r="D2" s="15" t="s">
        <v>128</v>
      </c>
      <c r="E2" s="16">
        <v>17</v>
      </c>
      <c r="F2" s="17"/>
      <c r="G2" s="18"/>
    </row>
    <row r="3" spans="1:7" ht="16.8" x14ac:dyDescent="0.3">
      <c r="A3" s="13" t="s">
        <v>120</v>
      </c>
      <c r="B3" s="14" t="s">
        <v>206</v>
      </c>
      <c r="C3" s="14"/>
      <c r="D3" s="15" t="s">
        <v>0</v>
      </c>
      <c r="E3" s="16">
        <v>7</v>
      </c>
      <c r="F3" s="15"/>
      <c r="G3" s="18"/>
    </row>
    <row r="4" spans="1:7" ht="16.8" x14ac:dyDescent="0.3">
      <c r="A4" s="395" t="s">
        <v>120</v>
      </c>
      <c r="B4" s="396"/>
      <c r="C4" s="396"/>
      <c r="D4" s="397" t="s">
        <v>0</v>
      </c>
      <c r="E4" s="398">
        <v>0</v>
      </c>
      <c r="F4" s="15"/>
      <c r="G4" s="18"/>
    </row>
    <row r="5" spans="1:7" ht="16.8" x14ac:dyDescent="0.3">
      <c r="A5" s="13" t="s">
        <v>137</v>
      </c>
      <c r="B5" s="14" t="s">
        <v>207</v>
      </c>
      <c r="C5" s="14"/>
      <c r="D5" s="15" t="s">
        <v>121</v>
      </c>
      <c r="E5" s="16" t="s">
        <v>149</v>
      </c>
      <c r="F5" s="15"/>
      <c r="G5" s="18"/>
    </row>
    <row r="6" spans="1:7" ht="16.8" x14ac:dyDescent="0.3">
      <c r="A6" s="13" t="s">
        <v>138</v>
      </c>
      <c r="B6" s="14" t="s">
        <v>250</v>
      </c>
      <c r="C6" s="14"/>
      <c r="D6" s="15" t="s">
        <v>142</v>
      </c>
      <c r="E6" s="16" t="s">
        <v>203</v>
      </c>
      <c r="F6" s="15"/>
      <c r="G6" s="18"/>
    </row>
    <row r="7" spans="1:7" ht="17.399999999999999" thickBot="1" x14ac:dyDescent="0.35">
      <c r="A7" s="13" t="s">
        <v>139</v>
      </c>
      <c r="B7" s="14" t="s">
        <v>205</v>
      </c>
      <c r="C7" s="14"/>
      <c r="D7" s="15" t="s">
        <v>143</v>
      </c>
      <c r="E7" s="16" t="s">
        <v>204</v>
      </c>
      <c r="F7" s="15"/>
      <c r="G7" s="18"/>
    </row>
    <row r="8" spans="1:7" ht="17.399999999999999" thickTop="1" x14ac:dyDescent="0.3">
      <c r="A8" s="19" t="s">
        <v>140</v>
      </c>
      <c r="B8" s="435">
        <f>3+1</f>
        <v>4</v>
      </c>
      <c r="C8" s="436"/>
      <c r="D8" s="20" t="s">
        <v>78</v>
      </c>
      <c r="E8" s="21" t="s">
        <v>104</v>
      </c>
      <c r="F8" s="22"/>
      <c r="G8" s="18"/>
    </row>
    <row r="9" spans="1:7" ht="17.399999999999999" thickBot="1" x14ac:dyDescent="0.35">
      <c r="A9" s="130" t="s">
        <v>141</v>
      </c>
      <c r="B9" s="419" t="str">
        <f>C11</f>
        <v>+2</v>
      </c>
      <c r="C9" s="420"/>
      <c r="D9" s="292" t="s">
        <v>166</v>
      </c>
      <c r="E9" s="293">
        <v>24500</v>
      </c>
      <c r="F9" s="22"/>
      <c r="G9" s="18"/>
    </row>
    <row r="10" spans="1:7" ht="17.399999999999999" thickTop="1" x14ac:dyDescent="0.3">
      <c r="A10" s="23" t="s">
        <v>136</v>
      </c>
      <c r="B10" s="383">
        <f>8</f>
        <v>8</v>
      </c>
      <c r="C10" s="24">
        <f t="shared" ref="C10:C15" si="0">IF(B10&gt;9.9,CONCATENATE("+",ROUNDDOWN((B10-10)/2,0)),ROUNDUP((B10-10)/2,0))</f>
        <v>-1</v>
      </c>
      <c r="D10" s="25" t="s">
        <v>144</v>
      </c>
      <c r="E10" s="108" t="s">
        <v>198</v>
      </c>
      <c r="F10" s="22"/>
      <c r="G10" s="18"/>
    </row>
    <row r="11" spans="1:7" ht="16.8" x14ac:dyDescent="0.3">
      <c r="A11" s="26" t="s">
        <v>135</v>
      </c>
      <c r="B11" s="381">
        <v>14</v>
      </c>
      <c r="C11" s="27" t="str">
        <f t="shared" si="0"/>
        <v>+2</v>
      </c>
      <c r="D11" s="28" t="s">
        <v>145</v>
      </c>
      <c r="E11" s="29">
        <f>SUM(Martial!G3:G17)+SUM(Equipment!C3:C18)+5</f>
        <v>36.67</v>
      </c>
      <c r="F11" s="22"/>
      <c r="G11" s="18"/>
    </row>
    <row r="12" spans="1:7" ht="16.8" x14ac:dyDescent="0.3">
      <c r="A12" s="459" t="s">
        <v>131</v>
      </c>
      <c r="B12" s="30">
        <f>10</f>
        <v>10</v>
      </c>
      <c r="C12" s="31" t="str">
        <f t="shared" si="0"/>
        <v>+0</v>
      </c>
      <c r="D12" s="28" t="s">
        <v>146</v>
      </c>
      <c r="E12" s="409">
        <f>ROUNDUP(((E3*4)*0.75)+((E4*0)*0.75)+(SUM(E3:E4)*C12),0)</f>
        <v>21</v>
      </c>
      <c r="F12" s="22"/>
      <c r="G12" s="18"/>
    </row>
    <row r="13" spans="1:7" ht="16.8" x14ac:dyDescent="0.3">
      <c r="A13" s="32" t="s">
        <v>133</v>
      </c>
      <c r="B13" s="30">
        <f>12</f>
        <v>12</v>
      </c>
      <c r="C13" s="27" t="str">
        <f t="shared" si="0"/>
        <v>+1</v>
      </c>
      <c r="D13" s="33" t="s">
        <v>147</v>
      </c>
      <c r="E13" s="434">
        <f>3+10+C11</f>
        <v>15</v>
      </c>
      <c r="F13" s="13"/>
      <c r="G13" s="18"/>
    </row>
    <row r="14" spans="1:7" ht="16.8" x14ac:dyDescent="0.3">
      <c r="A14" s="34" t="s">
        <v>134</v>
      </c>
      <c r="B14" s="30">
        <f>8</f>
        <v>8</v>
      </c>
      <c r="C14" s="27">
        <f t="shared" si="0"/>
        <v>-1</v>
      </c>
      <c r="D14" s="33" t="s">
        <v>148</v>
      </c>
      <c r="E14" s="127">
        <f>E15-C11</f>
        <v>13</v>
      </c>
      <c r="F14" s="22"/>
      <c r="G14" s="18"/>
    </row>
    <row r="15" spans="1:7" ht="17.399999999999999" thickBot="1" x14ac:dyDescent="0.35">
      <c r="A15" s="35" t="s">
        <v>132</v>
      </c>
      <c r="B15" s="271">
        <f>18</f>
        <v>18</v>
      </c>
      <c r="C15" s="36" t="str">
        <f t="shared" si="0"/>
        <v>+4</v>
      </c>
      <c r="D15" s="37" t="s">
        <v>156</v>
      </c>
      <c r="E15" s="115">
        <f>E13+SUM(Martial!B12:B13)</f>
        <v>15</v>
      </c>
      <c r="F15" s="22"/>
      <c r="G15" s="18"/>
    </row>
    <row r="16" spans="1:7" ht="24" thickTop="1" thickBot="1" x14ac:dyDescent="0.35">
      <c r="A16" s="38" t="s">
        <v>18</v>
      </c>
      <c r="B16" s="39"/>
      <c r="C16" s="39"/>
      <c r="D16" s="40"/>
      <c r="E16" s="40"/>
      <c r="F16" s="40"/>
      <c r="G16" s="41"/>
    </row>
    <row r="17" spans="1:7" s="3" customFormat="1" ht="17.399999999999999" thickTop="1" x14ac:dyDescent="0.3">
      <c r="A17" s="42"/>
      <c r="B17" s="43"/>
      <c r="C17" s="43"/>
      <c r="D17" s="43"/>
      <c r="E17" s="43"/>
      <c r="F17" s="43"/>
      <c r="G17" s="44"/>
    </row>
    <row r="18" spans="1:7" s="3" customFormat="1" ht="16.8" x14ac:dyDescent="0.3">
      <c r="A18" s="45"/>
      <c r="B18" s="46"/>
      <c r="C18" s="46"/>
      <c r="D18" s="46"/>
      <c r="E18" s="46"/>
      <c r="F18" s="46"/>
      <c r="G18" s="47"/>
    </row>
    <row r="19" spans="1:7" s="3" customFormat="1" ht="16.8" x14ac:dyDescent="0.3">
      <c r="A19" s="45"/>
      <c r="B19" s="46"/>
      <c r="C19" s="46"/>
      <c r="D19" s="46"/>
      <c r="E19" s="46"/>
      <c r="F19" s="46"/>
      <c r="G19" s="47"/>
    </row>
    <row r="20" spans="1:7" s="3" customFormat="1" ht="16.8" x14ac:dyDescent="0.3">
      <c r="A20" s="45"/>
      <c r="B20" s="46"/>
      <c r="C20" s="46"/>
      <c r="D20" s="46"/>
      <c r="E20" s="46"/>
      <c r="F20" s="46"/>
      <c r="G20" s="47"/>
    </row>
    <row r="21" spans="1:7" s="3" customFormat="1" ht="16.8" x14ac:dyDescent="0.3">
      <c r="A21" s="45"/>
      <c r="B21" s="46"/>
      <c r="C21" s="46"/>
      <c r="D21" s="46"/>
      <c r="E21" s="46"/>
      <c r="F21" s="46"/>
      <c r="G21" s="47"/>
    </row>
    <row r="22" spans="1:7" s="3" customFormat="1" ht="16.8" x14ac:dyDescent="0.3">
      <c r="A22" s="45"/>
      <c r="B22" s="46"/>
      <c r="C22" s="46"/>
      <c r="D22" s="46"/>
      <c r="E22" s="46"/>
      <c r="F22" s="46"/>
      <c r="G22" s="47"/>
    </row>
    <row r="23" spans="1:7" s="3" customFormat="1" ht="16.8" x14ac:dyDescent="0.3">
      <c r="A23" s="45"/>
      <c r="B23" s="46"/>
      <c r="C23" s="46"/>
      <c r="D23" s="46"/>
      <c r="E23" s="46"/>
      <c r="F23" s="46"/>
      <c r="G23" s="47"/>
    </row>
    <row r="24" spans="1:7" s="3" customFormat="1" ht="16.8" x14ac:dyDescent="0.3">
      <c r="A24" s="45"/>
      <c r="B24" s="46"/>
      <c r="C24" s="46"/>
      <c r="D24" s="46"/>
      <c r="E24" s="46"/>
      <c r="F24" s="46"/>
      <c r="G24" s="47"/>
    </row>
    <row r="25" spans="1:7" s="3" customFormat="1" ht="16.8" x14ac:dyDescent="0.3">
      <c r="A25" s="45"/>
      <c r="B25" s="46"/>
      <c r="C25" s="46"/>
      <c r="D25" s="46"/>
      <c r="E25" s="46"/>
      <c r="F25" s="46"/>
      <c r="G25" s="47"/>
    </row>
    <row r="26" spans="1:7" s="3" customFormat="1" ht="16.8" x14ac:dyDescent="0.3">
      <c r="A26" s="45"/>
      <c r="B26" s="46"/>
      <c r="C26" s="46"/>
      <c r="D26" s="46"/>
      <c r="E26" s="46"/>
      <c r="F26" s="46"/>
      <c r="G26" s="47"/>
    </row>
    <row r="27" spans="1:7" s="3" customFormat="1" ht="16.8" x14ac:dyDescent="0.3">
      <c r="A27" s="45"/>
      <c r="B27" s="46"/>
      <c r="C27" s="46"/>
      <c r="D27" s="46"/>
      <c r="E27" s="46"/>
      <c r="F27" s="46"/>
      <c r="G27" s="47"/>
    </row>
    <row r="28" spans="1:7" s="3" customFormat="1" ht="16.8" x14ac:dyDescent="0.3">
      <c r="A28" s="45"/>
      <c r="B28" s="46"/>
      <c r="C28" s="46"/>
      <c r="D28" s="46"/>
      <c r="E28" s="46"/>
      <c r="F28" s="46"/>
      <c r="G28" s="47"/>
    </row>
    <row r="29" spans="1:7" s="3" customFormat="1" ht="16.8" x14ac:dyDescent="0.3">
      <c r="A29" s="45"/>
      <c r="B29" s="46"/>
      <c r="C29" s="46"/>
      <c r="D29" s="46"/>
      <c r="E29" s="46"/>
      <c r="F29" s="46"/>
      <c r="G29" s="47"/>
    </row>
    <row r="30" spans="1:7" s="3" customFormat="1" ht="16.8" x14ac:dyDescent="0.3">
      <c r="A30" s="45"/>
      <c r="B30" s="46"/>
      <c r="C30" s="46"/>
      <c r="D30" s="46"/>
      <c r="E30" s="46"/>
      <c r="F30" s="46"/>
      <c r="G30" s="47"/>
    </row>
    <row r="31" spans="1:7" s="3" customFormat="1" ht="16.8" x14ac:dyDescent="0.3">
      <c r="A31" s="45"/>
      <c r="B31" s="46"/>
      <c r="C31" s="46"/>
      <c r="D31" s="46"/>
      <c r="E31" s="46"/>
      <c r="F31" s="46"/>
      <c r="G31" s="47"/>
    </row>
    <row r="32" spans="1:7" s="3" customFormat="1" ht="16.8" x14ac:dyDescent="0.3">
      <c r="A32" s="45"/>
      <c r="B32" s="46"/>
      <c r="C32" s="46"/>
      <c r="D32" s="46"/>
      <c r="E32" s="46"/>
      <c r="F32" s="46"/>
      <c r="G32" s="47"/>
    </row>
    <row r="33" spans="1:7" s="3" customFormat="1" ht="16.8" x14ac:dyDescent="0.3">
      <c r="A33" s="45"/>
      <c r="B33" s="46"/>
      <c r="C33" s="46"/>
      <c r="D33" s="46"/>
      <c r="E33" s="46"/>
      <c r="F33" s="46"/>
      <c r="G33" s="47"/>
    </row>
    <row r="34" spans="1:7" s="3" customFormat="1" ht="16.8" x14ac:dyDescent="0.3">
      <c r="A34" s="45"/>
      <c r="B34" s="46"/>
      <c r="C34" s="46"/>
      <c r="D34" s="46"/>
      <c r="E34" s="46"/>
      <c r="F34" s="46"/>
      <c r="G34" s="47"/>
    </row>
    <row r="35" spans="1:7" s="3" customFormat="1" ht="16.8" x14ac:dyDescent="0.3">
      <c r="A35" s="45"/>
      <c r="B35" s="46"/>
      <c r="C35" s="46"/>
      <c r="D35" s="46"/>
      <c r="E35" s="46"/>
      <c r="F35" s="46"/>
      <c r="G35" s="47"/>
    </row>
    <row r="36" spans="1:7" s="3" customFormat="1" ht="16.8" x14ac:dyDescent="0.3">
      <c r="A36" s="45"/>
      <c r="B36" s="46"/>
      <c r="C36" s="46"/>
      <c r="D36" s="46"/>
      <c r="E36" s="46"/>
      <c r="F36" s="46"/>
      <c r="G36" s="47"/>
    </row>
    <row r="37" spans="1:7" s="3" customFormat="1" ht="16.8" x14ac:dyDescent="0.3">
      <c r="A37" s="45"/>
      <c r="B37" s="46"/>
      <c r="C37" s="46"/>
      <c r="D37" s="46"/>
      <c r="E37" s="46"/>
      <c r="F37" s="46"/>
      <c r="G37" s="47"/>
    </row>
    <row r="38" spans="1:7" s="3" customFormat="1" ht="16.8" x14ac:dyDescent="0.3">
      <c r="A38" s="45"/>
      <c r="B38" s="46"/>
      <c r="C38" s="46"/>
      <c r="D38" s="46"/>
      <c r="E38" s="46"/>
      <c r="F38" s="46"/>
      <c r="G38" s="47"/>
    </row>
    <row r="39" spans="1:7" s="3" customFormat="1" ht="16.8" x14ac:dyDescent="0.3">
      <c r="A39" s="45"/>
      <c r="B39" s="46"/>
      <c r="C39" s="46"/>
      <c r="D39" s="46"/>
      <c r="E39" s="46"/>
      <c r="F39" s="46"/>
      <c r="G39" s="47"/>
    </row>
    <row r="40" spans="1:7" s="3" customFormat="1" ht="16.8" x14ac:dyDescent="0.3">
      <c r="A40" s="45"/>
      <c r="B40" s="46"/>
      <c r="C40" s="46"/>
      <c r="D40" s="46"/>
      <c r="E40" s="46"/>
      <c r="F40" s="46"/>
      <c r="G40" s="47"/>
    </row>
    <row r="41" spans="1:7" s="3" customFormat="1" ht="16.8" x14ac:dyDescent="0.3">
      <c r="A41" s="45"/>
      <c r="B41" s="46"/>
      <c r="C41" s="46"/>
      <c r="D41" s="46"/>
      <c r="E41" s="46"/>
      <c r="F41" s="46"/>
      <c r="G41" s="47"/>
    </row>
    <row r="42" spans="1:7" s="3" customFormat="1" ht="16.8" x14ac:dyDescent="0.3">
      <c r="A42" s="45"/>
      <c r="B42" s="46"/>
      <c r="C42" s="46"/>
      <c r="D42" s="46"/>
      <c r="E42" s="46"/>
      <c r="F42" s="46"/>
      <c r="G42" s="47"/>
    </row>
    <row r="43" spans="1:7" s="3" customFormat="1" ht="16.8" x14ac:dyDescent="0.3">
      <c r="A43" s="45"/>
      <c r="B43" s="46"/>
      <c r="C43" s="46"/>
      <c r="D43" s="46"/>
      <c r="E43" s="46"/>
      <c r="F43" s="46"/>
      <c r="G43" s="47"/>
    </row>
    <row r="44" spans="1:7" s="3" customFormat="1" ht="16.8" x14ac:dyDescent="0.3">
      <c r="A44" s="45"/>
      <c r="B44" s="46"/>
      <c r="C44" s="46"/>
      <c r="D44" s="46"/>
      <c r="E44" s="46"/>
      <c r="F44" s="46"/>
      <c r="G44" s="47"/>
    </row>
    <row r="45" spans="1:7" s="3" customFormat="1" ht="16.8" x14ac:dyDescent="0.3">
      <c r="A45" s="45"/>
      <c r="B45" s="46"/>
      <c r="C45" s="46"/>
      <c r="D45" s="46"/>
      <c r="E45" s="46"/>
      <c r="F45" s="46"/>
      <c r="G45" s="47"/>
    </row>
    <row r="46" spans="1:7" s="3" customFormat="1" ht="16.8" x14ac:dyDescent="0.3">
      <c r="A46" s="45"/>
      <c r="B46" s="46"/>
      <c r="C46" s="46"/>
      <c r="D46" s="46"/>
      <c r="E46" s="46"/>
      <c r="F46" s="46"/>
      <c r="G46" s="47"/>
    </row>
    <row r="47" spans="1:7" ht="17.399999999999999" thickBot="1" x14ac:dyDescent="0.35">
      <c r="A47" s="48"/>
      <c r="B47" s="49"/>
      <c r="C47" s="49"/>
      <c r="D47" s="49"/>
      <c r="E47" s="49"/>
      <c r="F47" s="49"/>
      <c r="G47" s="50"/>
    </row>
    <row r="48" spans="1:7" ht="16.2" thickTop="1" x14ac:dyDescent="0.3"/>
  </sheetData>
  <phoneticPr fontId="0" type="noConversion"/>
  <conditionalFormatting sqref="E11">
    <cfRule type="cellIs" dxfId="5" priority="1" operator="greaterThan">
      <formula>133</formula>
    </cfRule>
    <cfRule type="cellIs" dxfId="4" priority="2" operator="between">
      <formula>66</formula>
      <formula>133</formula>
    </cfRule>
  </conditionalFormatting>
  <hyperlinks>
    <hyperlink ref="G1" r:id="rId1" xr:uid="{9EA10BD0-C171-45C6-8DA8-9604F36506C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showGridLines="0" workbookViewId="0">
      <pane ySplit="2" topLeftCell="A3" activePane="bottomLeft" state="frozen"/>
      <selection pane="bottomLeft" activeCell="A3" sqref="A3"/>
    </sheetView>
  </sheetViews>
  <sheetFormatPr defaultColWidth="13" defaultRowHeight="15.6" x14ac:dyDescent="0.3"/>
  <cols>
    <col min="1" max="1" width="26.8984375" style="51" bestFit="1" customWidth="1"/>
    <col min="2" max="2" width="5.8984375" style="51" bestFit="1" customWidth="1"/>
    <col min="3" max="3" width="11.59765625" style="52" hidden="1" customWidth="1"/>
    <col min="4" max="4" width="5.796875" style="52" hidden="1" customWidth="1"/>
    <col min="5" max="5" width="9.19921875" style="52" bestFit="1" customWidth="1"/>
    <col min="6" max="6" width="7.5" style="52" customWidth="1"/>
    <col min="7" max="7" width="5.8984375" style="60" bestFit="1" customWidth="1"/>
    <col min="8" max="8" width="4.69921875" style="60" bestFit="1" customWidth="1"/>
    <col min="9" max="9" width="6.8984375" style="60" bestFit="1" customWidth="1"/>
    <col min="10" max="10" width="31.59765625" style="51" bestFit="1" customWidth="1"/>
    <col min="11" max="16384" width="13" style="12"/>
  </cols>
  <sheetData>
    <row r="1" spans="1:10" ht="23.4" thickBot="1" x14ac:dyDescent="0.35">
      <c r="A1" s="173" t="s">
        <v>7</v>
      </c>
      <c r="B1" s="53"/>
      <c r="C1" s="53"/>
      <c r="D1" s="53"/>
      <c r="E1" s="53"/>
      <c r="F1" s="53"/>
      <c r="G1" s="54"/>
      <c r="H1" s="54"/>
      <c r="I1" s="54"/>
      <c r="J1" s="53"/>
    </row>
    <row r="2" spans="1:10" s="3" customFormat="1" ht="34.200000000000003" thickBot="1" x14ac:dyDescent="0.35">
      <c r="A2" s="174" t="s">
        <v>103</v>
      </c>
      <c r="B2" s="175" t="s">
        <v>23</v>
      </c>
      <c r="C2" s="175" t="s">
        <v>25</v>
      </c>
      <c r="D2" s="175" t="s">
        <v>22</v>
      </c>
      <c r="E2" s="2" t="s">
        <v>50</v>
      </c>
      <c r="F2" s="2" t="s">
        <v>26</v>
      </c>
      <c r="G2" s="176" t="s">
        <v>52</v>
      </c>
      <c r="H2" s="177" t="s">
        <v>102</v>
      </c>
      <c r="I2" s="176" t="s">
        <v>76</v>
      </c>
      <c r="J2" s="178" t="s">
        <v>74</v>
      </c>
    </row>
    <row r="3" spans="1:10" s="3" customFormat="1" ht="16.8" x14ac:dyDescent="0.3">
      <c r="A3" s="179" t="s">
        <v>55</v>
      </c>
      <c r="B3" s="180">
        <f>2</f>
        <v>2</v>
      </c>
      <c r="C3" s="181" t="s">
        <v>131</v>
      </c>
      <c r="D3" s="182" t="str">
        <f>VLOOKUP(C3,'Personal File'!$A$10:$C$15,3,FALSE)</f>
        <v>+0</v>
      </c>
      <c r="E3" s="183" t="str">
        <f t="shared" ref="E3:E41" si="0">CONCATENATE(LEFT(C3,3)," (",D3,")")</f>
        <v>Con (+0)</v>
      </c>
      <c r="F3" s="203" t="s">
        <v>264</v>
      </c>
      <c r="G3" s="184">
        <f t="shared" ref="G3:G41" si="1">B3+D3+F3</f>
        <v>3</v>
      </c>
      <c r="H3" s="185">
        <f t="shared" ref="H3:H5" ca="1" si="2">RANDBETWEEN(1,20)</f>
        <v>12</v>
      </c>
      <c r="I3" s="184">
        <f ca="1">SUM(G3:H3)</f>
        <v>15</v>
      </c>
      <c r="J3" s="186"/>
    </row>
    <row r="4" spans="1:10" s="3" customFormat="1" ht="16.8" x14ac:dyDescent="0.3">
      <c r="A4" s="187" t="s">
        <v>56</v>
      </c>
      <c r="B4" s="180">
        <f>2</f>
        <v>2</v>
      </c>
      <c r="C4" s="188" t="s">
        <v>135</v>
      </c>
      <c r="D4" s="182" t="str">
        <f>VLOOKUP(C4,'Personal File'!$A$10:$C$15,3,FALSE)</f>
        <v>+2</v>
      </c>
      <c r="E4" s="189" t="str">
        <f t="shared" si="0"/>
        <v>Dex (+2)</v>
      </c>
      <c r="F4" s="184">
        <v>0</v>
      </c>
      <c r="G4" s="184">
        <f t="shared" si="1"/>
        <v>4</v>
      </c>
      <c r="H4" s="185">
        <f t="shared" ca="1" si="2"/>
        <v>13</v>
      </c>
      <c r="I4" s="184">
        <f ca="1">SUM(G4:H4)</f>
        <v>17</v>
      </c>
      <c r="J4" s="186" t="s">
        <v>197</v>
      </c>
    </row>
    <row r="5" spans="1:10" s="3" customFormat="1" ht="16.8" x14ac:dyDescent="0.3">
      <c r="A5" s="190" t="s">
        <v>57</v>
      </c>
      <c r="B5" s="191">
        <f>5</f>
        <v>5</v>
      </c>
      <c r="C5" s="192" t="s">
        <v>134</v>
      </c>
      <c r="D5" s="192">
        <f>VLOOKUP(C5,'Personal File'!$A$10:$C$15,3,FALSE)</f>
        <v>-1</v>
      </c>
      <c r="E5" s="193" t="str">
        <f t="shared" si="0"/>
        <v>Wis (-1)</v>
      </c>
      <c r="F5" s="194">
        <v>0</v>
      </c>
      <c r="G5" s="194">
        <f t="shared" si="1"/>
        <v>4</v>
      </c>
      <c r="H5" s="195">
        <f t="shared" ca="1" si="2"/>
        <v>17</v>
      </c>
      <c r="I5" s="194">
        <f ca="1">SUM(G5:H5)</f>
        <v>21</v>
      </c>
      <c r="J5" s="196"/>
    </row>
    <row r="6" spans="1:10" s="55" customFormat="1" ht="16.8" x14ac:dyDescent="0.3">
      <c r="A6" s="197" t="s">
        <v>27</v>
      </c>
      <c r="B6" s="198">
        <v>0</v>
      </c>
      <c r="C6" s="199" t="s">
        <v>133</v>
      </c>
      <c r="D6" s="200" t="str">
        <f>VLOOKUP(C6,'Personal File'!$A$10:$C$15,3,FALSE)</f>
        <v>+1</v>
      </c>
      <c r="E6" s="201" t="str">
        <f t="shared" si="0"/>
        <v>Int (+1)</v>
      </c>
      <c r="F6" s="202" t="s">
        <v>51</v>
      </c>
      <c r="G6" s="203">
        <f t="shared" si="1"/>
        <v>1</v>
      </c>
      <c r="H6" s="185">
        <f ca="1">RANDBETWEEN(1,20)</f>
        <v>17</v>
      </c>
      <c r="I6" s="203">
        <f t="shared" ref="I6:I41" ca="1" si="3">SUM(G6:H6)</f>
        <v>18</v>
      </c>
      <c r="J6" s="186"/>
    </row>
    <row r="7" spans="1:10" s="56" customFormat="1" ht="16.8" x14ac:dyDescent="0.3">
      <c r="A7" s="187" t="s">
        <v>28</v>
      </c>
      <c r="B7" s="198">
        <v>0</v>
      </c>
      <c r="C7" s="204" t="s">
        <v>135</v>
      </c>
      <c r="D7" s="205" t="str">
        <f>VLOOKUP(C7,'Personal File'!$A$10:$C$15,3,FALSE)</f>
        <v>+2</v>
      </c>
      <c r="E7" s="206" t="str">
        <f t="shared" si="0"/>
        <v>Dex (+2)</v>
      </c>
      <c r="F7" s="202">
        <f>Martial!$D$12</f>
        <v>0</v>
      </c>
      <c r="G7" s="203">
        <f t="shared" si="1"/>
        <v>2</v>
      </c>
      <c r="H7" s="185">
        <f t="shared" ref="H7:H41" ca="1" si="4">RANDBETWEEN(1,20)</f>
        <v>7</v>
      </c>
      <c r="I7" s="203">
        <f t="shared" ca="1" si="3"/>
        <v>9</v>
      </c>
      <c r="J7" s="186"/>
    </row>
    <row r="8" spans="1:10" s="57" customFormat="1" ht="16.8" x14ac:dyDescent="0.3">
      <c r="A8" s="207" t="s">
        <v>29</v>
      </c>
      <c r="B8" s="208">
        <v>8</v>
      </c>
      <c r="C8" s="209" t="s">
        <v>132</v>
      </c>
      <c r="D8" s="210" t="str">
        <f>VLOOKUP(C8,'Personal File'!$A$10:$C$15,3,FALSE)</f>
        <v>+4</v>
      </c>
      <c r="E8" s="211" t="str">
        <f t="shared" si="0"/>
        <v>Cha (+4)</v>
      </c>
      <c r="F8" s="223" t="s">
        <v>51</v>
      </c>
      <c r="G8" s="212">
        <f t="shared" si="1"/>
        <v>12</v>
      </c>
      <c r="H8" s="185">
        <f t="shared" ca="1" si="4"/>
        <v>10</v>
      </c>
      <c r="I8" s="212">
        <f t="shared" ca="1" si="3"/>
        <v>22</v>
      </c>
      <c r="J8" s="213"/>
    </row>
    <row r="9" spans="1:10" s="58" customFormat="1" ht="16.8" x14ac:dyDescent="0.3">
      <c r="A9" s="214" t="s">
        <v>30</v>
      </c>
      <c r="B9" s="198">
        <v>0</v>
      </c>
      <c r="C9" s="215" t="s">
        <v>136</v>
      </c>
      <c r="D9" s="216">
        <f>VLOOKUP(C9,'Personal File'!$A$10:$C$15,3,FALSE)</f>
        <v>-1</v>
      </c>
      <c r="E9" s="217" t="str">
        <f t="shared" si="0"/>
        <v>Str (-1)</v>
      </c>
      <c r="F9" s="203" t="s">
        <v>51</v>
      </c>
      <c r="G9" s="203">
        <f t="shared" si="1"/>
        <v>-1</v>
      </c>
      <c r="H9" s="185">
        <f t="shared" ca="1" si="4"/>
        <v>18</v>
      </c>
      <c r="I9" s="203">
        <f t="shared" ca="1" si="3"/>
        <v>17</v>
      </c>
      <c r="J9" s="186"/>
    </row>
    <row r="10" spans="1:10" s="58" customFormat="1" ht="16.8" x14ac:dyDescent="0.3">
      <c r="A10" s="218" t="s">
        <v>8</v>
      </c>
      <c r="B10" s="219">
        <v>10</v>
      </c>
      <c r="C10" s="220" t="s">
        <v>131</v>
      </c>
      <c r="D10" s="221" t="str">
        <f>VLOOKUP(C10,'Personal File'!$A$10:$C$15,3,FALSE)</f>
        <v>+0</v>
      </c>
      <c r="E10" s="222" t="str">
        <f t="shared" si="0"/>
        <v>Con (+0)</v>
      </c>
      <c r="F10" s="223" t="s">
        <v>51</v>
      </c>
      <c r="G10" s="223">
        <f t="shared" si="1"/>
        <v>10</v>
      </c>
      <c r="H10" s="185">
        <f t="shared" ca="1" si="4"/>
        <v>11</v>
      </c>
      <c r="I10" s="223">
        <f t="shared" ca="1" si="3"/>
        <v>21</v>
      </c>
      <c r="J10" s="224" t="s">
        <v>251</v>
      </c>
    </row>
    <row r="11" spans="1:10" s="55" customFormat="1" ht="16.8" x14ac:dyDescent="0.3">
      <c r="A11" s="197" t="s">
        <v>248</v>
      </c>
      <c r="B11" s="198">
        <v>0</v>
      </c>
      <c r="C11" s="199" t="s">
        <v>133</v>
      </c>
      <c r="D11" s="200" t="str">
        <f>VLOOKUP(C11,'Personal File'!$A$10:$C$15,3,FALSE)</f>
        <v>+1</v>
      </c>
      <c r="E11" s="201" t="str">
        <f t="shared" si="0"/>
        <v>Int (+1)</v>
      </c>
      <c r="F11" s="203" t="s">
        <v>51</v>
      </c>
      <c r="G11" s="203">
        <f t="shared" si="1"/>
        <v>1</v>
      </c>
      <c r="H11" s="185">
        <f t="shared" ca="1" si="4"/>
        <v>4</v>
      </c>
      <c r="I11" s="203">
        <f t="shared" ca="1" si="3"/>
        <v>5</v>
      </c>
      <c r="J11" s="186"/>
    </row>
    <row r="12" spans="1:10" s="59" customFormat="1" ht="16.8" x14ac:dyDescent="0.3">
      <c r="A12" s="225" t="s">
        <v>31</v>
      </c>
      <c r="B12" s="226">
        <v>0</v>
      </c>
      <c r="C12" s="227" t="s">
        <v>133</v>
      </c>
      <c r="D12" s="228" t="str">
        <f>VLOOKUP(C12,'Personal File'!$A$10:$C$15,3,FALSE)</f>
        <v>+1</v>
      </c>
      <c r="E12" s="229" t="str">
        <f t="shared" si="0"/>
        <v>Int (+1)</v>
      </c>
      <c r="F12" s="230" t="s">
        <v>51</v>
      </c>
      <c r="G12" s="230">
        <f t="shared" si="1"/>
        <v>1</v>
      </c>
      <c r="H12" s="185">
        <f t="shared" ca="1" si="4"/>
        <v>3</v>
      </c>
      <c r="I12" s="230">
        <f t="shared" ref="I12" ca="1" si="5">SUM(G12:H12)</f>
        <v>4</v>
      </c>
      <c r="J12" s="231"/>
    </row>
    <row r="13" spans="1:10" s="56" customFormat="1" ht="16.8" x14ac:dyDescent="0.3">
      <c r="A13" s="232" t="s">
        <v>32</v>
      </c>
      <c r="B13" s="198">
        <v>0</v>
      </c>
      <c r="C13" s="233" t="s">
        <v>132</v>
      </c>
      <c r="D13" s="234" t="str">
        <f>VLOOKUP(C13,'Personal File'!$A$10:$C$15,3,FALSE)</f>
        <v>+4</v>
      </c>
      <c r="E13" s="235" t="str">
        <f t="shared" si="0"/>
        <v>Cha (+4)</v>
      </c>
      <c r="F13" s="202">
        <f>2+2</f>
        <v>4</v>
      </c>
      <c r="G13" s="203">
        <f t="shared" si="1"/>
        <v>8</v>
      </c>
      <c r="H13" s="185">
        <f t="shared" ca="1" si="4"/>
        <v>3</v>
      </c>
      <c r="I13" s="203">
        <f t="shared" ca="1" si="3"/>
        <v>11</v>
      </c>
      <c r="J13" s="186"/>
    </row>
    <row r="14" spans="1:10" s="56" customFormat="1" ht="16.8" x14ac:dyDescent="0.3">
      <c r="A14" s="225" t="s">
        <v>33</v>
      </c>
      <c r="B14" s="226">
        <v>0</v>
      </c>
      <c r="C14" s="227" t="s">
        <v>133</v>
      </c>
      <c r="D14" s="228" t="str">
        <f>VLOOKUP(C14,'Personal File'!$A$10:$C$15,3,FALSE)</f>
        <v>+1</v>
      </c>
      <c r="E14" s="229" t="str">
        <f t="shared" si="0"/>
        <v>Int (+1)</v>
      </c>
      <c r="F14" s="230" t="s">
        <v>51</v>
      </c>
      <c r="G14" s="230">
        <f t="shared" si="1"/>
        <v>1</v>
      </c>
      <c r="H14" s="185">
        <f t="shared" ca="1" si="4"/>
        <v>13</v>
      </c>
      <c r="I14" s="230">
        <f t="shared" ref="I14" ca="1" si="6">SUM(G14:H14)</f>
        <v>14</v>
      </c>
      <c r="J14" s="231"/>
    </row>
    <row r="15" spans="1:10" s="56" customFormat="1" ht="16.8" x14ac:dyDescent="0.3">
      <c r="A15" s="232" t="s">
        <v>34</v>
      </c>
      <c r="B15" s="198">
        <v>0</v>
      </c>
      <c r="C15" s="233" t="s">
        <v>132</v>
      </c>
      <c r="D15" s="234" t="str">
        <f>VLOOKUP(C15,'Personal File'!$A$10:$C$15,3,FALSE)</f>
        <v>+4</v>
      </c>
      <c r="E15" s="235" t="str">
        <f t="shared" si="0"/>
        <v>Cha (+4)</v>
      </c>
      <c r="F15" s="241" t="s">
        <v>51</v>
      </c>
      <c r="G15" s="203">
        <f t="shared" si="1"/>
        <v>4</v>
      </c>
      <c r="H15" s="185">
        <f t="shared" ca="1" si="4"/>
        <v>12</v>
      </c>
      <c r="I15" s="203">
        <f t="shared" ca="1" si="3"/>
        <v>16</v>
      </c>
      <c r="J15" s="186" t="s">
        <v>191</v>
      </c>
    </row>
    <row r="16" spans="1:10" s="56" customFormat="1" ht="16.8" x14ac:dyDescent="0.3">
      <c r="A16" s="187" t="s">
        <v>35</v>
      </c>
      <c r="B16" s="198">
        <v>0</v>
      </c>
      <c r="C16" s="204" t="s">
        <v>135</v>
      </c>
      <c r="D16" s="205" t="str">
        <f>VLOOKUP(C16,'Personal File'!$A$10:$C$15,3,FALSE)</f>
        <v>+2</v>
      </c>
      <c r="E16" s="206" t="str">
        <f t="shared" si="0"/>
        <v>Dex (+2)</v>
      </c>
      <c r="F16" s="203">
        <f>Martial!$D$12</f>
        <v>0</v>
      </c>
      <c r="G16" s="203">
        <f t="shared" si="1"/>
        <v>2</v>
      </c>
      <c r="H16" s="185">
        <f t="shared" ca="1" si="4"/>
        <v>19</v>
      </c>
      <c r="I16" s="203">
        <f t="shared" ca="1" si="3"/>
        <v>21</v>
      </c>
      <c r="J16" s="186"/>
    </row>
    <row r="17" spans="1:10" s="56" customFormat="1" ht="16.8" x14ac:dyDescent="0.3">
      <c r="A17" s="236" t="s">
        <v>36</v>
      </c>
      <c r="B17" s="237">
        <v>0</v>
      </c>
      <c r="C17" s="238" t="s">
        <v>133</v>
      </c>
      <c r="D17" s="239" t="str">
        <f>VLOOKUP(C17,'Personal File'!$A$10:$C$15,3,FALSE)</f>
        <v>+1</v>
      </c>
      <c r="E17" s="240" t="str">
        <f t="shared" si="0"/>
        <v>Int (+1)</v>
      </c>
      <c r="F17" s="241" t="s">
        <v>51</v>
      </c>
      <c r="G17" s="241">
        <f t="shared" si="1"/>
        <v>1</v>
      </c>
      <c r="H17" s="185">
        <f t="shared" ca="1" si="4"/>
        <v>20</v>
      </c>
      <c r="I17" s="241">
        <f t="shared" ca="1" si="3"/>
        <v>21</v>
      </c>
      <c r="J17" s="242"/>
    </row>
    <row r="18" spans="1:10" s="56" customFormat="1" ht="16.8" x14ac:dyDescent="0.3">
      <c r="A18" s="232" t="s">
        <v>37</v>
      </c>
      <c r="B18" s="198">
        <v>0</v>
      </c>
      <c r="C18" s="233" t="s">
        <v>132</v>
      </c>
      <c r="D18" s="234" t="str">
        <f>VLOOKUP(C18,'Personal File'!$A$10:$C$15,3,FALSE)</f>
        <v>+4</v>
      </c>
      <c r="E18" s="235" t="str">
        <f t="shared" si="0"/>
        <v>Cha (+4)</v>
      </c>
      <c r="F18" s="203" t="s">
        <v>51</v>
      </c>
      <c r="G18" s="203">
        <f t="shared" si="1"/>
        <v>4</v>
      </c>
      <c r="H18" s="185">
        <f t="shared" ca="1" si="4"/>
        <v>10</v>
      </c>
      <c r="I18" s="203">
        <f t="shared" ca="1" si="3"/>
        <v>14</v>
      </c>
      <c r="J18" s="186"/>
    </row>
    <row r="19" spans="1:10" s="56" customFormat="1" ht="16.8" x14ac:dyDescent="0.3">
      <c r="A19" s="232" t="s">
        <v>10</v>
      </c>
      <c r="B19" s="198">
        <v>0</v>
      </c>
      <c r="C19" s="233" t="s">
        <v>132</v>
      </c>
      <c r="D19" s="234" t="str">
        <f>VLOOKUP(C19,'Personal File'!$A$10:$C$15,3,FALSE)</f>
        <v>+4</v>
      </c>
      <c r="E19" s="235" t="str">
        <f t="shared" si="0"/>
        <v>Cha (+4)</v>
      </c>
      <c r="F19" s="203" t="s">
        <v>51</v>
      </c>
      <c r="G19" s="203">
        <f t="shared" si="1"/>
        <v>4</v>
      </c>
      <c r="H19" s="185">
        <f t="shared" ca="1" si="4"/>
        <v>9</v>
      </c>
      <c r="I19" s="203">
        <f t="shared" ca="1" si="3"/>
        <v>13</v>
      </c>
      <c r="J19" s="186"/>
    </row>
    <row r="20" spans="1:10" s="56" customFormat="1" ht="16.8" x14ac:dyDescent="0.3">
      <c r="A20" s="247" t="s">
        <v>38</v>
      </c>
      <c r="B20" s="198">
        <v>0</v>
      </c>
      <c r="C20" s="248" t="s">
        <v>134</v>
      </c>
      <c r="D20" s="249">
        <f>VLOOKUP(C20,'Personal File'!$A$10:$C$15,3,FALSE)</f>
        <v>-1</v>
      </c>
      <c r="E20" s="250" t="str">
        <f t="shared" si="0"/>
        <v>Wis (-1)</v>
      </c>
      <c r="F20" s="203" t="s">
        <v>51</v>
      </c>
      <c r="G20" s="203">
        <f t="shared" si="1"/>
        <v>-1</v>
      </c>
      <c r="H20" s="185">
        <f t="shared" ca="1" si="4"/>
        <v>15</v>
      </c>
      <c r="I20" s="203">
        <f t="shared" ca="1" si="3"/>
        <v>14</v>
      </c>
      <c r="J20" s="186"/>
    </row>
    <row r="21" spans="1:10" s="56" customFormat="1" ht="16.8" x14ac:dyDescent="0.3">
      <c r="A21" s="187" t="s">
        <v>39</v>
      </c>
      <c r="B21" s="198">
        <v>0</v>
      </c>
      <c r="C21" s="204" t="s">
        <v>135</v>
      </c>
      <c r="D21" s="205" t="str">
        <f>VLOOKUP(C21,'Personal File'!$A$10:$C$15,3,FALSE)</f>
        <v>+2</v>
      </c>
      <c r="E21" s="206" t="str">
        <f t="shared" si="0"/>
        <v>Dex (+2)</v>
      </c>
      <c r="F21" s="203">
        <f>Martial!$D$12</f>
        <v>0</v>
      </c>
      <c r="G21" s="203">
        <f t="shared" si="1"/>
        <v>2</v>
      </c>
      <c r="H21" s="185">
        <f t="shared" ca="1" si="4"/>
        <v>4</v>
      </c>
      <c r="I21" s="203">
        <f t="shared" ca="1" si="3"/>
        <v>6</v>
      </c>
      <c r="J21" s="186"/>
    </row>
    <row r="22" spans="1:10" s="56" customFormat="1" ht="16.8" x14ac:dyDescent="0.3">
      <c r="A22" s="232" t="s">
        <v>40</v>
      </c>
      <c r="B22" s="198">
        <v>0</v>
      </c>
      <c r="C22" s="233" t="s">
        <v>132</v>
      </c>
      <c r="D22" s="234" t="str">
        <f>VLOOKUP(C22,'Personal File'!$A$10:$C$15,3,FALSE)</f>
        <v>+4</v>
      </c>
      <c r="E22" s="235" t="str">
        <f t="shared" si="0"/>
        <v>Cha (+4)</v>
      </c>
      <c r="F22" s="203" t="s">
        <v>164</v>
      </c>
      <c r="G22" s="203">
        <f t="shared" si="1"/>
        <v>6</v>
      </c>
      <c r="H22" s="185">
        <f t="shared" ca="1" si="4"/>
        <v>7</v>
      </c>
      <c r="I22" s="203">
        <f t="shared" ca="1" si="3"/>
        <v>13</v>
      </c>
      <c r="J22" s="186"/>
    </row>
    <row r="23" spans="1:10" s="56" customFormat="1" ht="16.8" x14ac:dyDescent="0.3">
      <c r="A23" s="214" t="s">
        <v>41</v>
      </c>
      <c r="B23" s="198">
        <v>0</v>
      </c>
      <c r="C23" s="215" t="s">
        <v>136</v>
      </c>
      <c r="D23" s="216">
        <f>VLOOKUP(C23,'Personal File'!$A$10:$C$15,3,FALSE)</f>
        <v>-1</v>
      </c>
      <c r="E23" s="217" t="str">
        <f t="shared" si="0"/>
        <v>Str (-1)</v>
      </c>
      <c r="F23" s="203">
        <f>Martial!$D$12</f>
        <v>0</v>
      </c>
      <c r="G23" s="203">
        <f t="shared" si="1"/>
        <v>-1</v>
      </c>
      <c r="H23" s="185">
        <f t="shared" ca="1" si="4"/>
        <v>20</v>
      </c>
      <c r="I23" s="203">
        <f t="shared" ca="1" si="3"/>
        <v>19</v>
      </c>
      <c r="J23" s="186"/>
    </row>
    <row r="24" spans="1:10" s="56" customFormat="1" ht="16.8" x14ac:dyDescent="0.3">
      <c r="A24" s="243" t="s">
        <v>108</v>
      </c>
      <c r="B24" s="219">
        <v>8</v>
      </c>
      <c r="C24" s="244" t="s">
        <v>133</v>
      </c>
      <c r="D24" s="245" t="str">
        <f>VLOOKUP(C24,'Personal File'!$A$10:$C$15,3,FALSE)</f>
        <v>+1</v>
      </c>
      <c r="E24" s="246" t="str">
        <f t="shared" si="0"/>
        <v>Int (+1)</v>
      </c>
      <c r="F24" s="212" t="s">
        <v>51</v>
      </c>
      <c r="G24" s="223">
        <f t="shared" si="1"/>
        <v>9</v>
      </c>
      <c r="H24" s="185">
        <f t="shared" ca="1" si="4"/>
        <v>2</v>
      </c>
      <c r="I24" s="223">
        <f t="shared" ca="1" si="3"/>
        <v>11</v>
      </c>
      <c r="J24" s="224"/>
    </row>
    <row r="25" spans="1:10" s="56" customFormat="1" ht="16.8" x14ac:dyDescent="0.3">
      <c r="A25" s="247" t="s">
        <v>42</v>
      </c>
      <c r="B25" s="198">
        <v>0</v>
      </c>
      <c r="C25" s="248" t="s">
        <v>134</v>
      </c>
      <c r="D25" s="249">
        <f>VLOOKUP(C25,'Personal File'!$A$10:$C$15,3,FALSE)</f>
        <v>-1</v>
      </c>
      <c r="E25" s="250" t="str">
        <f t="shared" si="0"/>
        <v>Wis (-1)</v>
      </c>
      <c r="F25" s="203" t="s">
        <v>164</v>
      </c>
      <c r="G25" s="203">
        <f t="shared" si="1"/>
        <v>1</v>
      </c>
      <c r="H25" s="185">
        <f t="shared" ca="1" si="4"/>
        <v>2</v>
      </c>
      <c r="I25" s="203">
        <f t="shared" ca="1" si="3"/>
        <v>3</v>
      </c>
      <c r="J25" s="186"/>
    </row>
    <row r="26" spans="1:10" s="56" customFormat="1" ht="16.8" x14ac:dyDescent="0.3">
      <c r="A26" s="187" t="s">
        <v>11</v>
      </c>
      <c r="B26" s="198">
        <v>0</v>
      </c>
      <c r="C26" s="204" t="s">
        <v>135</v>
      </c>
      <c r="D26" s="205" t="str">
        <f>VLOOKUP(C26,'Personal File'!$A$10:$C$15,3,FALSE)</f>
        <v>+2</v>
      </c>
      <c r="E26" s="206" t="str">
        <f t="shared" si="0"/>
        <v>Dex (+2)</v>
      </c>
      <c r="F26" s="203">
        <f>Martial!$D$12</f>
        <v>0</v>
      </c>
      <c r="G26" s="203">
        <f t="shared" si="1"/>
        <v>2</v>
      </c>
      <c r="H26" s="185">
        <f t="shared" ca="1" si="4"/>
        <v>12</v>
      </c>
      <c r="I26" s="203">
        <f t="shared" ca="1" si="3"/>
        <v>14</v>
      </c>
      <c r="J26" s="186"/>
    </row>
    <row r="27" spans="1:10" s="56" customFormat="1" ht="16.8" x14ac:dyDescent="0.3">
      <c r="A27" s="251" t="s">
        <v>43</v>
      </c>
      <c r="B27" s="226">
        <v>0</v>
      </c>
      <c r="C27" s="252" t="s">
        <v>135</v>
      </c>
      <c r="D27" s="253" t="str">
        <f>VLOOKUP(C27,'Personal File'!$A$10:$C$15,3,FALSE)</f>
        <v>+2</v>
      </c>
      <c r="E27" s="254" t="str">
        <f t="shared" si="0"/>
        <v>Dex (+2)</v>
      </c>
      <c r="F27" s="230" t="s">
        <v>51</v>
      </c>
      <c r="G27" s="230">
        <f t="shared" si="1"/>
        <v>2</v>
      </c>
      <c r="H27" s="185">
        <f t="shared" ca="1" si="4"/>
        <v>10</v>
      </c>
      <c r="I27" s="230">
        <f t="shared" ca="1" si="3"/>
        <v>12</v>
      </c>
      <c r="J27" s="231"/>
    </row>
    <row r="28" spans="1:10" ht="16.8" x14ac:dyDescent="0.3">
      <c r="A28" s="232" t="s">
        <v>107</v>
      </c>
      <c r="B28" s="198">
        <v>0</v>
      </c>
      <c r="C28" s="233" t="s">
        <v>132</v>
      </c>
      <c r="D28" s="234" t="str">
        <f>VLOOKUP(C28,'Personal File'!$A$10:$C$15,3,FALSE)</f>
        <v>+4</v>
      </c>
      <c r="E28" s="235" t="str">
        <f t="shared" si="0"/>
        <v>Cha (+4)</v>
      </c>
      <c r="F28" s="203" t="s">
        <v>51</v>
      </c>
      <c r="G28" s="203">
        <f t="shared" si="1"/>
        <v>4</v>
      </c>
      <c r="H28" s="185">
        <f t="shared" ca="1" si="4"/>
        <v>15</v>
      </c>
      <c r="I28" s="203">
        <f t="shared" ca="1" si="3"/>
        <v>19</v>
      </c>
      <c r="J28" s="186"/>
    </row>
    <row r="29" spans="1:10" ht="16.8" x14ac:dyDescent="0.3">
      <c r="A29" s="207" t="s">
        <v>249</v>
      </c>
      <c r="B29" s="208">
        <v>4</v>
      </c>
      <c r="C29" s="255" t="s">
        <v>134</v>
      </c>
      <c r="D29" s="256">
        <f>VLOOKUP(C29,'Personal File'!$A$10:$C$15,3,FALSE)</f>
        <v>-1</v>
      </c>
      <c r="E29" s="257" t="str">
        <f t="shared" si="0"/>
        <v>Wis (-1)</v>
      </c>
      <c r="F29" s="212" t="s">
        <v>51</v>
      </c>
      <c r="G29" s="212">
        <f t="shared" si="1"/>
        <v>3</v>
      </c>
      <c r="H29" s="185">
        <f t="shared" ca="1" si="4"/>
        <v>16</v>
      </c>
      <c r="I29" s="212">
        <f t="shared" ref="I29" ca="1" si="7">SUM(G29:H29)</f>
        <v>19</v>
      </c>
      <c r="J29" s="213"/>
    </row>
    <row r="30" spans="1:10" ht="16.8" x14ac:dyDescent="0.3">
      <c r="A30" s="187" t="s">
        <v>12</v>
      </c>
      <c r="B30" s="198">
        <v>0</v>
      </c>
      <c r="C30" s="204" t="s">
        <v>135</v>
      </c>
      <c r="D30" s="205" t="str">
        <f>VLOOKUP(C30,'Personal File'!$A$10:$C$15,3,FALSE)</f>
        <v>+2</v>
      </c>
      <c r="E30" s="206" t="str">
        <f t="shared" si="0"/>
        <v>Dex (+2)</v>
      </c>
      <c r="F30" s="203" t="s">
        <v>51</v>
      </c>
      <c r="G30" s="203">
        <f t="shared" si="1"/>
        <v>2</v>
      </c>
      <c r="H30" s="185">
        <f t="shared" ca="1" si="4"/>
        <v>10</v>
      </c>
      <c r="I30" s="203">
        <f t="shared" ca="1" si="3"/>
        <v>12</v>
      </c>
      <c r="J30" s="186"/>
    </row>
    <row r="31" spans="1:10" ht="16.8" x14ac:dyDescent="0.3">
      <c r="A31" s="197" t="s">
        <v>13</v>
      </c>
      <c r="B31" s="198">
        <v>0</v>
      </c>
      <c r="C31" s="199" t="s">
        <v>133</v>
      </c>
      <c r="D31" s="200" t="str">
        <f>VLOOKUP(C31,'Personal File'!$A$10:$C$15,3,FALSE)</f>
        <v>+1</v>
      </c>
      <c r="E31" s="201" t="str">
        <f t="shared" si="0"/>
        <v>Int (+1)</v>
      </c>
      <c r="F31" s="203" t="s">
        <v>51</v>
      </c>
      <c r="G31" s="203">
        <f t="shared" si="1"/>
        <v>1</v>
      </c>
      <c r="H31" s="185">
        <f t="shared" ca="1" si="4"/>
        <v>8</v>
      </c>
      <c r="I31" s="203">
        <f t="shared" ca="1" si="3"/>
        <v>9</v>
      </c>
      <c r="J31" s="186"/>
    </row>
    <row r="32" spans="1:10" ht="16.8" x14ac:dyDescent="0.3">
      <c r="A32" s="247" t="s">
        <v>44</v>
      </c>
      <c r="B32" s="198">
        <v>0</v>
      </c>
      <c r="C32" s="248" t="s">
        <v>134</v>
      </c>
      <c r="D32" s="249">
        <f>VLOOKUP(C32,'Personal File'!$A$10:$C$15,3,FALSE)</f>
        <v>-1</v>
      </c>
      <c r="E32" s="250" t="str">
        <f t="shared" si="0"/>
        <v>Wis (-1)</v>
      </c>
      <c r="F32" s="203" t="s">
        <v>164</v>
      </c>
      <c r="G32" s="203">
        <f t="shared" si="1"/>
        <v>1</v>
      </c>
      <c r="H32" s="185">
        <f t="shared" ca="1" si="4"/>
        <v>14</v>
      </c>
      <c r="I32" s="203">
        <f t="shared" ca="1" si="3"/>
        <v>15</v>
      </c>
      <c r="J32" s="186"/>
    </row>
    <row r="33" spans="1:10" ht="16.8" x14ac:dyDescent="0.3">
      <c r="A33" s="251" t="s">
        <v>80</v>
      </c>
      <c r="B33" s="226">
        <v>0</v>
      </c>
      <c r="C33" s="252" t="s">
        <v>135</v>
      </c>
      <c r="D33" s="253" t="str">
        <f>VLOOKUP(C33,'Personal File'!$A$10:$C$15,3,FALSE)</f>
        <v>+2</v>
      </c>
      <c r="E33" s="254" t="str">
        <f t="shared" si="0"/>
        <v>Dex (+2)</v>
      </c>
      <c r="F33" s="230">
        <f>Martial!$D$12</f>
        <v>0</v>
      </c>
      <c r="G33" s="230">
        <f t="shared" si="1"/>
        <v>2</v>
      </c>
      <c r="H33" s="185">
        <f t="shared" ca="1" si="4"/>
        <v>11</v>
      </c>
      <c r="I33" s="230">
        <f t="shared" ref="I33:I34" ca="1" si="8">SUM(G33:H33)</f>
        <v>13</v>
      </c>
      <c r="J33" s="231"/>
    </row>
    <row r="34" spans="1:10" ht="16.8" x14ac:dyDescent="0.3">
      <c r="A34" s="410" t="s">
        <v>247</v>
      </c>
      <c r="B34" s="411">
        <v>0</v>
      </c>
      <c r="C34" s="412" t="s">
        <v>133</v>
      </c>
      <c r="D34" s="413" t="str">
        <f>VLOOKUP(C34,'Personal File'!$A$10:$C$15,3,FALSE)</f>
        <v>+1</v>
      </c>
      <c r="E34" s="414" t="str">
        <f t="shared" si="0"/>
        <v>Int (+1)</v>
      </c>
      <c r="F34" s="415" t="s">
        <v>51</v>
      </c>
      <c r="G34" s="416">
        <f t="shared" si="1"/>
        <v>1</v>
      </c>
      <c r="H34" s="417">
        <f t="shared" ca="1" si="4"/>
        <v>20</v>
      </c>
      <c r="I34" s="416">
        <f t="shared" ca="1" si="8"/>
        <v>21</v>
      </c>
      <c r="J34" s="418"/>
    </row>
    <row r="35" spans="1:10" ht="16.8" x14ac:dyDescent="0.3">
      <c r="A35" s="258" t="s">
        <v>45</v>
      </c>
      <c r="B35" s="208">
        <v>10</v>
      </c>
      <c r="C35" s="259" t="s">
        <v>133</v>
      </c>
      <c r="D35" s="260" t="str">
        <f>VLOOKUP(C35,'Personal File'!$A$10:$C$15,3,FALSE)</f>
        <v>+1</v>
      </c>
      <c r="E35" s="261" t="str">
        <f t="shared" si="0"/>
        <v>Int (+1)</v>
      </c>
      <c r="F35" s="212" t="s">
        <v>164</v>
      </c>
      <c r="G35" s="212">
        <f t="shared" si="1"/>
        <v>13</v>
      </c>
      <c r="H35" s="185">
        <f t="shared" ca="1" si="4"/>
        <v>4</v>
      </c>
      <c r="I35" s="212">
        <f t="shared" ca="1" si="3"/>
        <v>17</v>
      </c>
      <c r="J35" s="213"/>
    </row>
    <row r="36" spans="1:10" ht="16.8" x14ac:dyDescent="0.3">
      <c r="A36" s="247" t="s">
        <v>46</v>
      </c>
      <c r="B36" s="198">
        <v>0</v>
      </c>
      <c r="C36" s="248" t="s">
        <v>134</v>
      </c>
      <c r="D36" s="249">
        <f>VLOOKUP(C36,'Personal File'!$A$10:$C$15,3,FALSE)</f>
        <v>-1</v>
      </c>
      <c r="E36" s="250" t="str">
        <f t="shared" si="0"/>
        <v>Wis (-1)</v>
      </c>
      <c r="F36" s="203" t="s">
        <v>164</v>
      </c>
      <c r="G36" s="203">
        <f t="shared" si="1"/>
        <v>1</v>
      </c>
      <c r="H36" s="185">
        <f t="shared" ca="1" si="4"/>
        <v>8</v>
      </c>
      <c r="I36" s="203">
        <f t="shared" ca="1" si="3"/>
        <v>9</v>
      </c>
      <c r="J36" s="186"/>
    </row>
    <row r="37" spans="1:10" ht="16.8" x14ac:dyDescent="0.3">
      <c r="A37" s="247" t="s">
        <v>81</v>
      </c>
      <c r="B37" s="198">
        <v>0</v>
      </c>
      <c r="C37" s="248" t="s">
        <v>134</v>
      </c>
      <c r="D37" s="249">
        <f>VLOOKUP(C37,'Personal File'!$A$10:$C$15,3,FALSE)</f>
        <v>-1</v>
      </c>
      <c r="E37" s="250" t="str">
        <f t="shared" si="0"/>
        <v>Wis (-1)</v>
      </c>
      <c r="F37" s="203" t="s">
        <v>264</v>
      </c>
      <c r="G37" s="203">
        <f t="shared" si="1"/>
        <v>0</v>
      </c>
      <c r="H37" s="185">
        <f t="shared" ca="1" si="4"/>
        <v>7</v>
      </c>
      <c r="I37" s="203">
        <f t="shared" ca="1" si="3"/>
        <v>7</v>
      </c>
      <c r="J37" s="186"/>
    </row>
    <row r="38" spans="1:10" ht="16.8" x14ac:dyDescent="0.3">
      <c r="A38" s="214" t="s">
        <v>14</v>
      </c>
      <c r="B38" s="198">
        <v>0</v>
      </c>
      <c r="C38" s="215" t="s">
        <v>136</v>
      </c>
      <c r="D38" s="216">
        <f>VLOOKUP(C38,'Personal File'!$A$10:$C$15,3,FALSE)</f>
        <v>-1</v>
      </c>
      <c r="E38" s="217" t="str">
        <f t="shared" si="0"/>
        <v>Str (-1)</v>
      </c>
      <c r="F38" s="202">
        <f>2*Martial!$D$12</f>
        <v>0</v>
      </c>
      <c r="G38" s="203">
        <f t="shared" si="1"/>
        <v>-1</v>
      </c>
      <c r="H38" s="185">
        <f t="shared" ca="1" si="4"/>
        <v>8</v>
      </c>
      <c r="I38" s="203">
        <f t="shared" ca="1" si="3"/>
        <v>7</v>
      </c>
      <c r="J38" s="186"/>
    </row>
    <row r="39" spans="1:10" ht="16.8" x14ac:dyDescent="0.3">
      <c r="A39" s="187" t="s">
        <v>47</v>
      </c>
      <c r="B39" s="198">
        <v>0</v>
      </c>
      <c r="C39" s="204" t="s">
        <v>135</v>
      </c>
      <c r="D39" s="205" t="str">
        <f>VLOOKUP(C39,'Personal File'!$A$10:$C$15,3,FALSE)</f>
        <v>+2</v>
      </c>
      <c r="E39" s="206" t="str">
        <f t="shared" si="0"/>
        <v>Dex (+2)</v>
      </c>
      <c r="F39" s="203">
        <f>Martial!$D$12</f>
        <v>0</v>
      </c>
      <c r="G39" s="203">
        <f t="shared" si="1"/>
        <v>2</v>
      </c>
      <c r="H39" s="185">
        <f t="shared" ca="1" si="4"/>
        <v>13</v>
      </c>
      <c r="I39" s="203">
        <f t="shared" ref="I39:I40" ca="1" si="9">SUM(G39:H39)</f>
        <v>15</v>
      </c>
      <c r="J39" s="186"/>
    </row>
    <row r="40" spans="1:10" ht="16.8" x14ac:dyDescent="0.3">
      <c r="A40" s="232" t="s">
        <v>48</v>
      </c>
      <c r="B40" s="198">
        <v>0</v>
      </c>
      <c r="C40" s="233" t="s">
        <v>132</v>
      </c>
      <c r="D40" s="234" t="str">
        <f>VLOOKUP(C40,'Personal File'!$A$10:$C$15,3,FALSE)</f>
        <v>+4</v>
      </c>
      <c r="E40" s="235" t="str">
        <f t="shared" si="0"/>
        <v>Cha (+4)</v>
      </c>
      <c r="F40" s="203" t="s">
        <v>164</v>
      </c>
      <c r="G40" s="203">
        <f t="shared" si="1"/>
        <v>6</v>
      </c>
      <c r="H40" s="185">
        <f t="shared" ca="1" si="4"/>
        <v>18</v>
      </c>
      <c r="I40" s="203">
        <f t="shared" ca="1" si="9"/>
        <v>24</v>
      </c>
      <c r="J40" s="186"/>
    </row>
    <row r="41" spans="1:10" ht="17.399999999999999" thickBot="1" x14ac:dyDescent="0.35">
      <c r="A41" s="262" t="s">
        <v>49</v>
      </c>
      <c r="B41" s="263">
        <v>0</v>
      </c>
      <c r="C41" s="264" t="s">
        <v>135</v>
      </c>
      <c r="D41" s="265" t="str">
        <f>VLOOKUP(C41,'Personal File'!$A$10:$C$15,3,FALSE)</f>
        <v>+2</v>
      </c>
      <c r="E41" s="266" t="str">
        <f t="shared" si="0"/>
        <v>Dex (+2)</v>
      </c>
      <c r="F41" s="267" t="s">
        <v>51</v>
      </c>
      <c r="G41" s="267">
        <f t="shared" si="1"/>
        <v>2</v>
      </c>
      <c r="H41" s="268">
        <f t="shared" ca="1" si="4"/>
        <v>11</v>
      </c>
      <c r="I41" s="267">
        <f t="shared" ca="1" si="3"/>
        <v>13</v>
      </c>
      <c r="J41" s="269"/>
    </row>
    <row r="42" spans="1:10" ht="16.2" thickTop="1" x14ac:dyDescent="0.3">
      <c r="B42" s="168">
        <f>SUM(B6:B41)</f>
        <v>40</v>
      </c>
      <c r="E42" s="168">
        <f>SUM(E43:E50)</f>
        <v>40</v>
      </c>
      <c r="F42" s="270" t="s">
        <v>52</v>
      </c>
    </row>
    <row r="43" spans="1:10" x14ac:dyDescent="0.3">
      <c r="A43" s="168"/>
      <c r="E43" s="166">
        <f>4*(2+'Personal File'!$C$13)</f>
        <v>12</v>
      </c>
      <c r="F43" s="167" t="s">
        <v>208</v>
      </c>
    </row>
    <row r="44" spans="1:10" x14ac:dyDescent="0.3">
      <c r="E44" s="166">
        <f>2+'Personal File'!$C$13</f>
        <v>3</v>
      </c>
      <c r="F44" s="167" t="s">
        <v>209</v>
      </c>
    </row>
    <row r="45" spans="1:10" x14ac:dyDescent="0.3">
      <c r="B45" s="168"/>
      <c r="E45" s="166">
        <f>2+'Personal File'!$C$13</f>
        <v>3</v>
      </c>
      <c r="F45" s="167" t="s">
        <v>210</v>
      </c>
    </row>
    <row r="46" spans="1:10" x14ac:dyDescent="0.3">
      <c r="B46" s="168"/>
      <c r="E46" s="166">
        <f>2+'Personal File'!$C$13</f>
        <v>3</v>
      </c>
      <c r="F46" s="167" t="s">
        <v>211</v>
      </c>
    </row>
    <row r="47" spans="1:10" x14ac:dyDescent="0.3">
      <c r="B47" s="168"/>
      <c r="E47" s="166">
        <f>2+'Personal File'!$C$13</f>
        <v>3</v>
      </c>
      <c r="F47" s="167" t="s">
        <v>212</v>
      </c>
    </row>
    <row r="48" spans="1:10" x14ac:dyDescent="0.3">
      <c r="B48" s="168"/>
      <c r="E48" s="166">
        <f>2+'Personal File'!$C$13</f>
        <v>3</v>
      </c>
      <c r="F48" s="167" t="s">
        <v>214</v>
      </c>
    </row>
    <row r="49" spans="2:6" x14ac:dyDescent="0.3">
      <c r="B49" s="168"/>
      <c r="E49" s="166">
        <f>2+'Personal File'!$C$13</f>
        <v>3</v>
      </c>
      <c r="F49" s="167" t="s">
        <v>213</v>
      </c>
    </row>
    <row r="50" spans="2:6" x14ac:dyDescent="0.3">
      <c r="E50" s="168">
        <f>3+SUM('Personal File'!$E$3:$E$4)</f>
        <v>10</v>
      </c>
      <c r="F50" s="167" t="s">
        <v>109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0"/>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22.09765625" style="51" bestFit="1" customWidth="1"/>
    <col min="2" max="2" width="6.19921875" style="51" bestFit="1" customWidth="1"/>
    <col min="3" max="3" width="13.59765625" style="52" bestFit="1" customWidth="1"/>
    <col min="4" max="4" width="12.69921875" style="60" bestFit="1" customWidth="1"/>
    <col min="5" max="5" width="8.09765625" style="52" bestFit="1" customWidth="1"/>
    <col min="6" max="6" width="13.19921875" style="52" bestFit="1" customWidth="1"/>
    <col min="7" max="7" width="13.19921875" style="51" bestFit="1" customWidth="1"/>
    <col min="8" max="8" width="10.19921875" style="12" bestFit="1" customWidth="1"/>
    <col min="9" max="9" width="5.5" style="12" bestFit="1" customWidth="1"/>
    <col min="10" max="10" width="13" style="380"/>
    <col min="11" max="16384" width="13" style="12"/>
  </cols>
  <sheetData>
    <row r="1" spans="1:10" ht="23.4" thickBot="1" x14ac:dyDescent="0.35">
      <c r="A1" s="401" t="s">
        <v>244</v>
      </c>
      <c r="B1" s="53"/>
      <c r="C1" s="53"/>
      <c r="D1" s="54"/>
      <c r="E1" s="53"/>
      <c r="F1" s="53"/>
      <c r="G1" s="53"/>
      <c r="H1" s="53"/>
    </row>
    <row r="2" spans="1:10" s="3" customFormat="1" ht="16.8" x14ac:dyDescent="0.3">
      <c r="A2" s="402" t="s">
        <v>68</v>
      </c>
      <c r="B2" s="403" t="s">
        <v>0</v>
      </c>
      <c r="C2" s="404" t="s">
        <v>70</v>
      </c>
      <c r="D2" s="404" t="s">
        <v>84</v>
      </c>
      <c r="E2" s="405" t="s">
        <v>85</v>
      </c>
      <c r="F2" s="405" t="s">
        <v>54</v>
      </c>
      <c r="G2" s="405" t="s">
        <v>17</v>
      </c>
      <c r="H2" s="405" t="s">
        <v>124</v>
      </c>
      <c r="I2" s="406" t="s">
        <v>125</v>
      </c>
      <c r="J2" s="380"/>
    </row>
    <row r="3" spans="1:10" s="3" customFormat="1" ht="16.8" x14ac:dyDescent="0.3">
      <c r="A3" s="437" t="s">
        <v>223</v>
      </c>
      <c r="B3" s="61">
        <v>0</v>
      </c>
      <c r="C3" s="350" t="s">
        <v>62</v>
      </c>
      <c r="D3" s="1" t="s">
        <v>86</v>
      </c>
      <c r="E3" s="4" t="s">
        <v>87</v>
      </c>
      <c r="F3" s="4" t="s">
        <v>190</v>
      </c>
      <c r="G3" s="4" t="s">
        <v>63</v>
      </c>
      <c r="H3" s="4" t="s">
        <v>123</v>
      </c>
      <c r="I3" s="315">
        <v>219</v>
      </c>
      <c r="J3" s="380"/>
    </row>
    <row r="4" spans="1:10" s="3" customFormat="1" ht="16.8" x14ac:dyDescent="0.3">
      <c r="A4" s="437" t="s">
        <v>224</v>
      </c>
      <c r="B4" s="61">
        <v>0</v>
      </c>
      <c r="C4" s="350" t="s">
        <v>186</v>
      </c>
      <c r="D4" s="1" t="s">
        <v>237</v>
      </c>
      <c r="E4" s="399" t="s">
        <v>87</v>
      </c>
      <c r="F4" s="4" t="s">
        <v>181</v>
      </c>
      <c r="G4" s="4" t="s">
        <v>238</v>
      </c>
      <c r="H4" s="4" t="s">
        <v>123</v>
      </c>
      <c r="I4" s="315">
        <v>235</v>
      </c>
      <c r="J4" s="380"/>
    </row>
    <row r="5" spans="1:10" s="3" customFormat="1" ht="16.8" x14ac:dyDescent="0.3">
      <c r="A5" s="437" t="s">
        <v>225</v>
      </c>
      <c r="B5" s="61">
        <v>0</v>
      </c>
      <c r="C5" s="350" t="s">
        <v>180</v>
      </c>
      <c r="D5" s="1" t="s">
        <v>86</v>
      </c>
      <c r="E5" s="399" t="s">
        <v>87</v>
      </c>
      <c r="F5" s="4" t="s">
        <v>181</v>
      </c>
      <c r="G5" s="4" t="s">
        <v>8</v>
      </c>
      <c r="H5" s="4" t="s">
        <v>123</v>
      </c>
      <c r="I5" s="315">
        <v>249</v>
      </c>
      <c r="J5" s="380"/>
    </row>
    <row r="6" spans="1:10" s="3" customFormat="1" ht="16.8" x14ac:dyDescent="0.3">
      <c r="A6" s="437" t="s">
        <v>90</v>
      </c>
      <c r="B6" s="61">
        <v>0</v>
      </c>
      <c r="C6" s="6" t="s">
        <v>67</v>
      </c>
      <c r="D6" s="1" t="s">
        <v>106</v>
      </c>
      <c r="E6" s="132" t="s">
        <v>87</v>
      </c>
      <c r="F6" s="4" t="s">
        <v>61</v>
      </c>
      <c r="G6" s="4" t="s">
        <v>66</v>
      </c>
      <c r="H6" s="4" t="s">
        <v>123</v>
      </c>
      <c r="I6" s="64">
        <v>248</v>
      </c>
      <c r="J6" s="380"/>
    </row>
    <row r="7" spans="1:10" s="3" customFormat="1" ht="16.8" x14ac:dyDescent="0.3">
      <c r="A7" s="437" t="s">
        <v>185</v>
      </c>
      <c r="B7" s="61">
        <v>0</v>
      </c>
      <c r="C7" s="6" t="s">
        <v>180</v>
      </c>
      <c r="D7" s="1" t="s">
        <v>86</v>
      </c>
      <c r="E7" s="132" t="s">
        <v>87</v>
      </c>
      <c r="F7" s="4" t="s">
        <v>161</v>
      </c>
      <c r="G7" s="4" t="s">
        <v>64</v>
      </c>
      <c r="H7" s="4" t="s">
        <v>123</v>
      </c>
      <c r="I7" s="64">
        <v>253</v>
      </c>
      <c r="J7" s="380"/>
    </row>
    <row r="8" spans="1:10" s="3" customFormat="1" ht="16.8" x14ac:dyDescent="0.3">
      <c r="A8" s="437" t="s">
        <v>226</v>
      </c>
      <c r="B8" s="61">
        <v>0</v>
      </c>
      <c r="C8" s="350" t="s">
        <v>180</v>
      </c>
      <c r="D8" s="1" t="s">
        <v>89</v>
      </c>
      <c r="E8" s="399" t="s">
        <v>87</v>
      </c>
      <c r="F8" s="4" t="s">
        <v>239</v>
      </c>
      <c r="G8" s="4" t="s">
        <v>66</v>
      </c>
      <c r="H8" s="4" t="s">
        <v>123</v>
      </c>
      <c r="I8" s="315">
        <v>253</v>
      </c>
      <c r="J8" s="380"/>
    </row>
    <row r="9" spans="1:10" s="3" customFormat="1" ht="16.8" x14ac:dyDescent="0.3">
      <c r="A9" s="438" t="s">
        <v>91</v>
      </c>
      <c r="B9" s="62">
        <v>0</v>
      </c>
      <c r="C9" s="63" t="s">
        <v>62</v>
      </c>
      <c r="D9" s="5" t="s">
        <v>89</v>
      </c>
      <c r="E9" s="134" t="s">
        <v>87</v>
      </c>
      <c r="F9" s="7" t="s">
        <v>65</v>
      </c>
      <c r="G9" s="7" t="s">
        <v>66</v>
      </c>
      <c r="H9" s="7" t="s">
        <v>123</v>
      </c>
      <c r="I9" s="65">
        <v>269</v>
      </c>
      <c r="J9" s="380"/>
    </row>
    <row r="10" spans="1:10" ht="16.8" x14ac:dyDescent="0.3">
      <c r="A10" s="437" t="s">
        <v>227</v>
      </c>
      <c r="B10" s="61">
        <v>1</v>
      </c>
      <c r="C10" s="6" t="s">
        <v>67</v>
      </c>
      <c r="D10" s="1" t="s">
        <v>86</v>
      </c>
      <c r="E10" s="132" t="s">
        <v>87</v>
      </c>
      <c r="F10" s="4" t="s">
        <v>240</v>
      </c>
      <c r="G10" s="4" t="s">
        <v>64</v>
      </c>
      <c r="H10" s="4" t="s">
        <v>123</v>
      </c>
      <c r="I10" s="64">
        <v>207</v>
      </c>
    </row>
    <row r="11" spans="1:10" ht="16.8" x14ac:dyDescent="0.3">
      <c r="A11" s="437" t="s">
        <v>228</v>
      </c>
      <c r="B11" s="61">
        <v>1</v>
      </c>
      <c r="C11" s="6" t="s">
        <v>79</v>
      </c>
      <c r="D11" s="1" t="s">
        <v>88</v>
      </c>
      <c r="E11" s="399" t="s">
        <v>87</v>
      </c>
      <c r="F11" s="4" t="s">
        <v>65</v>
      </c>
      <c r="G11" s="4" t="s">
        <v>66</v>
      </c>
      <c r="H11" s="4" t="s">
        <v>123</v>
      </c>
      <c r="I11" s="315">
        <v>212</v>
      </c>
    </row>
    <row r="12" spans="1:10" ht="16.8" x14ac:dyDescent="0.3">
      <c r="A12" s="437" t="s">
        <v>229</v>
      </c>
      <c r="B12" s="61">
        <v>1</v>
      </c>
      <c r="C12" s="6" t="s">
        <v>165</v>
      </c>
      <c r="D12" s="1" t="s">
        <v>89</v>
      </c>
      <c r="E12" s="399" t="s">
        <v>87</v>
      </c>
      <c r="F12" s="4" t="s">
        <v>61</v>
      </c>
      <c r="G12" s="4" t="s">
        <v>241</v>
      </c>
      <c r="H12" s="4" t="s">
        <v>123</v>
      </c>
      <c r="I12" s="315">
        <v>249</v>
      </c>
    </row>
    <row r="13" spans="1:10" ht="16.8" x14ac:dyDescent="0.3">
      <c r="A13" s="437" t="s">
        <v>230</v>
      </c>
      <c r="B13" s="61">
        <v>1</v>
      </c>
      <c r="C13" s="6" t="s">
        <v>67</v>
      </c>
      <c r="D13" s="1" t="s">
        <v>86</v>
      </c>
      <c r="E13" s="399" t="s">
        <v>87</v>
      </c>
      <c r="F13" s="4" t="s">
        <v>239</v>
      </c>
      <c r="G13" s="4" t="s">
        <v>64</v>
      </c>
      <c r="H13" s="4" t="s">
        <v>123</v>
      </c>
      <c r="I13" s="400">
        <v>251</v>
      </c>
    </row>
    <row r="14" spans="1:10" ht="16.8" x14ac:dyDescent="0.3">
      <c r="A14" s="438" t="s">
        <v>231</v>
      </c>
      <c r="B14" s="62">
        <v>1</v>
      </c>
      <c r="C14" s="63" t="s">
        <v>60</v>
      </c>
      <c r="D14" s="5" t="s">
        <v>86</v>
      </c>
      <c r="E14" s="134" t="s">
        <v>87</v>
      </c>
      <c r="F14" s="7" t="s">
        <v>65</v>
      </c>
      <c r="G14" s="7" t="s">
        <v>63</v>
      </c>
      <c r="H14" s="7" t="s">
        <v>123</v>
      </c>
      <c r="I14" s="343">
        <v>278</v>
      </c>
    </row>
    <row r="15" spans="1:10" ht="16.8" x14ac:dyDescent="0.3">
      <c r="A15" s="437" t="s">
        <v>232</v>
      </c>
      <c r="B15" s="61">
        <v>2</v>
      </c>
      <c r="C15" s="6" t="s">
        <v>186</v>
      </c>
      <c r="D15" s="1" t="s">
        <v>242</v>
      </c>
      <c r="E15" s="132" t="s">
        <v>87</v>
      </c>
      <c r="F15" s="4" t="s">
        <v>61</v>
      </c>
      <c r="G15" s="4" t="s">
        <v>66</v>
      </c>
      <c r="H15" s="4" t="s">
        <v>123</v>
      </c>
      <c r="I15" s="133">
        <v>245</v>
      </c>
    </row>
    <row r="16" spans="1:10" ht="16.8" x14ac:dyDescent="0.3">
      <c r="A16" s="437" t="s">
        <v>233</v>
      </c>
      <c r="B16" s="61">
        <v>2</v>
      </c>
      <c r="C16" s="6" t="s">
        <v>165</v>
      </c>
      <c r="D16" s="1" t="s">
        <v>88</v>
      </c>
      <c r="E16" s="399" t="s">
        <v>243</v>
      </c>
      <c r="F16" s="4" t="s">
        <v>181</v>
      </c>
      <c r="G16" s="4" t="s">
        <v>238</v>
      </c>
      <c r="H16" s="4" t="s">
        <v>123</v>
      </c>
      <c r="I16" s="400">
        <v>286</v>
      </c>
    </row>
    <row r="17" spans="1:9" ht="16.8" x14ac:dyDescent="0.3">
      <c r="A17" s="438" t="s">
        <v>234</v>
      </c>
      <c r="B17" s="62">
        <v>2</v>
      </c>
      <c r="C17" s="63" t="s">
        <v>165</v>
      </c>
      <c r="D17" s="5" t="s">
        <v>237</v>
      </c>
      <c r="E17" s="134" t="s">
        <v>87</v>
      </c>
      <c r="F17" s="7" t="s">
        <v>239</v>
      </c>
      <c r="G17" s="7" t="s">
        <v>66</v>
      </c>
      <c r="H17" s="7" t="s">
        <v>123</v>
      </c>
      <c r="I17" s="343">
        <v>301</v>
      </c>
    </row>
    <row r="18" spans="1:9" ht="16.8" x14ac:dyDescent="0.3">
      <c r="A18" s="437" t="s">
        <v>235</v>
      </c>
      <c r="B18" s="61">
        <v>3</v>
      </c>
      <c r="C18" s="6" t="s">
        <v>60</v>
      </c>
      <c r="D18" s="1" t="s">
        <v>86</v>
      </c>
      <c r="E18" s="399" t="s">
        <v>87</v>
      </c>
      <c r="F18" s="4" t="s">
        <v>239</v>
      </c>
      <c r="G18" s="4" t="s">
        <v>64</v>
      </c>
      <c r="H18" s="4" t="s">
        <v>123</v>
      </c>
      <c r="I18" s="315">
        <v>223</v>
      </c>
    </row>
    <row r="19" spans="1:9" ht="17.399999999999999" thickBot="1" x14ac:dyDescent="0.35">
      <c r="A19" s="439" t="s">
        <v>236</v>
      </c>
      <c r="B19" s="117">
        <v>3</v>
      </c>
      <c r="C19" s="118" t="s">
        <v>67</v>
      </c>
      <c r="D19" s="119" t="s">
        <v>237</v>
      </c>
      <c r="E19" s="135" t="s">
        <v>87</v>
      </c>
      <c r="F19" s="120" t="s">
        <v>187</v>
      </c>
      <c r="G19" s="120" t="s">
        <v>64</v>
      </c>
      <c r="H19" s="120" t="s">
        <v>123</v>
      </c>
      <c r="I19" s="342">
        <v>231</v>
      </c>
    </row>
    <row r="20" spans="1:9" ht="16.2" thickTop="1" x14ac:dyDescent="0.3"/>
  </sheetData>
  <sortState xmlns:xlrd2="http://schemas.microsoft.com/office/spreadsheetml/2017/richdata2" ref="A3:I17">
    <sortCondition ref="B3:B17"/>
    <sortCondition ref="A3:A17"/>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13E-0035-4CBA-B140-5AFC44970967}">
  <dimension ref="A1:L34"/>
  <sheetViews>
    <sheetView showGridLines="0" workbookViewId="0"/>
  </sheetViews>
  <sheetFormatPr defaultColWidth="13" defaultRowHeight="16.8" x14ac:dyDescent="0.3"/>
  <cols>
    <col min="1" max="1" width="17.5" style="46" bestFit="1" customWidth="1"/>
    <col min="2" max="2" width="3.59765625" style="46" bestFit="1" customWidth="1"/>
    <col min="3" max="4" width="4.19921875" style="46" customWidth="1"/>
    <col min="5" max="5" width="3.69921875" style="46" bestFit="1" customWidth="1"/>
    <col min="6" max="8" width="3.59765625" style="46" bestFit="1" customWidth="1"/>
    <col min="9" max="10" width="3.59765625" style="46" customWidth="1"/>
    <col min="11" max="11" width="3.59765625" style="46" bestFit="1" customWidth="1"/>
    <col min="12" max="12" width="2.09765625" style="46" customWidth="1"/>
    <col min="13" max="16384" width="13" style="46"/>
  </cols>
  <sheetData>
    <row r="1" spans="1:11" ht="23.4" thickBot="1" x14ac:dyDescent="0.35">
      <c r="A1" s="391" t="s">
        <v>215</v>
      </c>
      <c r="B1" s="272"/>
      <c r="C1" s="53"/>
      <c r="D1" s="53"/>
      <c r="E1" s="273"/>
      <c r="F1" s="53"/>
      <c r="G1" s="53"/>
      <c r="H1" s="53"/>
      <c r="I1" s="53"/>
      <c r="J1" s="53"/>
      <c r="K1" s="273"/>
    </row>
    <row r="2" spans="1:11" ht="17.399999999999999" thickTop="1" x14ac:dyDescent="0.3">
      <c r="A2" s="126"/>
      <c r="B2" s="66" t="s">
        <v>98</v>
      </c>
      <c r="C2" s="274"/>
      <c r="D2" s="274"/>
      <c r="E2" s="274"/>
      <c r="F2" s="274"/>
      <c r="G2" s="274"/>
      <c r="H2" s="274"/>
      <c r="I2" s="274"/>
      <c r="J2" s="274"/>
      <c r="K2" s="275"/>
    </row>
    <row r="3" spans="1:11" ht="17.399999999999999" thickBot="1" x14ac:dyDescent="0.35">
      <c r="A3" s="126"/>
      <c r="B3" s="276" t="s">
        <v>99</v>
      </c>
      <c r="C3" s="277" t="s">
        <v>92</v>
      </c>
      <c r="D3" s="277" t="s">
        <v>93</v>
      </c>
      <c r="E3" s="277" t="s">
        <v>94</v>
      </c>
      <c r="F3" s="277" t="s">
        <v>95</v>
      </c>
      <c r="G3" s="277" t="s">
        <v>96</v>
      </c>
      <c r="H3" s="277" t="s">
        <v>97</v>
      </c>
      <c r="I3" s="277" t="s">
        <v>100</v>
      </c>
      <c r="J3" s="277" t="s">
        <v>152</v>
      </c>
      <c r="K3" s="278" t="s">
        <v>153</v>
      </c>
    </row>
    <row r="4" spans="1:11" ht="17.399999999999999" thickTop="1" x14ac:dyDescent="0.3">
      <c r="A4" s="279" t="s">
        <v>151</v>
      </c>
      <c r="B4" s="280">
        <v>6</v>
      </c>
      <c r="C4" s="281">
        <v>6</v>
      </c>
      <c r="D4" s="281">
        <v>6</v>
      </c>
      <c r="E4" s="281">
        <v>4</v>
      </c>
      <c r="F4" s="286">
        <v>0</v>
      </c>
      <c r="G4" s="286">
        <v>0</v>
      </c>
      <c r="H4" s="286">
        <v>0</v>
      </c>
      <c r="I4" s="286">
        <v>0</v>
      </c>
      <c r="J4" s="286">
        <v>0</v>
      </c>
      <c r="K4" s="287">
        <v>0</v>
      </c>
    </row>
    <row r="5" spans="1:11" x14ac:dyDescent="0.3">
      <c r="A5" s="282" t="s">
        <v>150</v>
      </c>
      <c r="B5" s="283">
        <v>0</v>
      </c>
      <c r="C5" s="113">
        <v>1</v>
      </c>
      <c r="D5" s="113">
        <v>1</v>
      </c>
      <c r="E5" s="113">
        <v>1</v>
      </c>
      <c r="F5" s="288">
        <v>0</v>
      </c>
      <c r="G5" s="288">
        <v>0</v>
      </c>
      <c r="H5" s="288">
        <v>0</v>
      </c>
      <c r="I5" s="288">
        <v>0</v>
      </c>
      <c r="J5" s="288">
        <v>0</v>
      </c>
      <c r="K5" s="289">
        <v>0</v>
      </c>
    </row>
    <row r="6" spans="1:11" ht="17.399999999999999" thickBot="1" x14ac:dyDescent="0.35">
      <c r="A6" s="284" t="s">
        <v>192</v>
      </c>
      <c r="B6" s="392">
        <f t="shared" ref="B6:H6" si="0">SUM(B4:B5)</f>
        <v>6</v>
      </c>
      <c r="C6" s="393">
        <f t="shared" si="0"/>
        <v>7</v>
      </c>
      <c r="D6" s="393">
        <f t="shared" ref="D6:E6" si="1">SUM(D4:D5)</f>
        <v>7</v>
      </c>
      <c r="E6" s="393">
        <f t="shared" si="1"/>
        <v>5</v>
      </c>
      <c r="F6" s="291">
        <f t="shared" si="0"/>
        <v>0</v>
      </c>
      <c r="G6" s="291">
        <f t="shared" si="0"/>
        <v>0</v>
      </c>
      <c r="H6" s="291">
        <f t="shared" si="0"/>
        <v>0</v>
      </c>
      <c r="I6" s="291">
        <f t="shared" ref="I6:J6" si="2">SUM(I4:I5)</f>
        <v>0</v>
      </c>
      <c r="J6" s="291">
        <f t="shared" si="2"/>
        <v>0</v>
      </c>
      <c r="K6" s="290">
        <f>SUM(K5:K5)</f>
        <v>0</v>
      </c>
    </row>
    <row r="7" spans="1:11" ht="17.399999999999999" thickTop="1" x14ac:dyDescent="0.3">
      <c r="A7" s="294" t="s">
        <v>154</v>
      </c>
      <c r="B7" s="295">
        <f>10+LEFT(B3,1)+'Personal File'!$C$15</f>
        <v>14</v>
      </c>
      <c r="C7" s="295">
        <f>10+LEFT(C3,1)+'Personal File'!$C$15</f>
        <v>15</v>
      </c>
      <c r="D7" s="295">
        <f>10+LEFT(D3,1)+'Personal File'!$C$15</f>
        <v>16</v>
      </c>
      <c r="E7" s="295">
        <f>10+LEFT(E3,1)+'Personal File'!$C$15</f>
        <v>17</v>
      </c>
      <c r="F7" s="297">
        <f>10+LEFT(F3,1)+'Personal File'!$C$15</f>
        <v>18</v>
      </c>
      <c r="G7" s="297">
        <f>10+LEFT(G3,1)+'Personal File'!$C$15</f>
        <v>19</v>
      </c>
      <c r="H7" s="297">
        <f>10+LEFT(H3,1)+'Personal File'!$C$15</f>
        <v>20</v>
      </c>
      <c r="I7" s="297">
        <f>10+LEFT(I3,1)+'Personal File'!$C$15</f>
        <v>21</v>
      </c>
      <c r="J7" s="297">
        <f>10+LEFT(J3,1)+'Personal File'!$C$15</f>
        <v>22</v>
      </c>
      <c r="K7" s="298">
        <f>10+LEFT(K3,1)+'Personal File'!$C$15</f>
        <v>23</v>
      </c>
    </row>
    <row r="8" spans="1:11" ht="17.399999999999999" thickBot="1" x14ac:dyDescent="0.35">
      <c r="A8" s="284" t="s">
        <v>155</v>
      </c>
      <c r="B8" s="392">
        <v>0</v>
      </c>
      <c r="C8" s="392">
        <v>2</v>
      </c>
      <c r="D8" s="392">
        <v>0</v>
      </c>
      <c r="E8" s="392">
        <v>0</v>
      </c>
      <c r="F8" s="299" t="s">
        <v>116</v>
      </c>
      <c r="G8" s="299" t="s">
        <v>116</v>
      </c>
      <c r="H8" s="299" t="s">
        <v>116</v>
      </c>
      <c r="I8" s="299" t="s">
        <v>116</v>
      </c>
      <c r="J8" s="299" t="s">
        <v>116</v>
      </c>
      <c r="K8" s="296" t="s">
        <v>116</v>
      </c>
    </row>
    <row r="9" spans="1:11" ht="17.399999999999999" thickTop="1" x14ac:dyDescent="0.3"/>
    <row r="10" spans="1:11" x14ac:dyDescent="0.3">
      <c r="A10" s="22"/>
      <c r="C10" s="15" t="s">
        <v>122</v>
      </c>
      <c r="D10" s="16">
        <f>'Personal File'!E3</f>
        <v>7</v>
      </c>
    </row>
    <row r="12" spans="1:11" ht="23.4" thickBot="1" x14ac:dyDescent="0.35">
      <c r="A12" s="394" t="s">
        <v>216</v>
      </c>
      <c r="B12" s="317"/>
      <c r="C12" s="317"/>
      <c r="D12" s="317"/>
      <c r="E12" s="317"/>
      <c r="F12" s="317"/>
      <c r="G12" s="317"/>
      <c r="H12" s="317"/>
      <c r="I12" s="317"/>
      <c r="J12" s="317"/>
    </row>
    <row r="13" spans="1:11" ht="18" thickTop="1" thickBot="1" x14ac:dyDescent="0.35">
      <c r="A13" s="318" t="s">
        <v>188</v>
      </c>
      <c r="B13" s="319" t="s">
        <v>99</v>
      </c>
      <c r="C13" s="319" t="s">
        <v>92</v>
      </c>
      <c r="D13" s="320" t="s">
        <v>93</v>
      </c>
      <c r="E13" s="320" t="s">
        <v>94</v>
      </c>
      <c r="F13" s="320" t="s">
        <v>95</v>
      </c>
      <c r="G13" s="320" t="s">
        <v>96</v>
      </c>
      <c r="H13" s="320" t="s">
        <v>97</v>
      </c>
      <c r="I13" s="320" t="s">
        <v>100</v>
      </c>
      <c r="J13" s="320" t="s">
        <v>152</v>
      </c>
      <c r="K13" s="321" t="s">
        <v>153</v>
      </c>
    </row>
    <row r="14" spans="1:11" x14ac:dyDescent="0.3">
      <c r="A14" s="322">
        <v>1</v>
      </c>
      <c r="B14" s="336" t="s">
        <v>163</v>
      </c>
      <c r="C14" s="336" t="s">
        <v>164</v>
      </c>
      <c r="D14" s="323"/>
      <c r="E14" s="323"/>
      <c r="F14" s="323"/>
      <c r="G14" s="323"/>
      <c r="H14" s="323"/>
      <c r="I14" s="323"/>
      <c r="J14" s="323"/>
      <c r="K14" s="324"/>
    </row>
    <row r="15" spans="1:11" x14ac:dyDescent="0.3">
      <c r="A15" s="325">
        <v>2</v>
      </c>
      <c r="B15" s="326">
        <v>5</v>
      </c>
      <c r="C15" s="326">
        <v>2</v>
      </c>
      <c r="D15" s="327"/>
      <c r="E15" s="327"/>
      <c r="F15" s="327"/>
      <c r="G15" s="327"/>
      <c r="H15" s="327"/>
      <c r="I15" s="327"/>
      <c r="J15" s="327"/>
      <c r="K15" s="328"/>
    </row>
    <row r="16" spans="1:11" x14ac:dyDescent="0.3">
      <c r="A16" s="325">
        <v>3</v>
      </c>
      <c r="B16" s="326">
        <v>5</v>
      </c>
      <c r="C16" s="326">
        <v>3</v>
      </c>
      <c r="D16" s="327"/>
      <c r="E16" s="327"/>
      <c r="F16" s="327"/>
      <c r="G16" s="327"/>
      <c r="H16" s="327"/>
      <c r="I16" s="327"/>
      <c r="J16" s="327"/>
      <c r="K16" s="328"/>
    </row>
    <row r="17" spans="1:12" x14ac:dyDescent="0.3">
      <c r="A17" s="325">
        <v>4</v>
      </c>
      <c r="B17" s="326">
        <v>6</v>
      </c>
      <c r="C17" s="326">
        <v>3</v>
      </c>
      <c r="D17" s="329">
        <v>1</v>
      </c>
      <c r="E17" s="327"/>
      <c r="F17" s="327"/>
      <c r="G17" s="327"/>
      <c r="H17" s="327"/>
      <c r="I17" s="327"/>
      <c r="J17" s="327"/>
      <c r="K17" s="328"/>
    </row>
    <row r="18" spans="1:12" x14ac:dyDescent="0.3">
      <c r="A18" s="325">
        <v>5</v>
      </c>
      <c r="B18" s="326">
        <v>6</v>
      </c>
      <c r="C18" s="326">
        <v>4</v>
      </c>
      <c r="D18" s="329">
        <v>2</v>
      </c>
      <c r="E18" s="327"/>
      <c r="F18" s="327"/>
      <c r="G18" s="327"/>
      <c r="H18" s="327"/>
      <c r="I18" s="327"/>
      <c r="J18" s="327"/>
      <c r="K18" s="328"/>
    </row>
    <row r="19" spans="1:12" x14ac:dyDescent="0.3">
      <c r="A19" s="325">
        <v>6</v>
      </c>
      <c r="B19" s="326">
        <v>7</v>
      </c>
      <c r="C19" s="326">
        <v>4</v>
      </c>
      <c r="D19" s="329">
        <v>2</v>
      </c>
      <c r="E19" s="329">
        <v>1</v>
      </c>
      <c r="F19" s="327"/>
      <c r="G19" s="327"/>
      <c r="H19" s="327"/>
      <c r="I19" s="327"/>
      <c r="J19" s="327"/>
      <c r="K19" s="328"/>
    </row>
    <row r="20" spans="1:12" x14ac:dyDescent="0.3">
      <c r="A20" s="330">
        <v>7</v>
      </c>
      <c r="B20" s="331">
        <v>7</v>
      </c>
      <c r="C20" s="331">
        <v>5</v>
      </c>
      <c r="D20" s="331">
        <v>3</v>
      </c>
      <c r="E20" s="331">
        <v>2</v>
      </c>
      <c r="F20" s="327"/>
      <c r="G20" s="327"/>
      <c r="H20" s="327"/>
      <c r="I20" s="327"/>
      <c r="J20" s="327"/>
      <c r="K20" s="328"/>
    </row>
    <row r="21" spans="1:12" x14ac:dyDescent="0.3">
      <c r="A21" s="325">
        <v>8</v>
      </c>
      <c r="B21" s="326">
        <v>8</v>
      </c>
      <c r="C21" s="326">
        <v>5</v>
      </c>
      <c r="D21" s="329">
        <v>3</v>
      </c>
      <c r="E21" s="329">
        <v>2</v>
      </c>
      <c r="F21" s="329">
        <v>1</v>
      </c>
      <c r="G21" s="327"/>
      <c r="H21" s="327"/>
      <c r="I21" s="327"/>
      <c r="J21" s="327"/>
      <c r="K21" s="328"/>
    </row>
    <row r="22" spans="1:12" x14ac:dyDescent="0.3">
      <c r="A22" s="325">
        <v>9</v>
      </c>
      <c r="B22" s="326">
        <v>8</v>
      </c>
      <c r="C22" s="326">
        <v>5</v>
      </c>
      <c r="D22" s="329">
        <v>4</v>
      </c>
      <c r="E22" s="329">
        <v>3</v>
      </c>
      <c r="F22" s="329">
        <v>2</v>
      </c>
      <c r="G22" s="327"/>
      <c r="H22" s="327"/>
      <c r="I22" s="327"/>
      <c r="J22" s="327"/>
      <c r="K22" s="328"/>
    </row>
    <row r="23" spans="1:12" x14ac:dyDescent="0.3">
      <c r="A23" s="325">
        <v>10</v>
      </c>
      <c r="B23" s="326">
        <v>9</v>
      </c>
      <c r="C23" s="326">
        <v>5</v>
      </c>
      <c r="D23" s="329">
        <v>4</v>
      </c>
      <c r="E23" s="329">
        <v>3</v>
      </c>
      <c r="F23" s="329">
        <v>2</v>
      </c>
      <c r="G23" s="329">
        <v>1</v>
      </c>
      <c r="H23" s="327"/>
      <c r="I23" s="327"/>
      <c r="J23" s="327"/>
      <c r="K23" s="328"/>
    </row>
    <row r="24" spans="1:12" s="285" customFormat="1" x14ac:dyDescent="0.3">
      <c r="A24" s="325">
        <v>11</v>
      </c>
      <c r="B24" s="326">
        <v>9</v>
      </c>
      <c r="C24" s="326">
        <v>5</v>
      </c>
      <c r="D24" s="329">
        <v>5</v>
      </c>
      <c r="E24" s="329">
        <v>4</v>
      </c>
      <c r="F24" s="329">
        <v>3</v>
      </c>
      <c r="G24" s="329">
        <v>2</v>
      </c>
      <c r="H24" s="327"/>
      <c r="I24" s="327"/>
      <c r="J24" s="327"/>
      <c r="K24" s="328"/>
      <c r="L24" s="46"/>
    </row>
    <row r="25" spans="1:12" x14ac:dyDescent="0.3">
      <c r="A25" s="325">
        <v>12</v>
      </c>
      <c r="B25" s="326">
        <v>9</v>
      </c>
      <c r="C25" s="326">
        <v>5</v>
      </c>
      <c r="D25" s="329">
        <v>5</v>
      </c>
      <c r="E25" s="329">
        <v>4</v>
      </c>
      <c r="F25" s="329">
        <v>3</v>
      </c>
      <c r="G25" s="329">
        <v>2</v>
      </c>
      <c r="H25" s="329">
        <v>1</v>
      </c>
      <c r="I25" s="327"/>
      <c r="J25" s="327"/>
      <c r="K25" s="328"/>
      <c r="L25" s="285"/>
    </row>
    <row r="26" spans="1:12" x14ac:dyDescent="0.3">
      <c r="A26" s="325">
        <v>13</v>
      </c>
      <c r="B26" s="326">
        <v>9</v>
      </c>
      <c r="C26" s="326">
        <v>5</v>
      </c>
      <c r="D26" s="329">
        <v>5</v>
      </c>
      <c r="E26" s="329">
        <v>4</v>
      </c>
      <c r="F26" s="329">
        <v>4</v>
      </c>
      <c r="G26" s="329">
        <v>3</v>
      </c>
      <c r="H26" s="329">
        <v>2</v>
      </c>
      <c r="I26" s="327"/>
      <c r="J26" s="327"/>
      <c r="K26" s="328"/>
    </row>
    <row r="27" spans="1:12" x14ac:dyDescent="0.3">
      <c r="A27" s="325">
        <v>14</v>
      </c>
      <c r="B27" s="326">
        <v>9</v>
      </c>
      <c r="C27" s="326">
        <v>5</v>
      </c>
      <c r="D27" s="329">
        <v>5</v>
      </c>
      <c r="E27" s="329">
        <v>4</v>
      </c>
      <c r="F27" s="329">
        <v>4</v>
      </c>
      <c r="G27" s="329">
        <v>3</v>
      </c>
      <c r="H27" s="329">
        <v>2</v>
      </c>
      <c r="I27" s="329">
        <v>1</v>
      </c>
      <c r="J27" s="327"/>
      <c r="K27" s="328"/>
    </row>
    <row r="28" spans="1:12" x14ac:dyDescent="0.3">
      <c r="A28" s="325">
        <v>15</v>
      </c>
      <c r="B28" s="326">
        <v>9</v>
      </c>
      <c r="C28" s="326">
        <v>5</v>
      </c>
      <c r="D28" s="329">
        <v>5</v>
      </c>
      <c r="E28" s="329">
        <v>4</v>
      </c>
      <c r="F28" s="329">
        <v>4</v>
      </c>
      <c r="G28" s="329">
        <v>4</v>
      </c>
      <c r="H28" s="329">
        <v>3</v>
      </c>
      <c r="I28" s="329">
        <v>2</v>
      </c>
      <c r="J28" s="327"/>
      <c r="K28" s="328"/>
    </row>
    <row r="29" spans="1:12" x14ac:dyDescent="0.3">
      <c r="A29" s="325">
        <v>16</v>
      </c>
      <c r="B29" s="326">
        <v>9</v>
      </c>
      <c r="C29" s="326">
        <v>5</v>
      </c>
      <c r="D29" s="329">
        <v>5</v>
      </c>
      <c r="E29" s="329">
        <v>4</v>
      </c>
      <c r="F29" s="329">
        <v>4</v>
      </c>
      <c r="G29" s="329">
        <v>4</v>
      </c>
      <c r="H29" s="329">
        <v>3</v>
      </c>
      <c r="I29" s="329">
        <v>2</v>
      </c>
      <c r="J29" s="329">
        <v>1</v>
      </c>
      <c r="K29" s="328"/>
    </row>
    <row r="30" spans="1:12" x14ac:dyDescent="0.3">
      <c r="A30" s="325">
        <v>17</v>
      </c>
      <c r="B30" s="326">
        <v>9</v>
      </c>
      <c r="C30" s="326">
        <v>5</v>
      </c>
      <c r="D30" s="329">
        <v>5</v>
      </c>
      <c r="E30" s="329">
        <v>4</v>
      </c>
      <c r="F30" s="329">
        <v>4</v>
      </c>
      <c r="G30" s="329">
        <v>4</v>
      </c>
      <c r="H30" s="329">
        <v>3</v>
      </c>
      <c r="I30" s="329">
        <v>3</v>
      </c>
      <c r="J30" s="329">
        <v>2</v>
      </c>
      <c r="K30" s="328"/>
    </row>
    <row r="31" spans="1:12" x14ac:dyDescent="0.3">
      <c r="A31" s="337">
        <v>18</v>
      </c>
      <c r="B31" s="326">
        <v>9</v>
      </c>
      <c r="C31" s="326">
        <v>5</v>
      </c>
      <c r="D31" s="329">
        <v>5</v>
      </c>
      <c r="E31" s="329">
        <v>4</v>
      </c>
      <c r="F31" s="329">
        <v>4</v>
      </c>
      <c r="G31" s="329">
        <v>4</v>
      </c>
      <c r="H31" s="329">
        <v>3</v>
      </c>
      <c r="I31" s="329">
        <v>3</v>
      </c>
      <c r="J31" s="329">
        <v>2</v>
      </c>
      <c r="K31" s="340">
        <v>1</v>
      </c>
    </row>
    <row r="32" spans="1:12" x14ac:dyDescent="0.3">
      <c r="A32" s="337">
        <v>19</v>
      </c>
      <c r="B32" s="338">
        <v>9</v>
      </c>
      <c r="C32" s="338">
        <v>5</v>
      </c>
      <c r="D32" s="339">
        <v>5</v>
      </c>
      <c r="E32" s="339">
        <v>4</v>
      </c>
      <c r="F32" s="339">
        <v>4</v>
      </c>
      <c r="G32" s="339">
        <v>4</v>
      </c>
      <c r="H32" s="339">
        <v>3</v>
      </c>
      <c r="I32" s="339">
        <v>3</v>
      </c>
      <c r="J32" s="339">
        <v>3</v>
      </c>
      <c r="K32" s="340">
        <v>2</v>
      </c>
    </row>
    <row r="33" spans="1:11" ht="17.399999999999999" thickBot="1" x14ac:dyDescent="0.35">
      <c r="A33" s="332">
        <v>20</v>
      </c>
      <c r="B33" s="341" t="s">
        <v>182</v>
      </c>
      <c r="C33" s="333">
        <v>5</v>
      </c>
      <c r="D33" s="334">
        <v>5</v>
      </c>
      <c r="E33" s="334">
        <v>4</v>
      </c>
      <c r="F33" s="334">
        <v>4</v>
      </c>
      <c r="G33" s="334">
        <v>4</v>
      </c>
      <c r="H33" s="334">
        <v>3</v>
      </c>
      <c r="I33" s="334">
        <v>3</v>
      </c>
      <c r="J33" s="334">
        <v>3</v>
      </c>
      <c r="K33" s="335">
        <v>3</v>
      </c>
    </row>
    <row r="34" spans="1:11" ht="17.399999999999999" thickTop="1" x14ac:dyDescent="0.3"/>
  </sheetData>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
  <sheetViews>
    <sheetView showGridLines="0" workbookViewId="0"/>
  </sheetViews>
  <sheetFormatPr defaultColWidth="13" defaultRowHeight="16.8" x14ac:dyDescent="0.3"/>
  <cols>
    <col min="1" max="1" width="28.5" style="46" bestFit="1" customWidth="1"/>
    <col min="2" max="2" width="2" style="16" bestFit="1" customWidth="1"/>
    <col min="3" max="3" width="26.69921875" style="46" bestFit="1" customWidth="1"/>
    <col min="4" max="4" width="2.5" style="46" customWidth="1"/>
    <col min="5" max="5" width="21.19921875" style="46" bestFit="1" customWidth="1"/>
    <col min="6" max="6" width="6.19921875" style="46" bestFit="1" customWidth="1"/>
    <col min="7" max="7" width="4.09765625" style="46" bestFit="1" customWidth="1"/>
    <col min="8" max="8" width="6.296875" style="46" bestFit="1" customWidth="1"/>
    <col min="9" max="16384" width="13" style="46"/>
  </cols>
  <sheetData>
    <row r="1" spans="1:8" ht="24" thickTop="1" thickBot="1" x14ac:dyDescent="0.35">
      <c r="A1" s="68" t="s">
        <v>101</v>
      </c>
      <c r="C1" s="407" t="s">
        <v>245</v>
      </c>
      <c r="E1" s="440" t="s">
        <v>269</v>
      </c>
      <c r="F1" s="441"/>
      <c r="G1" s="441"/>
      <c r="H1" s="442"/>
    </row>
    <row r="2" spans="1:8" ht="17.399999999999999" thickTop="1" x14ac:dyDescent="0.3">
      <c r="A2" s="69" t="s">
        <v>219</v>
      </c>
      <c r="C2" s="408" t="s">
        <v>218</v>
      </c>
      <c r="E2" s="443" t="s">
        <v>68</v>
      </c>
      <c r="F2" s="444" t="s">
        <v>0</v>
      </c>
      <c r="G2" s="445" t="s">
        <v>154</v>
      </c>
      <c r="H2" s="446" t="s">
        <v>155</v>
      </c>
    </row>
    <row r="3" spans="1:8" ht="17.399999999999999" thickBot="1" x14ac:dyDescent="0.35">
      <c r="A3" s="70" t="s">
        <v>268</v>
      </c>
      <c r="C3" s="382"/>
      <c r="E3" s="447" t="s">
        <v>225</v>
      </c>
      <c r="F3" s="448">
        <v>0</v>
      </c>
      <c r="G3" s="449">
        <f>10+F3+'Personal File'!$C$16</f>
        <v>10</v>
      </c>
      <c r="H3" s="450" t="s">
        <v>270</v>
      </c>
    </row>
    <row r="4" spans="1:8" ht="17.399999999999999" thickTop="1" x14ac:dyDescent="0.3">
      <c r="A4" s="70" t="s">
        <v>220</v>
      </c>
      <c r="E4" s="451" t="s">
        <v>271</v>
      </c>
      <c r="F4" s="452">
        <v>0</v>
      </c>
      <c r="G4" s="453">
        <f>10+F4+'Personal File'!$C$16</f>
        <v>10</v>
      </c>
      <c r="H4" s="454" t="s">
        <v>270</v>
      </c>
    </row>
    <row r="5" spans="1:8" ht="17.399999999999999" thickBot="1" x14ac:dyDescent="0.35">
      <c r="A5" s="349" t="s">
        <v>221</v>
      </c>
      <c r="E5" s="455" t="s">
        <v>272</v>
      </c>
      <c r="F5" s="456">
        <v>0</v>
      </c>
      <c r="G5" s="457">
        <f>10+F5+'Personal File'!$C$16</f>
        <v>10</v>
      </c>
      <c r="H5" s="458" t="s">
        <v>273</v>
      </c>
    </row>
    <row r="6" spans="1:8" ht="18" thickTop="1" thickBot="1" x14ac:dyDescent="0.35">
      <c r="A6" s="165" t="s">
        <v>222</v>
      </c>
    </row>
    <row r="7" spans="1:8" ht="18" thickTop="1" thickBot="1" x14ac:dyDescent="0.35">
      <c r="A7" s="22"/>
    </row>
    <row r="8" spans="1:8" ht="24" thickTop="1" thickBot="1" x14ac:dyDescent="0.35">
      <c r="A8" s="153" t="s">
        <v>82</v>
      </c>
      <c r="C8" s="154" t="s">
        <v>69</v>
      </c>
      <c r="D8" s="357"/>
    </row>
    <row r="9" spans="1:8" ht="17.399999999999999" thickBot="1" x14ac:dyDescent="0.35">
      <c r="A9" s="71" t="s">
        <v>246</v>
      </c>
      <c r="C9" s="72" t="s">
        <v>217</v>
      </c>
    </row>
    <row r="10" spans="1:8" ht="17.399999999999999" thickTop="1" x14ac:dyDescent="0.3">
      <c r="A10" s="22"/>
      <c r="B10" s="358">
        <v>1</v>
      </c>
      <c r="D10" s="357">
        <f t="shared" ref="D10:D14" ca="1" si="0">RAND()</f>
        <v>0.66083954363502262</v>
      </c>
    </row>
    <row r="11" spans="1:8" x14ac:dyDescent="0.3">
      <c r="B11" s="358">
        <v>2</v>
      </c>
      <c r="D11" s="357">
        <f t="shared" ca="1" si="0"/>
        <v>0.82819453159478906</v>
      </c>
    </row>
    <row r="12" spans="1:8" x14ac:dyDescent="0.3">
      <c r="B12" s="358">
        <v>3</v>
      </c>
      <c r="D12" s="357">
        <f t="shared" ca="1" si="0"/>
        <v>0.96891225441073237</v>
      </c>
    </row>
    <row r="13" spans="1:8" x14ac:dyDescent="0.3">
      <c r="B13" s="358">
        <v>4</v>
      </c>
      <c r="D13" s="357">
        <f t="shared" ca="1" si="0"/>
        <v>0.23886339894481001</v>
      </c>
    </row>
    <row r="14" spans="1:8" x14ac:dyDescent="0.3">
      <c r="B14" s="358">
        <v>5</v>
      </c>
      <c r="D14" s="357">
        <f t="shared" ca="1" si="0"/>
        <v>0.80359310120073291</v>
      </c>
    </row>
    <row r="15" spans="1:8" x14ac:dyDescent="0.3">
      <c r="C15" s="16"/>
    </row>
    <row r="22" spans="1:4" x14ac:dyDescent="0.3">
      <c r="D22" s="285"/>
    </row>
    <row r="23" spans="1:4" s="285" customFormat="1" x14ac:dyDescent="0.3">
      <c r="A23" s="46"/>
      <c r="B23" s="356"/>
      <c r="C23" s="46"/>
      <c r="D23" s="46"/>
    </row>
    <row r="24" spans="1:4" x14ac:dyDescent="0.3">
      <c r="A24" s="285"/>
    </row>
    <row r="27" spans="1:4" x14ac:dyDescent="0.3">
      <c r="C27" s="285"/>
    </row>
  </sheetData>
  <conditionalFormatting sqref="G3:G4">
    <cfRule type="cellIs" dxfId="3" priority="4" stopIfTrue="1" operator="equal">
      <formula>"þ"</formula>
    </cfRule>
  </conditionalFormatting>
  <conditionalFormatting sqref="G3:G4">
    <cfRule type="cellIs" dxfId="2" priority="3" stopIfTrue="1" operator="equal">
      <formula>"þ"</formula>
    </cfRule>
  </conditionalFormatting>
  <conditionalFormatting sqref="H3:H4">
    <cfRule type="cellIs" dxfId="1" priority="2" stopIfTrue="1" operator="equal">
      <formula>"þ"</formula>
    </cfRule>
  </conditionalFormatting>
  <conditionalFormatting sqref="G5:H5">
    <cfRule type="cellIs" dxfId="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3"/>
  <sheetViews>
    <sheetView showGridLines="0" workbookViewId="0"/>
  </sheetViews>
  <sheetFormatPr defaultColWidth="13" defaultRowHeight="15.6" x14ac:dyDescent="0.3"/>
  <cols>
    <col min="1" max="1" width="20.5" style="74" bestFit="1" customWidth="1"/>
    <col min="2" max="2" width="9.296875" style="74" bestFit="1" customWidth="1"/>
    <col min="3" max="3" width="4.296875" style="74" bestFit="1" customWidth="1"/>
    <col min="4" max="4" width="6.296875" style="74" bestFit="1" customWidth="1"/>
    <col min="5" max="5" width="8.09765625" style="74" bestFit="1" customWidth="1"/>
    <col min="6" max="6" width="9.8984375" style="74" bestFit="1" customWidth="1"/>
    <col min="7" max="7" width="4.3984375" style="74" bestFit="1" customWidth="1"/>
    <col min="8" max="8" width="4.69921875" style="74" bestFit="1" customWidth="1"/>
    <col min="9" max="9" width="5.69921875" style="74" bestFit="1" customWidth="1"/>
    <col min="10" max="10" width="6.296875" style="74" bestFit="1" customWidth="1"/>
    <col min="11" max="11" width="15.296875" style="74" bestFit="1" customWidth="1"/>
    <col min="12" max="12" width="1.3984375" style="12" customWidth="1"/>
    <col min="13" max="13" width="5.796875" style="12" bestFit="1" customWidth="1"/>
    <col min="14" max="16384" width="13" style="12"/>
  </cols>
  <sheetData>
    <row r="1" spans="1:13" ht="23.4" thickBot="1" x14ac:dyDescent="0.35">
      <c r="A1" s="67" t="s">
        <v>15</v>
      </c>
      <c r="B1" s="67"/>
      <c r="C1" s="67"/>
      <c r="D1" s="67"/>
      <c r="E1" s="67"/>
      <c r="F1" s="67"/>
      <c r="G1" s="67"/>
      <c r="H1" s="67"/>
      <c r="I1" s="67"/>
      <c r="J1" s="67"/>
      <c r="K1" s="67"/>
    </row>
    <row r="2" spans="1:13" ht="16.8" thickTop="1" thickBot="1" x14ac:dyDescent="0.35">
      <c r="A2" s="94" t="s">
        <v>1</v>
      </c>
      <c r="B2" s="95" t="s">
        <v>2</v>
      </c>
      <c r="C2" s="95" t="s">
        <v>19</v>
      </c>
      <c r="D2" s="95" t="s">
        <v>20</v>
      </c>
      <c r="E2" s="96" t="s">
        <v>53</v>
      </c>
      <c r="F2" s="95" t="s">
        <v>16</v>
      </c>
      <c r="G2" s="95" t="s">
        <v>21</v>
      </c>
      <c r="H2" s="97" t="s">
        <v>83</v>
      </c>
      <c r="I2" s="98" t="s">
        <v>102</v>
      </c>
      <c r="J2" s="97" t="s">
        <v>76</v>
      </c>
      <c r="K2" s="99" t="s">
        <v>74</v>
      </c>
      <c r="M2" s="388" t="s">
        <v>112</v>
      </c>
    </row>
    <row r="3" spans="1:13" x14ac:dyDescent="0.3">
      <c r="A3" s="79" t="s">
        <v>157</v>
      </c>
      <c r="B3" s="375" t="s">
        <v>162</v>
      </c>
      <c r="C3" s="375">
        <f>'Personal File'!$C$10</f>
        <v>-1</v>
      </c>
      <c r="D3" s="421">
        <f>2</f>
        <v>2</v>
      </c>
      <c r="E3" s="422" t="s">
        <v>115</v>
      </c>
      <c r="F3" s="375" t="s">
        <v>193</v>
      </c>
      <c r="G3" s="423">
        <v>1</v>
      </c>
      <c r="H3" s="375" t="str">
        <f>CONCATENATE("+",'Personal File'!$B$8+'Personal File'!$C$10+D3)</f>
        <v>+5</v>
      </c>
      <c r="I3" s="424">
        <f t="shared" ref="I3:I4" ca="1" si="0">RANDBETWEEN(1,20)</f>
        <v>19</v>
      </c>
      <c r="J3" s="425">
        <f t="shared" ref="J3:J4" ca="1" si="1">I3+H3</f>
        <v>24</v>
      </c>
      <c r="K3" s="426"/>
      <c r="M3" s="432">
        <v>2</v>
      </c>
    </row>
    <row r="4" spans="1:13" ht="16.2" thickBot="1" x14ac:dyDescent="0.35">
      <c r="A4" s="427" t="s">
        <v>196</v>
      </c>
      <c r="B4" s="146" t="s">
        <v>116</v>
      </c>
      <c r="C4" s="146" t="s">
        <v>116</v>
      </c>
      <c r="D4" s="428">
        <f>2</f>
        <v>2</v>
      </c>
      <c r="E4" s="147" t="s">
        <v>116</v>
      </c>
      <c r="F4" s="146" t="s">
        <v>116</v>
      </c>
      <c r="G4" s="429" t="s">
        <v>116</v>
      </c>
      <c r="H4" s="146" t="str">
        <f>CONCATENATE("+",'Personal File'!$B$8+'Personal File'!$C$10+D4)</f>
        <v>+5</v>
      </c>
      <c r="I4" s="387">
        <f t="shared" ca="1" si="0"/>
        <v>16</v>
      </c>
      <c r="J4" s="148">
        <f t="shared" ca="1" si="1"/>
        <v>21</v>
      </c>
      <c r="K4" s="430"/>
      <c r="M4" s="433" t="s">
        <v>116</v>
      </c>
    </row>
    <row r="5" spans="1:13" ht="6" customHeight="1" thickTop="1" thickBot="1" x14ac:dyDescent="0.35"/>
    <row r="6" spans="1:13" ht="16.8" thickTop="1" thickBot="1" x14ac:dyDescent="0.35">
      <c r="A6" s="94" t="s">
        <v>4</v>
      </c>
      <c r="B6" s="95" t="s">
        <v>5</v>
      </c>
      <c r="C6" s="95" t="s">
        <v>19</v>
      </c>
      <c r="D6" s="95" t="s">
        <v>20</v>
      </c>
      <c r="E6" s="96" t="s">
        <v>53</v>
      </c>
      <c r="F6" s="95" t="s">
        <v>6</v>
      </c>
      <c r="G6" s="95" t="s">
        <v>21</v>
      </c>
      <c r="H6" s="97" t="s">
        <v>83</v>
      </c>
      <c r="I6" s="385" t="s">
        <v>102</v>
      </c>
      <c r="J6" s="97" t="s">
        <v>76</v>
      </c>
      <c r="K6" s="99" t="s">
        <v>74</v>
      </c>
      <c r="L6" s="126"/>
      <c r="M6" s="111" t="s">
        <v>112</v>
      </c>
    </row>
    <row r="7" spans="1:13" x14ac:dyDescent="0.3">
      <c r="A7" s="136" t="s">
        <v>126</v>
      </c>
      <c r="B7" s="137" t="s">
        <v>116</v>
      </c>
      <c r="C7" s="137" t="s">
        <v>116</v>
      </c>
      <c r="D7" s="137">
        <v>0</v>
      </c>
      <c r="E7" s="138" t="s">
        <v>116</v>
      </c>
      <c r="F7" s="137" t="s">
        <v>116</v>
      </c>
      <c r="G7" s="137" t="s">
        <v>116</v>
      </c>
      <c r="H7" s="137" t="str">
        <f>CONCATENATE("+",Spellcasting!$D$10+D7)</f>
        <v>+7</v>
      </c>
      <c r="I7" s="386">
        <f t="shared" ref="I7:I9" ca="1" si="2">RANDBETWEEN(1,20)</f>
        <v>14</v>
      </c>
      <c r="J7" s="141">
        <f ca="1">I7+H7</f>
        <v>21</v>
      </c>
      <c r="K7" s="139"/>
      <c r="L7" s="126"/>
      <c r="M7" s="140" t="s">
        <v>116</v>
      </c>
    </row>
    <row r="8" spans="1:13" x14ac:dyDescent="0.3">
      <c r="A8" s="142" t="s">
        <v>262</v>
      </c>
      <c r="B8" s="113" t="s">
        <v>113</v>
      </c>
      <c r="C8" s="143" t="s">
        <v>51</v>
      </c>
      <c r="D8" s="143" t="s">
        <v>51</v>
      </c>
      <c r="E8" s="113" t="s">
        <v>115</v>
      </c>
      <c r="F8" s="143" t="s">
        <v>118</v>
      </c>
      <c r="G8" s="144">
        <v>4</v>
      </c>
      <c r="H8" s="114" t="str">
        <f>CONCATENATE("+",'Personal File'!$B$8+'Personal File'!$C$11+D8)</f>
        <v>+6</v>
      </c>
      <c r="I8" s="386">
        <f t="shared" ca="1" si="2"/>
        <v>9</v>
      </c>
      <c r="J8" s="116">
        <f ca="1">I8+H8</f>
        <v>15</v>
      </c>
      <c r="K8" s="145"/>
      <c r="L8" s="126"/>
      <c r="M8" s="128">
        <v>35</v>
      </c>
    </row>
    <row r="9" spans="1:13" ht="16.2" thickBot="1" x14ac:dyDescent="0.35">
      <c r="A9" s="300" t="s">
        <v>127</v>
      </c>
      <c r="B9" s="146" t="s">
        <v>116</v>
      </c>
      <c r="C9" s="146" t="s">
        <v>116</v>
      </c>
      <c r="D9" s="146">
        <v>0</v>
      </c>
      <c r="E9" s="147" t="s">
        <v>116</v>
      </c>
      <c r="F9" s="146" t="s">
        <v>116</v>
      </c>
      <c r="G9" s="146" t="s">
        <v>116</v>
      </c>
      <c r="H9" s="146" t="str">
        <f>CONCATENATE("+",'Personal File'!$B$8+'Personal File'!$C$11+D9)</f>
        <v>+6</v>
      </c>
      <c r="I9" s="387">
        <f t="shared" ca="1" si="2"/>
        <v>1</v>
      </c>
      <c r="J9" s="148">
        <f ca="1">I9+H9</f>
        <v>7</v>
      </c>
      <c r="K9" s="301"/>
      <c r="L9" s="126"/>
      <c r="M9" s="302" t="s">
        <v>116</v>
      </c>
    </row>
    <row r="10" spans="1:13" ht="6" customHeight="1" thickTop="1" thickBot="1" x14ac:dyDescent="0.35">
      <c r="D10" s="100"/>
      <c r="E10" s="100"/>
      <c r="G10" s="93"/>
      <c r="H10" s="93"/>
      <c r="I10" s="93"/>
      <c r="J10" s="93"/>
      <c r="L10" s="126"/>
    </row>
    <row r="11" spans="1:13" ht="16.8" thickTop="1" thickBot="1" x14ac:dyDescent="0.35">
      <c r="A11" s="94" t="s">
        <v>58</v>
      </c>
      <c r="B11" s="95" t="s">
        <v>9</v>
      </c>
      <c r="C11" s="95" t="s">
        <v>24</v>
      </c>
      <c r="D11" s="95" t="s">
        <v>76</v>
      </c>
      <c r="E11" s="95" t="s">
        <v>77</v>
      </c>
      <c r="F11" s="95" t="s">
        <v>78</v>
      </c>
      <c r="G11" s="95" t="s">
        <v>21</v>
      </c>
      <c r="H11" s="101" t="s">
        <v>74</v>
      </c>
      <c r="I11" s="102"/>
      <c r="J11" s="102"/>
      <c r="K11" s="103"/>
      <c r="L11" s="126"/>
      <c r="M11" s="111" t="s">
        <v>112</v>
      </c>
    </row>
    <row r="12" spans="1:13" x14ac:dyDescent="0.3">
      <c r="A12" s="79" t="s">
        <v>258</v>
      </c>
      <c r="B12" s="359" t="s">
        <v>265</v>
      </c>
      <c r="C12" s="360" t="s">
        <v>116</v>
      </c>
      <c r="D12" s="359">
        <v>0</v>
      </c>
      <c r="E12" s="431" t="s">
        <v>116</v>
      </c>
      <c r="F12" s="360" t="s">
        <v>116</v>
      </c>
      <c r="G12" s="423">
        <v>0</v>
      </c>
      <c r="H12" s="361"/>
      <c r="I12" s="362"/>
      <c r="J12" s="362"/>
      <c r="K12" s="363"/>
      <c r="L12" s="126"/>
      <c r="M12" s="128">
        <v>18000</v>
      </c>
    </row>
    <row r="13" spans="1:13" ht="16.2" thickBot="1" x14ac:dyDescent="0.35">
      <c r="A13" s="84"/>
      <c r="B13" s="109"/>
      <c r="C13" s="149"/>
      <c r="D13" s="109"/>
      <c r="E13" s="150"/>
      <c r="F13" s="149"/>
      <c r="G13" s="110"/>
      <c r="H13" s="384"/>
      <c r="I13" s="104"/>
      <c r="J13" s="104"/>
      <c r="K13" s="152"/>
      <c r="M13" s="129"/>
    </row>
    <row r="14" spans="1:13" ht="6.75" customHeight="1" thickTop="1" thickBot="1" x14ac:dyDescent="0.35"/>
    <row r="15" spans="1:13" ht="16.8" thickTop="1" thickBot="1" x14ac:dyDescent="0.35">
      <c r="D15" s="105" t="s">
        <v>59</v>
      </c>
      <c r="E15" s="106"/>
      <c r="F15" s="101" t="s">
        <v>3</v>
      </c>
      <c r="G15" s="95" t="s">
        <v>21</v>
      </c>
      <c r="H15" s="97" t="s">
        <v>83</v>
      </c>
      <c r="I15" s="101" t="s">
        <v>74</v>
      </c>
      <c r="J15" s="102"/>
      <c r="K15" s="103"/>
      <c r="M15" s="111" t="s">
        <v>112</v>
      </c>
    </row>
    <row r="16" spans="1:13" x14ac:dyDescent="0.3">
      <c r="D16" s="372" t="s">
        <v>110</v>
      </c>
      <c r="E16" s="373"/>
      <c r="F16" s="374">
        <v>20</v>
      </c>
      <c r="G16" s="375">
        <f>F16/10</f>
        <v>2</v>
      </c>
      <c r="H16" s="375" t="s">
        <v>111</v>
      </c>
      <c r="I16" s="376"/>
      <c r="J16" s="377"/>
      <c r="K16" s="378"/>
      <c r="M16" s="379">
        <f>F16/10</f>
        <v>2</v>
      </c>
    </row>
    <row r="17" spans="4:13" ht="16.2" thickBot="1" x14ac:dyDescent="0.35">
      <c r="D17" s="364"/>
      <c r="E17" s="365"/>
      <c r="F17" s="366"/>
      <c r="G17" s="367"/>
      <c r="H17" s="368"/>
      <c r="I17" s="369"/>
      <c r="J17" s="107"/>
      <c r="K17" s="370"/>
      <c r="M17" s="371"/>
    </row>
    <row r="18" spans="4:13" ht="16.8" thickTop="1" thickBot="1" x14ac:dyDescent="0.35"/>
    <row r="19" spans="4:13" ht="16.8" thickTop="1" thickBot="1" x14ac:dyDescent="0.35">
      <c r="D19" s="105" t="s">
        <v>129</v>
      </c>
      <c r="E19" s="102"/>
      <c r="F19" s="102"/>
      <c r="G19" s="102"/>
      <c r="H19" s="155" t="s">
        <v>3</v>
      </c>
      <c r="I19" s="155" t="s">
        <v>0</v>
      </c>
      <c r="J19" s="155" t="s">
        <v>130</v>
      </c>
      <c r="K19" s="103" t="s">
        <v>74</v>
      </c>
      <c r="L19" s="126"/>
      <c r="M19" s="156" t="s">
        <v>112</v>
      </c>
    </row>
    <row r="20" spans="4:13" x14ac:dyDescent="0.3">
      <c r="D20" s="351" t="s">
        <v>260</v>
      </c>
      <c r="E20" s="352"/>
      <c r="F20" s="352"/>
      <c r="G20" s="353"/>
      <c r="H20" s="354">
        <v>1</v>
      </c>
      <c r="I20" s="355">
        <v>3</v>
      </c>
      <c r="J20" s="355">
        <v>5</v>
      </c>
      <c r="K20" s="151"/>
      <c r="L20" s="126"/>
      <c r="M20" s="157">
        <f>50*H20*I20*J20</f>
        <v>750</v>
      </c>
    </row>
    <row r="21" spans="4:13" x14ac:dyDescent="0.3">
      <c r="D21" s="351" t="s">
        <v>261</v>
      </c>
      <c r="E21" s="352"/>
      <c r="F21" s="352"/>
      <c r="G21" s="353"/>
      <c r="H21" s="354">
        <v>3</v>
      </c>
      <c r="I21" s="355">
        <v>1</v>
      </c>
      <c r="J21" s="355">
        <v>2</v>
      </c>
      <c r="K21" s="151"/>
      <c r="L21" s="126"/>
      <c r="M21" s="157">
        <f t="shared" ref="M21" si="3">25*H21*I21*J21</f>
        <v>150</v>
      </c>
    </row>
    <row r="22" spans="4:13" ht="16.2" thickBot="1" x14ac:dyDescent="0.35">
      <c r="D22" s="158"/>
      <c r="E22" s="159"/>
      <c r="F22" s="159"/>
      <c r="G22" s="160"/>
      <c r="H22" s="161"/>
      <c r="I22" s="162"/>
      <c r="J22" s="162"/>
      <c r="K22" s="163"/>
      <c r="L22" s="126"/>
      <c r="M22" s="164"/>
    </row>
    <row r="23" spans="4:13" ht="16.2"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showGridLines="0" workbookViewId="0"/>
  </sheetViews>
  <sheetFormatPr defaultColWidth="7.8984375" defaultRowHeight="15.6" x14ac:dyDescent="0.3"/>
  <cols>
    <col min="1" max="1" width="18.09765625" style="74" bestFit="1" customWidth="1"/>
    <col min="2" max="2" width="5.69921875" style="74" bestFit="1" customWidth="1"/>
    <col min="3" max="3" width="5.3984375" style="93" bestFit="1" customWidth="1"/>
    <col min="4" max="5" width="23.09765625" style="12" customWidth="1"/>
    <col min="6" max="6" width="1.19921875" style="74" customWidth="1"/>
    <col min="7" max="7" width="8.296875" style="12" bestFit="1" customWidth="1"/>
    <col min="8" max="16384" width="7.8984375" style="12"/>
  </cols>
  <sheetData>
    <row r="1" spans="1:7" ht="23.4" thickBot="1" x14ac:dyDescent="0.35">
      <c r="A1" s="67" t="s">
        <v>71</v>
      </c>
      <c r="B1" s="67"/>
      <c r="C1" s="73"/>
      <c r="D1" s="67"/>
      <c r="E1" s="67"/>
    </row>
    <row r="2" spans="1:7" s="74" customFormat="1" ht="16.8" thickTop="1" thickBot="1" x14ac:dyDescent="0.35">
      <c r="A2" s="75" t="s">
        <v>72</v>
      </c>
      <c r="B2" s="75" t="s">
        <v>3</v>
      </c>
      <c r="C2" s="76" t="s">
        <v>21</v>
      </c>
      <c r="D2" s="77" t="s">
        <v>73</v>
      </c>
      <c r="E2" s="78" t="s">
        <v>74</v>
      </c>
      <c r="G2" s="112" t="s">
        <v>112</v>
      </c>
    </row>
    <row r="3" spans="1:7" x14ac:dyDescent="0.3">
      <c r="A3" s="80" t="s">
        <v>117</v>
      </c>
      <c r="B3" s="344">
        <v>1</v>
      </c>
      <c r="C3" s="81" t="s">
        <v>252</v>
      </c>
      <c r="D3" s="82"/>
      <c r="E3" s="83"/>
      <c r="G3" s="172">
        <v>1</v>
      </c>
    </row>
    <row r="4" spans="1:7" x14ac:dyDescent="0.3">
      <c r="A4" s="80" t="s">
        <v>199</v>
      </c>
      <c r="B4" s="344">
        <v>1</v>
      </c>
      <c r="C4" s="81">
        <v>0.5</v>
      </c>
      <c r="D4" s="82"/>
      <c r="E4" s="83"/>
      <c r="G4" s="172">
        <v>1</v>
      </c>
    </row>
    <row r="5" spans="1:7" ht="16.2" thickBot="1" x14ac:dyDescent="0.35">
      <c r="A5" s="84"/>
      <c r="B5" s="131"/>
      <c r="C5" s="86"/>
      <c r="D5" s="87"/>
      <c r="E5" s="88"/>
      <c r="G5" s="122"/>
    </row>
    <row r="6" spans="1:7" ht="24" thickTop="1" thickBot="1" x14ac:dyDescent="0.35">
      <c r="A6" s="67" t="s">
        <v>75</v>
      </c>
      <c r="B6" s="67"/>
      <c r="C6" s="89"/>
      <c r="D6" s="67"/>
      <c r="E6" s="90"/>
      <c r="G6" s="123"/>
    </row>
    <row r="7" spans="1:7" ht="16.8" thickTop="1" thickBot="1" x14ac:dyDescent="0.35">
      <c r="A7" s="75" t="s">
        <v>72</v>
      </c>
      <c r="B7" s="75" t="s">
        <v>3</v>
      </c>
      <c r="C7" s="76" t="s">
        <v>21</v>
      </c>
      <c r="D7" s="77" t="s">
        <v>73</v>
      </c>
      <c r="E7" s="78" t="s">
        <v>74</v>
      </c>
      <c r="G7" s="124" t="s">
        <v>112</v>
      </c>
    </row>
    <row r="8" spans="1:7" x14ac:dyDescent="0.3">
      <c r="A8" s="80" t="s">
        <v>158</v>
      </c>
      <c r="B8" s="91">
        <v>17</v>
      </c>
      <c r="C8" s="316">
        <f t="shared" ref="C8" si="0">B8/100</f>
        <v>0.17</v>
      </c>
      <c r="D8" s="82"/>
      <c r="E8" s="83"/>
      <c r="G8" s="121">
        <f>B8</f>
        <v>17</v>
      </c>
    </row>
    <row r="9" spans="1:7" x14ac:dyDescent="0.3">
      <c r="A9" s="169" t="s">
        <v>253</v>
      </c>
      <c r="B9" s="170">
        <v>1</v>
      </c>
      <c r="C9" s="81">
        <v>2</v>
      </c>
      <c r="D9" s="171"/>
      <c r="E9" s="125"/>
      <c r="F9"/>
      <c r="G9" s="346">
        <v>2</v>
      </c>
    </row>
    <row r="10" spans="1:7" x14ac:dyDescent="0.3">
      <c r="A10" s="169" t="s">
        <v>159</v>
      </c>
      <c r="B10" s="91">
        <v>1</v>
      </c>
      <c r="C10" s="81">
        <v>5</v>
      </c>
      <c r="D10" s="345"/>
      <c r="E10" s="83"/>
      <c r="G10" s="121">
        <v>0.1</v>
      </c>
    </row>
    <row r="11" spans="1:7" x14ac:dyDescent="0.3">
      <c r="A11" s="169" t="s">
        <v>254</v>
      </c>
      <c r="B11" s="170">
        <v>5</v>
      </c>
      <c r="C11" s="81">
        <v>0</v>
      </c>
      <c r="D11" s="171"/>
      <c r="E11" s="125"/>
      <c r="G11" s="172">
        <v>0.05</v>
      </c>
    </row>
    <row r="12" spans="1:7" x14ac:dyDescent="0.3">
      <c r="A12" s="169" t="s">
        <v>255</v>
      </c>
      <c r="B12" s="170">
        <v>1</v>
      </c>
      <c r="C12" s="81">
        <v>0</v>
      </c>
      <c r="D12" s="171"/>
      <c r="E12" s="125"/>
      <c r="G12" s="172">
        <v>1</v>
      </c>
    </row>
    <row r="13" spans="1:7" x14ac:dyDescent="0.3">
      <c r="A13" s="169" t="s">
        <v>160</v>
      </c>
      <c r="B13" s="170">
        <v>1</v>
      </c>
      <c r="C13" s="81">
        <v>4</v>
      </c>
      <c r="D13" s="171"/>
      <c r="E13" s="125"/>
      <c r="G13" s="172">
        <v>1</v>
      </c>
    </row>
    <row r="14" spans="1:7" x14ac:dyDescent="0.3">
      <c r="A14" s="169" t="s">
        <v>256</v>
      </c>
      <c r="B14" s="170">
        <v>5</v>
      </c>
      <c r="C14" s="81">
        <v>5</v>
      </c>
      <c r="D14" s="171"/>
      <c r="E14" s="125"/>
      <c r="G14" s="172">
        <v>0.05</v>
      </c>
    </row>
    <row r="15" spans="1:7" x14ac:dyDescent="0.3">
      <c r="A15" s="169" t="s">
        <v>257</v>
      </c>
      <c r="B15" s="170">
        <v>5</v>
      </c>
      <c r="C15" s="81">
        <v>1</v>
      </c>
      <c r="D15" s="171"/>
      <c r="E15" s="125"/>
      <c r="G15" s="172">
        <v>2.5</v>
      </c>
    </row>
    <row r="16" spans="1:7" x14ac:dyDescent="0.3">
      <c r="A16" s="169" t="s">
        <v>259</v>
      </c>
      <c r="B16" s="170">
        <v>1</v>
      </c>
      <c r="C16" s="81">
        <v>1</v>
      </c>
      <c r="D16" s="171"/>
      <c r="E16" s="125"/>
      <c r="G16" s="172">
        <v>0.2</v>
      </c>
    </row>
    <row r="17" spans="1:7" x14ac:dyDescent="0.3">
      <c r="A17" s="169" t="s">
        <v>263</v>
      </c>
      <c r="B17" s="170">
        <v>1</v>
      </c>
      <c r="C17" s="81">
        <v>1</v>
      </c>
      <c r="D17" s="171"/>
      <c r="E17" s="125"/>
      <c r="G17" s="172">
        <v>25</v>
      </c>
    </row>
    <row r="18" spans="1:7" ht="16.2" thickBot="1" x14ac:dyDescent="0.35">
      <c r="A18" s="84" t="s">
        <v>183</v>
      </c>
      <c r="B18" s="85">
        <v>1</v>
      </c>
      <c r="C18" s="92">
        <v>5</v>
      </c>
      <c r="D18" s="87" t="s">
        <v>184</v>
      </c>
      <c r="E18" s="88"/>
      <c r="G18" s="122">
        <v>10</v>
      </c>
    </row>
    <row r="19" spans="1:7" ht="16.2" thickTop="1" x14ac:dyDescent="0.3">
      <c r="C19" s="74"/>
      <c r="D19" s="74"/>
      <c r="E19" s="74"/>
      <c r="G19" s="74"/>
    </row>
    <row r="20" spans="1:7" x14ac:dyDescent="0.3">
      <c r="E20" s="51" t="s">
        <v>114</v>
      </c>
      <c r="G20" s="347">
        <f>SUM(G3:G19,Martial!M3:M22)</f>
        <v>18999.900000000001</v>
      </c>
    </row>
    <row r="21" spans="1:7" x14ac:dyDescent="0.3">
      <c r="E21" s="51" t="s">
        <v>189</v>
      </c>
      <c r="G21" s="348">
        <v>19000</v>
      </c>
    </row>
  </sheetData>
  <sortState xmlns:xlrd2="http://schemas.microsoft.com/office/spreadsheetml/2017/richdata2" ref="A6:G14">
    <sortCondition ref="A6:A14"/>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CB99-6710-4D22-8090-E7CCA0E119F4}">
  <dimension ref="A1:C17"/>
  <sheetViews>
    <sheetView showGridLines="0" workbookViewId="0"/>
  </sheetViews>
  <sheetFormatPr defaultColWidth="9" defaultRowHeight="15.6" x14ac:dyDescent="0.3"/>
  <cols>
    <col min="1" max="1" width="62.796875" style="17" bestFit="1" customWidth="1"/>
    <col min="2" max="2" width="9.5" style="314" customWidth="1"/>
    <col min="3" max="3" width="6.3984375" style="17" customWidth="1"/>
    <col min="4" max="16384" width="9" style="17"/>
  </cols>
  <sheetData>
    <row r="1" spans="1:3" x14ac:dyDescent="0.3">
      <c r="A1" s="303" t="s">
        <v>167</v>
      </c>
      <c r="B1" s="304" t="str">
        <f>'Personal File'!A1</f>
        <v>Aliya</v>
      </c>
      <c r="C1" s="305" t="s">
        <v>168</v>
      </c>
    </row>
    <row r="2" spans="1:3" x14ac:dyDescent="0.3">
      <c r="A2" s="306" t="s">
        <v>194</v>
      </c>
      <c r="B2" s="307" t="s">
        <v>266</v>
      </c>
      <c r="C2" s="308">
        <v>0.12</v>
      </c>
    </row>
    <row r="3" spans="1:3" x14ac:dyDescent="0.3">
      <c r="A3" s="306" t="s">
        <v>176</v>
      </c>
      <c r="B3" s="307" t="s">
        <v>169</v>
      </c>
      <c r="C3" s="308">
        <v>0.2</v>
      </c>
    </row>
    <row r="4" spans="1:3" x14ac:dyDescent="0.3">
      <c r="A4" s="306" t="s">
        <v>177</v>
      </c>
      <c r="B4" s="307" t="s">
        <v>169</v>
      </c>
      <c r="C4" s="308">
        <v>0.2</v>
      </c>
    </row>
    <row r="5" spans="1:3" x14ac:dyDescent="0.3">
      <c r="A5" s="306" t="s">
        <v>178</v>
      </c>
      <c r="B5" s="307" t="s">
        <v>267</v>
      </c>
      <c r="C5" s="308">
        <v>0.16</v>
      </c>
    </row>
    <row r="6" spans="1:3" x14ac:dyDescent="0.3">
      <c r="A6" s="306" t="s">
        <v>179</v>
      </c>
      <c r="B6" s="307" t="s">
        <v>267</v>
      </c>
      <c r="C6" s="308">
        <v>0.16</v>
      </c>
    </row>
    <row r="7" spans="1:3" x14ac:dyDescent="0.3">
      <c r="A7" s="303" t="s">
        <v>52</v>
      </c>
      <c r="B7" s="304"/>
      <c r="C7" s="305">
        <f>SUM(C2:C6)</f>
        <v>0.84000000000000008</v>
      </c>
    </row>
    <row r="8" spans="1:3" x14ac:dyDescent="0.3">
      <c r="A8" s="303"/>
      <c r="B8" s="304"/>
      <c r="C8" s="305"/>
    </row>
    <row r="9" spans="1:3" x14ac:dyDescent="0.3">
      <c r="A9" s="303" t="s">
        <v>170</v>
      </c>
      <c r="B9" s="309">
        <v>0</v>
      </c>
      <c r="C9" s="310"/>
    </row>
    <row r="10" spans="1:3" x14ac:dyDescent="0.3">
      <c r="A10" s="303" t="s">
        <v>171</v>
      </c>
      <c r="B10" s="309"/>
      <c r="C10" s="310"/>
    </row>
    <row r="11" spans="1:3" x14ac:dyDescent="0.3">
      <c r="A11" s="303" t="s">
        <v>172</v>
      </c>
      <c r="B11" s="309">
        <f>IF(B9=0,B10*C7,(B10*C7*(1-(B9/4))))</f>
        <v>0</v>
      </c>
      <c r="C11" s="310"/>
    </row>
    <row r="12" spans="1:3" x14ac:dyDescent="0.3">
      <c r="A12" s="303" t="s">
        <v>173</v>
      </c>
      <c r="B12" s="311">
        <v>0</v>
      </c>
      <c r="C12" s="312"/>
    </row>
    <row r="13" spans="1:3" x14ac:dyDescent="0.3">
      <c r="A13" s="303" t="s">
        <v>52</v>
      </c>
      <c r="B13" s="313">
        <f>SUM(B11:B12)</f>
        <v>0</v>
      </c>
      <c r="C13" s="310"/>
    </row>
    <row r="14" spans="1:3" x14ac:dyDescent="0.3">
      <c r="A14" s="303" t="s">
        <v>174</v>
      </c>
      <c r="B14" s="309"/>
      <c r="C14" s="310"/>
    </row>
    <row r="15" spans="1:3" x14ac:dyDescent="0.3">
      <c r="A15" s="303" t="s">
        <v>175</v>
      </c>
      <c r="B15" s="313">
        <f>SUM(B13:B14)</f>
        <v>0</v>
      </c>
      <c r="C15" s="310"/>
    </row>
    <row r="17" spans="1:2" x14ac:dyDescent="0.3">
      <c r="A17" s="303" t="s">
        <v>195</v>
      </c>
      <c r="B17" s="17"/>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Personal File</vt:lpstr>
      <vt:lpstr>Skills</vt:lpstr>
      <vt:lpstr>Spells</vt:lpstr>
      <vt:lpstr>Spellcasting</vt:lpstr>
      <vt:lpstr>Feats</vt:lpstr>
      <vt:lpstr>Martial</vt:lpstr>
      <vt:lpstr>Equipment</vt:lpstr>
      <vt:lpstr>XP Awards</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2022-03-06T12:38:37Z</dcterms:modified>
</cp:coreProperties>
</file>