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A\Juegos\FoL\NPCs\"/>
    </mc:Choice>
  </mc:AlternateContent>
  <xr:revisionPtr revIDLastSave="0" documentId="13_ncr:1_{31F35C90-DE5E-472B-B3EC-D41DC3AEE3D8}"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ystra" sheetId="27" r:id="rId3"/>
    <sheet name="Spells" sheetId="26"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Mystra!$A$1:$H$40</definedName>
    <definedName name="_xlnm.Print_Area" localSheetId="0">'Personal File'!$A$1:$H$42</definedName>
    <definedName name="_xlnm.Print_Area" localSheetId="1">Skills!$A$1:$K$34</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6" l="1"/>
  <c r="B10" i="4"/>
  <c r="I10" i="6" l="1"/>
  <c r="D10" i="6"/>
  <c r="I15" i="6" l="1"/>
  <c r="D15" i="6"/>
  <c r="D8" i="6" l="1"/>
  <c r="D9" i="6"/>
  <c r="D11" i="6"/>
  <c r="D12" i="6"/>
  <c r="D13" i="6"/>
  <c r="D14" i="6"/>
  <c r="H38" i="15" l="1"/>
  <c r="H47" i="15" l="1"/>
  <c r="H46" i="15"/>
  <c r="H45" i="15"/>
  <c r="H44" i="15"/>
  <c r="H43" i="15"/>
  <c r="H42" i="15"/>
  <c r="H41" i="15"/>
  <c r="H40" i="15"/>
  <c r="H39" i="15"/>
  <c r="H37" i="15"/>
  <c r="H36" i="15"/>
  <c r="H35" i="15"/>
  <c r="H34" i="15"/>
  <c r="H33" i="15"/>
  <c r="H32" i="15"/>
  <c r="H31" i="15"/>
  <c r="H30" i="15"/>
  <c r="H29" i="15"/>
  <c r="H28" i="15"/>
  <c r="H27" i="15"/>
  <c r="H26" i="15"/>
  <c r="H25" i="15"/>
  <c r="H24" i="15"/>
  <c r="H23" i="15"/>
  <c r="H22" i="15"/>
  <c r="H21" i="15"/>
  <c r="H20" i="15"/>
  <c r="H19" i="15"/>
  <c r="H18" i="15"/>
  <c r="H17" i="15"/>
  <c r="H15" i="15"/>
  <c r="H14" i="15"/>
  <c r="H13" i="15"/>
  <c r="H12" i="15"/>
  <c r="H11" i="15"/>
  <c r="H10" i="15"/>
  <c r="H9" i="15"/>
  <c r="H8" i="15"/>
  <c r="H7" i="15"/>
  <c r="C18" i="20" l="1"/>
  <c r="F10" i="6" l="1"/>
  <c r="F15" i="6"/>
  <c r="F8" i="6"/>
  <c r="F11" i="6"/>
  <c r="F12" i="6"/>
  <c r="F13" i="6"/>
  <c r="F9" i="6"/>
  <c r="F14" i="6"/>
  <c r="F43" i="15"/>
  <c r="B19" i="6" l="1"/>
  <c r="G24" i="6" l="1"/>
  <c r="E11" i="4" l="1"/>
  <c r="I14" i="6"/>
  <c r="B5" i="15"/>
  <c r="B4" i="15"/>
  <c r="B3" i="15"/>
  <c r="I4" i="6" l="1"/>
  <c r="J10" i="26" l="1"/>
  <c r="I8" i="26" l="1"/>
  <c r="F5" i="15" l="1"/>
  <c r="F4" i="15"/>
  <c r="F3" i="15"/>
  <c r="B49" i="15" l="1"/>
  <c r="E61" i="15"/>
  <c r="B14" i="4"/>
  <c r="B13" i="4"/>
  <c r="B12" i="4"/>
  <c r="I12" i="6" l="1"/>
  <c r="I8" i="6" l="1"/>
  <c r="I9" i="6"/>
  <c r="I11" i="6"/>
  <c r="I13" i="6" l="1"/>
  <c r="G24" i="19" l="1"/>
  <c r="I3" i="6" l="1"/>
  <c r="H16" i="15" l="1"/>
  <c r="I5" i="6" l="1"/>
  <c r="G8" i="26" l="1"/>
  <c r="J8" i="26"/>
  <c r="E13" i="4" l="1"/>
  <c r="H5" i="15" l="1"/>
  <c r="H4" i="15"/>
  <c r="H3" i="15"/>
  <c r="C17" i="4" l="1"/>
  <c r="C16" i="4"/>
  <c r="C15" i="4"/>
  <c r="C14" i="4"/>
  <c r="E14" i="4" s="1"/>
  <c r="C13" i="4"/>
  <c r="C12" i="4"/>
  <c r="E15" i="4" l="1"/>
  <c r="E17" i="4" s="1"/>
  <c r="H10" i="6"/>
  <c r="J10" i="6" s="1"/>
  <c r="H15" i="6"/>
  <c r="J15" i="6" s="1"/>
  <c r="H13" i="6"/>
  <c r="H12" i="6"/>
  <c r="J12" i="6" s="1"/>
  <c r="J11" i="6"/>
  <c r="H14" i="6"/>
  <c r="J14" i="6" s="1"/>
  <c r="H9" i="6"/>
  <c r="J9" i="6" s="1"/>
  <c r="B11" i="4"/>
  <c r="H8" i="6"/>
  <c r="E59" i="15"/>
  <c r="E60" i="15"/>
  <c r="O4" i="26"/>
  <c r="O3" i="26"/>
  <c r="C4" i="26"/>
  <c r="C3" i="26"/>
  <c r="C10" i="6"/>
  <c r="C12" i="6"/>
  <c r="C13" i="6"/>
  <c r="C14" i="6"/>
  <c r="C11" i="6"/>
  <c r="C9" i="6"/>
  <c r="C8" i="6"/>
  <c r="C15" i="6"/>
  <c r="H4" i="6"/>
  <c r="J4" i="6" s="1"/>
  <c r="E56" i="15"/>
  <c r="E57" i="15"/>
  <c r="E58" i="15"/>
  <c r="E55" i="15"/>
  <c r="J8" i="6"/>
  <c r="H3" i="6"/>
  <c r="J3" i="6" s="1"/>
  <c r="H5" i="6"/>
  <c r="J5" i="6" s="1"/>
  <c r="J13" i="6"/>
  <c r="D36" i="15"/>
  <c r="E36" i="15" s="1"/>
  <c r="E51" i="15"/>
  <c r="E50" i="15"/>
  <c r="D41" i="15"/>
  <c r="D31" i="15"/>
  <c r="E54" i="15"/>
  <c r="E53" i="15"/>
  <c r="D29" i="15"/>
  <c r="D28" i="15"/>
  <c r="D26" i="15"/>
  <c r="D25" i="15"/>
  <c r="E52" i="15"/>
  <c r="D30" i="15"/>
  <c r="D27" i="15"/>
  <c r="D3" i="15"/>
  <c r="E3" i="15" s="1"/>
  <c r="D4" i="15"/>
  <c r="G4" i="15" s="1"/>
  <c r="E16" i="4"/>
  <c r="D5" i="15"/>
  <c r="H48" i="15"/>
  <c r="H6" i="15"/>
  <c r="E49" i="15" l="1"/>
  <c r="G36" i="15"/>
  <c r="I36" i="15" s="1"/>
  <c r="G28" i="15"/>
  <c r="I28" i="15" s="1"/>
  <c r="E28" i="15"/>
  <c r="E31" i="15"/>
  <c r="G31" i="15"/>
  <c r="I31" i="15" s="1"/>
  <c r="G25" i="15"/>
  <c r="I25" i="15" s="1"/>
  <c r="E25" i="15"/>
  <c r="G29" i="15"/>
  <c r="I29" i="15" s="1"/>
  <c r="E29" i="15"/>
  <c r="G41" i="15"/>
  <c r="I41" i="15" s="1"/>
  <c r="E41" i="15"/>
  <c r="G26" i="15"/>
  <c r="I26" i="15" s="1"/>
  <c r="E26" i="15"/>
  <c r="G27" i="15"/>
  <c r="I27" i="15" s="1"/>
  <c r="E27" i="15"/>
  <c r="G30" i="15"/>
  <c r="I30" i="15" s="1"/>
  <c r="E30" i="15"/>
  <c r="E4" i="15"/>
  <c r="I4" i="15"/>
  <c r="G3" i="15"/>
  <c r="I3" i="15" s="1"/>
  <c r="E5" i="15"/>
  <c r="G5" i="15"/>
  <c r="I5" i="15" l="1"/>
  <c r="D24" i="15" l="1"/>
  <c r="E24" i="15" l="1"/>
  <c r="G24" i="15"/>
  <c r="I24" i="15" l="1"/>
  <c r="D42" i="15" l="1"/>
  <c r="D19" i="15"/>
  <c r="D44" i="15"/>
  <c r="D46" i="15"/>
  <c r="D43" i="15"/>
  <c r="D45" i="15"/>
  <c r="D38" i="15"/>
  <c r="D47" i="15"/>
  <c r="D34" i="15"/>
  <c r="D40" i="15"/>
  <c r="D14" i="15"/>
  <c r="D12" i="15"/>
  <c r="D48" i="15"/>
  <c r="D39" i="15"/>
  <c r="D37" i="15"/>
  <c r="D35" i="15"/>
  <c r="D33" i="15"/>
  <c r="D32"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33" i="15"/>
  <c r="G33" i="15"/>
  <c r="I33" i="15" s="1"/>
  <c r="E48" i="15"/>
  <c r="G48" i="15"/>
  <c r="E34" i="15"/>
  <c r="G34" i="15"/>
  <c r="I34" i="15" s="1"/>
  <c r="E43" i="15"/>
  <c r="G43" i="15"/>
  <c r="E19" i="15"/>
  <c r="G19" i="15"/>
  <c r="E7" i="15"/>
  <c r="G7" i="15"/>
  <c r="E17" i="15"/>
  <c r="G17" i="15"/>
  <c r="E22" i="15"/>
  <c r="G22" i="15"/>
  <c r="E35" i="15"/>
  <c r="G35" i="15"/>
  <c r="I35" i="15" s="1"/>
  <c r="E12" i="15"/>
  <c r="G12" i="15"/>
  <c r="E47" i="15"/>
  <c r="G47" i="15"/>
  <c r="E46" i="15"/>
  <c r="G46" i="15"/>
  <c r="E42" i="15"/>
  <c r="G42" i="15"/>
  <c r="E13" i="15"/>
  <c r="G13" i="15"/>
  <c r="I13" i="15" s="1"/>
  <c r="E18" i="15"/>
  <c r="G18" i="15"/>
  <c r="E23" i="15"/>
  <c r="G23" i="15"/>
  <c r="E37" i="15"/>
  <c r="G37" i="15"/>
  <c r="E14" i="15"/>
  <c r="G14" i="15"/>
  <c r="E38" i="15"/>
  <c r="G38" i="15"/>
  <c r="E11" i="15"/>
  <c r="G11" i="15"/>
  <c r="I11" i="15" s="1"/>
  <c r="E9" i="15"/>
  <c r="G9" i="15"/>
  <c r="E15" i="15"/>
  <c r="G15" i="15"/>
  <c r="E20" i="15"/>
  <c r="G20" i="15"/>
  <c r="E32" i="15"/>
  <c r="G32" i="15"/>
  <c r="E39" i="15"/>
  <c r="G39" i="15"/>
  <c r="I39" i="15" s="1"/>
  <c r="E40" i="15"/>
  <c r="G40" i="15"/>
  <c r="E45" i="15"/>
  <c r="G45" i="15"/>
  <c r="I45" i="15" s="1"/>
  <c r="E44" i="15"/>
  <c r="G44" i="15"/>
  <c r="I12" i="15" l="1"/>
  <c r="I46" i="15"/>
  <c r="I9" i="15"/>
  <c r="I23" i="15"/>
  <c r="I7" i="15"/>
  <c r="I32" i="15"/>
  <c r="I15" i="15"/>
  <c r="I37" i="15"/>
  <c r="I18" i="15"/>
  <c r="I17" i="15"/>
  <c r="I19" i="15"/>
  <c r="I16" i="15"/>
  <c r="I44" i="15"/>
  <c r="I40" i="15"/>
  <c r="I14" i="15"/>
  <c r="I47" i="15"/>
  <c r="I48" i="15"/>
  <c r="I21" i="15"/>
  <c r="I38" i="15"/>
  <c r="I42" i="15"/>
  <c r="I20" i="15"/>
  <c r="I43"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0" authorId="0" shapeId="0" xr:uid="{00000000-0006-0000-0000-000001000000}">
      <text>
        <r>
          <rPr>
            <i/>
            <sz val="12"/>
            <color indexed="81"/>
            <rFont val="Times New Roman"/>
            <family val="1"/>
          </rPr>
          <t>aid +1
haste +1
shaken -2</t>
        </r>
      </text>
    </comment>
    <comment ref="C11" authorId="0" shapeId="0" xr:uid="{00000000-0006-0000-0000-000002000000}">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E11" authorId="0" shapeId="0" xr:uid="{00000000-0006-0000-0000-000003000000}">
      <text>
        <r>
          <rPr>
            <b/>
            <sz val="12"/>
            <color indexed="81"/>
            <rFont val="Times New Roman"/>
            <family val="1"/>
          </rPr>
          <t xml:space="preserve">Price (Item Level):  </t>
        </r>
        <r>
          <rPr>
            <sz val="12"/>
            <color indexed="81"/>
            <rFont val="Times New Roman"/>
            <family val="1"/>
          </rPr>
          <t xml:space="preserve">9,000 gp (12th)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and swift (mental)
</t>
        </r>
        <r>
          <rPr>
            <b/>
            <sz val="12"/>
            <color indexed="81"/>
            <rFont val="Times New Roman"/>
            <family val="1"/>
          </rPr>
          <t xml:space="preserve">Weight:  </t>
        </r>
        <r>
          <rPr>
            <sz val="12"/>
            <color indexed="81"/>
            <rFont val="Times New Roman"/>
            <family val="1"/>
          </rPr>
          <t>1 lb.
These exquisite sandals are made of mithral and green leather, and they bear intricate overlapping pieces of leather crafted to look like leaves.
Wearing a pair of sandals of the light step provides you with a +10-foot enhancement bonus to your base land speed, and you can ignore any extra movement costs for difficult terrain (PH 148).  You also leave no tracks, as if affected by pass without trace.  When you activate these sandals, you gain the benefit of a water walk spell for 60 minutes.  You can share this effect with up to five allies adjacent to you when you activate the sandals, though doing this reduces the overall duration accordingly.
For example, if you share the effect with one other person, the duration is 30 minutes apiece; if you share it with 5 other people, the duration is 10 minutes apiece.  This ability functions once per day.
MIC 198</t>
        </r>
      </text>
    </comment>
    <comment ref="E12" authorId="0" shapeId="0" xr:uid="{00000000-0006-0000-0000-000004000000}">
      <text>
        <r>
          <rPr>
            <sz val="12"/>
            <color indexed="81"/>
            <rFont val="Times New Roman"/>
            <family val="1"/>
          </rPr>
          <t>See PHB 162</t>
        </r>
      </text>
    </comment>
    <comment ref="B13" authorId="0" shapeId="0" xr:uid="{00000000-0006-0000-0000-000005000000}">
      <text>
        <r>
          <rPr>
            <sz val="12"/>
            <color indexed="81"/>
            <rFont val="Times New Roman"/>
            <family val="1"/>
          </rPr>
          <t>Gloves of Dexterity +4</t>
        </r>
      </text>
    </comment>
    <comment ref="B14" authorId="0" shapeId="0" xr:uid="{00000000-0006-0000-0000-000006000000}">
      <text>
        <r>
          <rPr>
            <sz val="12"/>
            <color indexed="81"/>
            <rFont val="Times New Roman"/>
            <family val="1"/>
          </rPr>
          <t>Amulet of Health +2</t>
        </r>
      </text>
    </comment>
    <comment ref="E14" authorId="0" shapeId="0" xr:uid="{00000000-0006-0000-0000-000007000000}">
      <text>
        <r>
          <rPr>
            <sz val="12"/>
            <color indexed="81"/>
            <rFont val="Times New Roman"/>
            <family val="1"/>
          </rPr>
          <t>[(7 * 6 Cloistered Cleric) * 75%]
+ (7 * 0 Con)</t>
        </r>
      </text>
    </comment>
    <comment ref="E15" authorId="0" shapeId="0" xr:uid="{00000000-0006-0000-0000-000008000000}">
      <text>
        <r>
          <rPr>
            <sz val="12"/>
            <color indexed="81"/>
            <rFont val="Times New Roman"/>
            <family val="1"/>
          </rPr>
          <t>Vulnerable -1</t>
        </r>
        <r>
          <rPr>
            <i/>
            <sz val="12"/>
            <color indexed="81"/>
            <rFont val="Times New Roman"/>
            <family val="1"/>
          </rPr>
          <t xml:space="preserve">
shield of faith +3
surge of fortune +2
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Vest of Resistance +3</t>
        </r>
      </text>
    </comment>
    <comment ref="F4" authorId="0" shapeId="0" xr:uid="{00000000-0006-0000-0100-000002000000}">
      <text>
        <r>
          <rPr>
            <sz val="12"/>
            <color indexed="81"/>
            <rFont val="Times New Roman"/>
            <family val="1"/>
          </rPr>
          <t>Vest of Resistance +3</t>
        </r>
      </text>
    </comment>
    <comment ref="F5" authorId="0" shapeId="0" xr:uid="{00000000-0006-0000-0100-000003000000}">
      <text>
        <r>
          <rPr>
            <sz val="12"/>
            <color indexed="81"/>
            <rFont val="Times New Roman"/>
            <family val="1"/>
          </rPr>
          <t>Vest of Resistance +3</t>
        </r>
      </text>
    </comment>
    <comment ref="F43" authorId="0" shapeId="0" xr:uid="{00000000-0006-0000-0100-000004000000}">
      <text>
        <r>
          <rPr>
            <sz val="12"/>
            <color indexed="81"/>
            <rFont val="Times New Roman"/>
            <family val="1"/>
          </rPr>
          <t>Scout’s Headband +2
FRCS 37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200-000001000000}">
      <text>
        <r>
          <rPr>
            <sz val="12"/>
            <color indexed="81"/>
            <rFont val="Times New Roman"/>
            <family val="1"/>
          </rPr>
          <t>dead cockroach</t>
        </r>
      </text>
    </comment>
    <comment ref="D4" authorId="0" shapeId="0" xr:uid="{00000000-0006-0000-0200-000002000000}">
      <text>
        <r>
          <rPr>
            <sz val="12"/>
            <color indexed="81"/>
            <rFont val="Times New Roman"/>
            <family val="1"/>
          </rPr>
          <t>Tiny bell and a piece of fine silver wire</t>
        </r>
      </text>
    </comment>
    <comment ref="D5" authorId="0" shapeId="0" xr:uid="{00000000-0006-0000-0200-000003000000}">
      <text>
        <r>
          <rPr>
            <sz val="12"/>
            <color indexed="81"/>
            <rFont val="Times New Roman"/>
            <family val="1"/>
          </rPr>
          <t>Bait for said animal</t>
        </r>
      </text>
    </comment>
    <comment ref="D17" authorId="0" shapeId="0" xr:uid="{00000000-0006-0000-0200-000004000000}">
      <text>
        <r>
          <rPr>
            <sz val="12"/>
            <color indexed="81"/>
            <rFont val="Times New Roman"/>
            <family val="1"/>
          </rPr>
          <t>powdered black gemstone</t>
        </r>
      </text>
    </comment>
    <comment ref="D26" authorId="0" shapeId="0" xr:uid="{00000000-0006-0000-0200-000005000000}">
      <text>
        <r>
          <rPr>
            <sz val="12"/>
            <color indexed="81"/>
            <rFont val="Times New Roman"/>
            <family val="1"/>
          </rPr>
          <t>small mint leaf</t>
        </r>
      </text>
    </comment>
    <comment ref="D33" authorId="0" shapeId="0" xr:uid="{00000000-0006-0000-0200-000006000000}">
      <text>
        <r>
          <rPr>
            <sz val="12"/>
            <color indexed="81"/>
            <rFont val="Times New Roman"/>
            <family val="1"/>
          </rPr>
          <t>grasshopper leg</t>
        </r>
      </text>
    </comment>
    <comment ref="D34" authorId="0" shapeId="0" xr:uid="{00000000-0006-0000-0200-000007000000}">
      <text>
        <r>
          <rPr>
            <sz val="12"/>
            <color indexed="81"/>
            <rFont val="Times New Roman"/>
            <family val="1"/>
          </rPr>
          <t>kuo-toa scale</t>
        </r>
      </text>
    </comment>
    <comment ref="D36" authorId="0" shapeId="0" xr:uid="{00000000-0006-0000-0200-000008000000}">
      <text>
        <r>
          <rPr>
            <sz val="12"/>
            <color indexed="81"/>
            <rFont val="Times New Roman"/>
            <family val="1"/>
          </rPr>
          <t>Pinch of dirt</t>
        </r>
      </text>
    </comment>
    <comment ref="D41" authorId="0" shapeId="0" xr:uid="{00000000-0006-0000-0200-000009000000}">
      <text>
        <r>
          <rPr>
            <sz val="12"/>
            <color indexed="81"/>
            <rFont val="Times New Roman"/>
            <family val="1"/>
          </rPr>
          <t>fish scale</t>
        </r>
      </text>
    </comment>
    <comment ref="D43" authorId="0" shapeId="0" xr:uid="{00000000-0006-0000-0200-00000A000000}">
      <text>
        <r>
          <rPr>
            <sz val="12"/>
            <color indexed="81"/>
            <rFont val="Times New Roman"/>
            <family val="1"/>
          </rPr>
          <t>Prism, lens, or monocle</t>
        </r>
      </text>
    </comment>
    <comment ref="D50" authorId="0" shapeId="0" xr:uid="{00000000-0006-0000-0200-00000B000000}">
      <text>
        <r>
          <rPr>
            <sz val="12"/>
            <color indexed="81"/>
            <rFont val="Times New Roman"/>
            <family val="1"/>
          </rPr>
          <t>tern feathers/guano</t>
        </r>
      </text>
    </comment>
    <comment ref="D52" authorId="0" shapeId="0" xr:uid="{00000000-0006-0000-0200-00000C000000}">
      <text>
        <r>
          <rPr>
            <sz val="12"/>
            <color indexed="81"/>
            <rFont val="Times New Roman"/>
            <family val="1"/>
          </rPr>
          <t>spine from a sea urchin</t>
        </r>
      </text>
    </comment>
    <comment ref="D55" authorId="0" shapeId="0" xr:uid="{00000000-0006-0000-0200-00000D000000}">
      <text>
        <r>
          <rPr>
            <sz val="12"/>
            <color indexed="81"/>
            <rFont val="Times New Roman"/>
            <family val="1"/>
          </rPr>
          <t>MW arrow/bolt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J10" authorId="0" shapeId="0" xr:uid="{00000000-0006-0000-0300-000001000000}">
      <text>
        <r>
          <rPr>
            <sz val="12"/>
            <color indexed="81"/>
            <rFont val="Times New Roman"/>
            <family val="1"/>
          </rPr>
          <t>When casting ranger spells, a Shooting Star can treat her caster level as equal to one-half her ranger level +2.  If she also has arcane spellcasting ability rom another class, she can add her caster level from that calss to this value to determine her caster level.
Champions of Valor 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2" authorId="0" shapeId="0" xr:uid="{00000000-0006-0000-0400-000002000000}">
      <text>
        <r>
          <rPr>
            <sz val="12"/>
            <color indexed="81"/>
            <rFont val="Times New Roman"/>
            <family val="1"/>
          </rPr>
          <t>Because the members of this order need to report their findings over long distances, starting at 3rd level a Shooting Star develops the power to use the Weave itself to transmit short messages.  Once per day the character can transmit a message of 25 words or less to the nearest cleric, paladin, or ranger of Mystra (the Shooting Star can’t choose the recipient).  This ability only functions where the Weave is active, and it cannot jump planar boundaries; the ranger knows if either condition would prevent the message from reaching its target.  It is otherwise the equivalent of a sending spell.
This benefit replaces the Endurance bonus feat gained by a standard ranger at 3rd level.
Champions of Valor 50</t>
        </r>
      </text>
    </comment>
    <comment ref="A3" authorId="0" shapeId="0" xr:uid="{00000000-0006-0000-0400-00000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3" authorId="0" shapeId="0" xr:uid="{00000000-0006-0000-0400-000004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4" authorId="0" shapeId="0" xr:uid="{00000000-0006-0000-0400-00000500000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4" authorId="0" shapeId="0" xr:uid="{00000000-0006-0000-0400-00000600000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A5" authorId="0" shapeId="0" xr:uid="{00000000-0006-0000-0400-00000700000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When you use a projectile weapon, such as a bow, its range increment increases by one-half (multiply by 1-1/2).  When you use a thrown weapon, its range increment is doubled.
</t>
        </r>
        <r>
          <rPr>
            <b/>
            <sz val="12"/>
            <color indexed="81"/>
            <rFont val="Times New Roman"/>
            <family val="1"/>
          </rPr>
          <t xml:space="preserve">Special:  </t>
        </r>
        <r>
          <rPr>
            <sz val="12"/>
            <color indexed="81"/>
            <rFont val="Times New Roman"/>
            <family val="1"/>
          </rPr>
          <t>A fighter may select Far Shot as one of his fighter bonus feats (see page 38).
PHB 94</t>
        </r>
      </text>
    </comment>
    <comment ref="C5" authorId="0" shapeId="0" xr:uid="{00000000-0006-0000-0400-000008000000}">
      <text>
        <r>
          <rPr>
            <sz val="12"/>
            <color indexed="81"/>
            <rFont val="Times New Roman"/>
            <family val="1"/>
          </rPr>
          <t>At 4th level, a Shooting Star gains a bonus 1st-level ranger spell slot as if from a high Wisdom score.  At 8th level she gains a bonus 2nd-level ranger spell slot, at 11th level she gains a bonus 3rd-level ranger spell slot, and at 14th level she gains a bonus 4th-level ranger spell slot.
This benefit replaces the animal companion class feature gained by a standard ranger at 4th level.
Champions of Valor 50</t>
        </r>
      </text>
    </comment>
    <comment ref="A6" authorId="0" shapeId="0" xr:uid="{00000000-0006-0000-0400-000009000000}">
      <text>
        <r>
          <rPr>
            <sz val="12"/>
            <color indexed="81"/>
            <rFont val="Times New Roman"/>
            <family val="1"/>
          </rPr>
          <t xml:space="preserve">You have mastered a wide range of weapons.  Your training with one specific weapon now extends to other weapons of a similar sort.
</t>
        </r>
        <r>
          <rPr>
            <b/>
            <sz val="12"/>
            <color indexed="81"/>
            <rFont val="Times New Roman"/>
            <family val="1"/>
          </rPr>
          <t xml:space="preserve">Prerequisites:  </t>
        </r>
        <r>
          <rPr>
            <sz val="12"/>
            <color indexed="81"/>
            <rFont val="Times New Roman"/>
            <family val="1"/>
          </rPr>
          <t xml:space="preserve">Proficiency with selected weapon, Weapon Focus with selected weapon, Weapon Specialization with selected weapon, base attack bonus +8.
</t>
        </r>
        <r>
          <rPr>
            <b/>
            <sz val="12"/>
            <color indexed="81"/>
            <rFont val="Times New Roman"/>
            <family val="1"/>
          </rPr>
          <t xml:space="preserve">Benefit:  </t>
        </r>
        <r>
          <rPr>
            <sz val="12"/>
            <color indexed="81"/>
            <rFont val="Times New Roman"/>
            <family val="1"/>
          </rPr>
          <t xml:space="preserve">When you select this feat, choose bludgeoning, piercing, or slashing.  You must have Weapon Focus and Weapon Specialization with a ranged weapon that deals this type of damage.  When using any ranged weapon that has the damage type you selected, you gain a +2 bonus on attacks and a +2 bonus on damage.  In addition, you increase its range increment by 20 feet.
</t>
        </r>
        <r>
          <rPr>
            <b/>
            <sz val="12"/>
            <color indexed="81"/>
            <rFont val="Times New Roman"/>
            <family val="1"/>
          </rPr>
          <t xml:space="preserve">Special:  </t>
        </r>
        <r>
          <rPr>
            <sz val="12"/>
            <color indexed="81"/>
            <rFont val="Times New Roman"/>
            <family val="1"/>
          </rPr>
          <t>You can select this feat more than once.  Each time, you can select a new damage type.
A fighter can choose Ranged Weapon Mastery as one of his fighter bonus feats.
PHB II 80</t>
        </r>
      </text>
    </comment>
    <comment ref="C6" authorId="0" shapeId="0" xr:uid="{00000000-0006-0000-0400-00000A000000}">
      <text>
        <r>
          <rPr>
            <sz val="12"/>
            <color indexed="81"/>
            <rFont val="Times New Roman"/>
            <family val="1"/>
          </rPr>
          <t>When casting ranger spells, a Shooting Star can treat her caster level as equal to one-half her ranger level +2.  If she also has arcane spellcasting ability rom another class, she can add her caster level from that calss to this value to determine her caster level.
Champions of Valor 50</t>
        </r>
      </text>
    </comment>
    <comment ref="A7" authorId="0" shapeId="0" xr:uid="{00000000-0006-0000-0400-00000B000000}">
      <text>
        <r>
          <rPr>
            <sz val="12"/>
            <color indexed="81"/>
            <rFont val="Times New Roman"/>
            <family val="1"/>
          </rPr>
          <t xml:space="preserve">You are an expert at fi ring weapons with exceptional speed.
</t>
        </r>
        <r>
          <rPr>
            <b/>
            <sz val="12"/>
            <color indexed="81"/>
            <rFont val="Times New Roman"/>
            <family val="1"/>
          </rPr>
          <t xml:space="preserve">Prerequisites:  </t>
        </r>
        <r>
          <rPr>
            <sz val="12"/>
            <color indexed="81"/>
            <rFont val="Times New Roman"/>
            <family val="1"/>
          </rPr>
          <t xml:space="preserve">Manyshot, Point Blank Shot, Rapid Shot.
</t>
        </r>
        <r>
          <rPr>
            <b/>
            <sz val="12"/>
            <color indexed="81"/>
            <rFont val="Times New Roman"/>
            <family val="1"/>
          </rPr>
          <t xml:space="preserve">Benefit:  </t>
        </r>
        <r>
          <rPr>
            <sz val="12"/>
            <color indexed="81"/>
            <rFont val="Times New Roman"/>
            <family val="1"/>
          </rPr>
          <t xml:space="preserve">When using the Rapid Shot feat, you may ignore the –2 penalty on all your ranged attack rolls.
</t>
        </r>
        <r>
          <rPr>
            <b/>
            <sz val="12"/>
            <color indexed="81"/>
            <rFont val="Times New Roman"/>
            <family val="1"/>
          </rPr>
          <t xml:space="preserve">Special:  </t>
        </r>
        <r>
          <rPr>
            <sz val="12"/>
            <color indexed="81"/>
            <rFont val="Times New Roman"/>
            <family val="1"/>
          </rPr>
          <t>A fighter may select Improved Rapid Shot as one of his fighter bonus feats.
Complete Warrior</t>
        </r>
      </text>
    </comment>
    <comment ref="C7" authorId="0" shapeId="0" xr:uid="{00000000-0006-0000-0400-00000C000000}">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A8" authorId="0" shapeId="0" xr:uid="{00000000-0006-0000-0400-00000D000000}">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C8" authorId="0" shapeId="0" xr:uid="{00000000-0006-0000-0400-00000E00000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C11" authorId="0" shapeId="0" xr:uid="{00000000-0006-0000-0400-00000F000000}">
      <text>
        <r>
          <rPr>
            <sz val="12"/>
            <color indexed="81"/>
            <rFont val="Times New Roman"/>
            <family val="1"/>
          </rPr>
          <t xml:space="preserve">You can fire multiple arrows simultaneously against a nearby target.  </t>
        </r>
        <r>
          <rPr>
            <b/>
            <sz val="12"/>
            <color indexed="81"/>
            <rFont val="Times New Roman"/>
            <family val="1"/>
          </rPr>
          <t xml:space="preserve">Prerequisites:  </t>
        </r>
        <r>
          <rPr>
            <sz val="12"/>
            <color indexed="81"/>
            <rFont val="Times New Roman"/>
            <family val="1"/>
          </rPr>
          <t xml:space="preserve">Dex 17, Point Blank Shot, Rapid Shot, base attack bonus +6
</t>
        </r>
        <r>
          <rPr>
            <b/>
            <sz val="12"/>
            <color indexed="81"/>
            <rFont val="Times New Roman"/>
            <family val="1"/>
          </rPr>
          <t xml:space="preserve">Benefit:  </t>
        </r>
        <r>
          <rPr>
            <sz val="12"/>
            <color indexed="81"/>
            <rFont val="Times New Roman"/>
            <family val="1"/>
          </rPr>
          <t xml:space="preserve">As a standard action, you may fire two arrows at a single opponent within 30 feet.  Both arrows use the same attack roll (with a –4 penalty) to determine success and deal damage normally (but see Special).
For every five points of base attack bonus you have above +6, you may add one additional arrow to this attack, to a maximum of four arrows at a base attack bonus of +16.  However, each arrow after the second adds a cumulative –2 penalty on the attack roll (for a total penalty of –6 for three arrows and –8 for four).
Damage reduction and other resistances apply separately against each arrow fired.
</t>
        </r>
        <r>
          <rPr>
            <b/>
            <sz val="12"/>
            <color indexed="81"/>
            <rFont val="Times New Roman"/>
            <family val="1"/>
          </rPr>
          <t xml:space="preserve">Special:  </t>
        </r>
        <r>
          <rPr>
            <sz val="12"/>
            <color indexed="81"/>
            <rFont val="Times New Roman"/>
            <family val="1"/>
          </rPr>
          <t>Regardless of the number of arrows you fire, you apply precision-based damage (such as sneak attack damage) only once.  If you score a critical hit, only the first arrow fired deals critical damage; all others deal regular damage.
A fighter may select Manyshot as one of his fighter bonus feats (see page 38).
A 6th-level ranger who has chosen the archery combat style is treated as having Manyshot even if he does not have the prerequisites for it, but only when he is wearing light or no armor (see page 48).
PHB 98</t>
        </r>
      </text>
    </comment>
    <comment ref="C12" authorId="0" shapeId="0" xr:uid="{00000000-0006-0000-0400-000010000000}">
      <text>
        <r>
          <rPr>
            <sz val="12"/>
            <color indexed="81"/>
            <rFont val="Times New Roman"/>
            <family val="1"/>
          </rPr>
          <t xml:space="preserve">You have honed your archery ability in the wilds of the forest.
</t>
        </r>
        <r>
          <rPr>
            <b/>
            <sz val="12"/>
            <color indexed="81"/>
            <rFont val="Times New Roman"/>
            <family val="1"/>
          </rPr>
          <t xml:space="preserve">Prerequisites:  </t>
        </r>
        <r>
          <rPr>
            <sz val="12"/>
            <color indexed="81"/>
            <rFont val="Times New Roman"/>
            <family val="1"/>
          </rPr>
          <t xml:space="preserve">Point Blank Shot, base attack bonus +6.
</t>
        </r>
        <r>
          <rPr>
            <b/>
            <sz val="12"/>
            <color indexed="81"/>
            <rFont val="Times New Roman"/>
            <family val="1"/>
          </rPr>
          <t xml:space="preserve">Benefit:  </t>
        </r>
        <r>
          <rPr>
            <sz val="12"/>
            <color indexed="81"/>
            <rFont val="Times New Roman"/>
            <family val="1"/>
          </rPr>
          <t xml:space="preserve">The Woodland Archer feat enables the use of three tactical maneuvers.
</t>
        </r>
        <r>
          <rPr>
            <b/>
            <sz val="12"/>
            <color indexed="81"/>
            <rFont val="Times New Roman"/>
            <family val="1"/>
          </rPr>
          <t xml:space="preserve">Adjust for Range:  </t>
        </r>
        <r>
          <rPr>
            <sz val="12"/>
            <color indexed="81"/>
            <rFont val="Times New Roman"/>
            <family val="1"/>
          </rPr>
          <t xml:space="preserve">To use this maneuver, you must shoot a projectile weapon against a foe and miss.  Subsequent shots you take against that foe this round gain a +4 bonus, because you’re able to quickly adjust your aim to compensate.
</t>
        </r>
        <r>
          <rPr>
            <b/>
            <sz val="12"/>
            <color indexed="81"/>
            <rFont val="Times New Roman"/>
            <family val="1"/>
          </rPr>
          <t xml:space="preserve">Pierce the Foliage:  </t>
        </r>
        <r>
          <rPr>
            <sz val="12"/>
            <color indexed="81"/>
            <rFont val="Times New Roman"/>
            <family val="1"/>
          </rPr>
          <t xml:space="preserve">To use this maneuver, you must hit a foe with a ranged attack despite the miss chance caused by concealment.  Shots you take against that foe in the next round don’t incur the miss chance because you’re able to exactly duplicate your draw and aim.
</t>
        </r>
        <r>
          <rPr>
            <b/>
            <sz val="12"/>
            <color indexed="81"/>
            <rFont val="Times New Roman"/>
            <family val="1"/>
          </rPr>
          <t xml:space="preserve">Moving Sniper:  </t>
        </r>
        <r>
          <rPr>
            <sz val="12"/>
            <color indexed="81"/>
            <rFont val="Times New Roman"/>
            <family val="1"/>
          </rPr>
          <t xml:space="preserve">To use this maneuver, you must succeed on a sniping attack (see the Hide skill description, page 76 of the Player’s Handbook), both hitting your intended target and successfully hiding thereafter.  If no one sees you, you can make a sniping attack again in the following round, taking a single move after your attack and before you hide (characters without this feat can only shoot and hide, not move as well).  As long as you continue to hit the target and avoid detection from an enemy, you can make a sniping attack on the move each round.
</t>
        </r>
        <r>
          <rPr>
            <b/>
            <sz val="12"/>
            <color indexed="81"/>
            <rFont val="Times New Roman"/>
            <family val="1"/>
          </rPr>
          <t xml:space="preserve">Special:  </t>
        </r>
        <r>
          <rPr>
            <sz val="12"/>
            <color indexed="81"/>
            <rFont val="Times New Roman"/>
            <family val="1"/>
          </rPr>
          <t>A fighter may select Woodland Archer as one of his fighter bonus feats.
Masters of the Wild OR RACES OF THE WILD</t>
        </r>
      </text>
    </comment>
    <comment ref="C13" authorId="0" shapeId="0" xr:uid="{00000000-0006-0000-0400-00001100000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4th.
</t>
        </r>
        <r>
          <rPr>
            <b/>
            <sz val="12"/>
            <color indexed="81"/>
            <rFont val="Times New Roman"/>
            <family val="1"/>
          </rPr>
          <t xml:space="preserve">Benefit:  </t>
        </r>
        <r>
          <rPr>
            <sz val="12"/>
            <color indexed="81"/>
            <rFont val="Times New Roman"/>
            <family val="1"/>
          </rPr>
          <t xml:space="preserve">You gain a +2 bonus on all damage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 ref="C17" authorId="0" shapeId="0" xr:uid="{00000000-0006-0000-0400-000012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t>
        </r>
      </text>
    </comment>
    <comment ref="C18" authorId="0" shapeId="0" xr:uid="{00000000-0006-0000-0400-000013000000}">
      <text>
        <r>
          <rPr>
            <sz val="12"/>
            <color indexed="81"/>
            <rFont val="Times New Roman"/>
            <family val="1"/>
          </rPr>
          <t>With each level the deepwood sniper gains, the range increments of her projectile weapons increase by +10 feet (added after all multipliers).  Thus, a 10th-level deepwood sniper who has the Far Shot feat would have a 280-foot range increment with a heavy crossbow (120 feet × 1.5 + 100 feet).
Masters of the Wild 52</t>
        </r>
      </text>
    </comment>
    <comment ref="C19" authorId="0" shapeId="0" xr:uid="{00000000-0006-0000-0400-000014000000}">
      <text>
        <r>
          <rPr>
            <sz val="12"/>
            <color indexed="81"/>
            <rFont val="Times New Roman"/>
            <family val="1"/>
          </rPr>
          <t>When the deepwood sniper reaches 2nd level, her miss chance against opponents with concealment drops by 10%.  Thus, she has a miss chance of 10% rather than 20% against an opponent with one-half concealment.  Her miss chance drops by an additional 10% per four deepwood sniper levels she gains thereafter, but this ability never reduces her miss chance against any opponent below 0%.
Masters of the Wild 52</t>
        </r>
      </text>
    </comment>
    <comment ref="C20" authorId="0" shapeId="0" xr:uid="{00000000-0006-0000-0400-000015000000}">
      <text>
        <r>
          <rPr>
            <sz val="12"/>
            <color indexed="81"/>
            <rFont val="Times New Roman"/>
            <family val="1"/>
          </rPr>
          <t>At 2nd level, the character can produce an effect identical to that of a magic weapon spell cast by a cleric of her deepwood sniper level.  This ability is usable once per day on projectile weapons only.
Masters of the Wild 52</t>
        </r>
      </text>
    </comment>
    <comment ref="C21" authorId="0" shapeId="0" xr:uid="{00000000-0006-0000-0400-000016000000}">
      <text>
        <r>
          <rPr>
            <sz val="12"/>
            <color indexed="81"/>
            <rFont val="Times New Roman"/>
            <family val="1"/>
          </rPr>
          <t>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500-000001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8" authorId="0" shapeId="0" xr:uid="{00000000-0006-0000-0500-000002000000}">
      <text>
        <r>
          <rPr>
            <sz val="12"/>
            <color indexed="81"/>
            <rFont val="Times New Roman"/>
            <family val="1"/>
          </rPr>
          <t xml:space="preserve">Weapon +1
Ranged Mastery +2
</t>
        </r>
        <r>
          <rPr>
            <b/>
            <sz val="12"/>
            <color indexed="51"/>
            <rFont val="Times New Roman"/>
            <family val="1"/>
          </rPr>
          <t>Greater Magic Weapon +3</t>
        </r>
      </text>
    </comment>
    <comment ref="E8" authorId="0" shapeId="0" xr:uid="{00000000-0006-0000-0500-000003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9" authorId="0" shapeId="0" xr:uid="{00000000-0006-0000-0500-000004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9" authorId="0" shapeId="0" xr:uid="{00000000-0006-0000-0500-000005000000}">
      <text>
        <r>
          <rPr>
            <sz val="12"/>
            <color indexed="81"/>
            <rFont val="Times New Roman"/>
            <family val="1"/>
          </rPr>
          <t xml:space="preserve">Weapon +1
Ranged Mastery +2
</t>
        </r>
        <r>
          <rPr>
            <b/>
            <sz val="12"/>
            <color indexed="51"/>
            <rFont val="Times New Roman"/>
            <family val="1"/>
          </rPr>
          <t>Greater Magic Weapon +3</t>
        </r>
      </text>
    </comment>
    <comment ref="E9" authorId="0" shapeId="0" xr:uid="{00000000-0006-0000-0500-000006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0" authorId="0" shapeId="0" xr:uid="{00000000-0006-0000-0500-000007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0" authorId="0" shapeId="0" xr:uid="{00000000-0006-0000-0500-000008000000}">
      <text>
        <r>
          <rPr>
            <sz val="12"/>
            <color indexed="81"/>
            <rFont val="Times New Roman"/>
            <family val="1"/>
          </rPr>
          <t xml:space="preserve">Weapon +1
Ranged Mastery +2
</t>
        </r>
        <r>
          <rPr>
            <b/>
            <sz val="12"/>
            <color indexed="51"/>
            <rFont val="Times New Roman"/>
            <family val="1"/>
          </rPr>
          <t>Greater Magic Weapon +3</t>
        </r>
      </text>
    </comment>
    <comment ref="E10" authorId="0" shapeId="0" xr:uid="{00000000-0006-0000-0500-000009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1" authorId="0" shapeId="0" xr:uid="{00000000-0006-0000-0500-00000A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1" authorId="0" shapeId="0" xr:uid="{00000000-0006-0000-0500-00000B000000}">
      <text>
        <r>
          <rPr>
            <sz val="12"/>
            <color indexed="81"/>
            <rFont val="Times New Roman"/>
            <family val="1"/>
          </rPr>
          <t xml:space="preserve">Weapon +1
Ranged Mastery +2
</t>
        </r>
        <r>
          <rPr>
            <b/>
            <sz val="12"/>
            <color indexed="51"/>
            <rFont val="Times New Roman"/>
            <family val="1"/>
          </rPr>
          <t>Greater Magic Weapon +3</t>
        </r>
      </text>
    </comment>
    <comment ref="E11" authorId="0" shapeId="0" xr:uid="{00000000-0006-0000-0500-00000C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2" authorId="0" shapeId="0" xr:uid="{00000000-0006-0000-0500-00000D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2" authorId="0" shapeId="0" xr:uid="{00000000-0006-0000-0500-00000E000000}">
      <text>
        <r>
          <rPr>
            <sz val="12"/>
            <color indexed="81"/>
            <rFont val="Times New Roman"/>
            <family val="1"/>
          </rPr>
          <t xml:space="preserve">Weapon +1
Ranged Mastery +2
</t>
        </r>
        <r>
          <rPr>
            <b/>
            <sz val="12"/>
            <color indexed="51"/>
            <rFont val="Times New Roman"/>
            <family val="1"/>
          </rPr>
          <t>Greater Magic Weapon +3</t>
        </r>
      </text>
    </comment>
    <comment ref="E12" authorId="0" shapeId="0" xr:uid="{00000000-0006-0000-0500-00000F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3" authorId="0" shapeId="0" xr:uid="{00000000-0006-0000-0500-000010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3" authorId="0" shapeId="0" xr:uid="{00000000-0006-0000-0500-000011000000}">
      <text>
        <r>
          <rPr>
            <sz val="12"/>
            <color indexed="81"/>
            <rFont val="Times New Roman"/>
            <family val="1"/>
          </rPr>
          <t xml:space="preserve">Weapon +1
Ranged Mastery +2
</t>
        </r>
        <r>
          <rPr>
            <b/>
            <sz val="12"/>
            <color indexed="51"/>
            <rFont val="Times New Roman"/>
            <family val="1"/>
          </rPr>
          <t>Greater Magic Weapon +3</t>
        </r>
      </text>
    </comment>
    <comment ref="E13" authorId="0" shapeId="0" xr:uid="{00000000-0006-0000-0500-000012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4" authorId="0" shapeId="0" xr:uid="{00000000-0006-0000-0500-000013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4" authorId="0" shapeId="0" xr:uid="{00000000-0006-0000-0500-000014000000}">
      <text>
        <r>
          <rPr>
            <sz val="12"/>
            <color indexed="81"/>
            <rFont val="Times New Roman"/>
            <family val="1"/>
          </rPr>
          <t xml:space="preserve">Weapon +1
Ranged Mastery +2
</t>
        </r>
        <r>
          <rPr>
            <b/>
            <sz val="12"/>
            <color indexed="51"/>
            <rFont val="Times New Roman"/>
            <family val="1"/>
          </rPr>
          <t>Greater Magic Weapon +3</t>
        </r>
      </text>
    </comment>
    <comment ref="E14" authorId="0" shapeId="0" xr:uid="{00000000-0006-0000-0500-000015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C15" authorId="0" shapeId="0" xr:uid="{00000000-0006-0000-0500-000016000000}">
      <text>
        <r>
          <rPr>
            <sz val="12"/>
            <color indexed="81"/>
            <rFont val="Times New Roman"/>
            <family val="1"/>
          </rPr>
          <t xml:space="preserve">+1 Weapon
Weapon Specialization +2
Ranged Mastery +2
Strength +2
</t>
        </r>
        <r>
          <rPr>
            <b/>
            <sz val="12"/>
            <color indexed="51"/>
            <rFont val="Times New Roman"/>
            <family val="1"/>
          </rPr>
          <t>Greater Magic Weapon +3</t>
        </r>
      </text>
    </comment>
    <comment ref="D15" authorId="0" shapeId="0" xr:uid="{00000000-0006-0000-0500-000017000000}">
      <text>
        <r>
          <rPr>
            <sz val="12"/>
            <color indexed="81"/>
            <rFont val="Times New Roman"/>
            <family val="1"/>
          </rPr>
          <t xml:space="preserve">Weapon +1
Ranged Mastery +2
</t>
        </r>
        <r>
          <rPr>
            <b/>
            <sz val="12"/>
            <color indexed="51"/>
            <rFont val="Times New Roman"/>
            <family val="1"/>
          </rPr>
          <t>Greater Magic Weapon +3</t>
        </r>
      </text>
    </comment>
    <comment ref="E15" authorId="0" shapeId="0" xr:uid="{00000000-0006-0000-0500-000018000000}">
      <text>
        <r>
          <rPr>
            <sz val="12"/>
            <color indexed="81"/>
            <rFont val="Times New Roman"/>
            <family val="1"/>
          </rPr>
          <t>At 1st level, all projectiles the deepwood sniper fires behave as if they were keen weapons in addition to any other properties they might possess. Thus, a normal arrow fired by a deepwood sniper has a threat range of 19–20 instead of 20. This effect does not stack with any other keen effect.
Masters of the Wild 52
When the deepwood sniper reaches 2nd level, the critical damage multipliers of all her projectile weapons increase by +1.  Thus, an arrow that normally deals damage ×3 on a critical hit instead does damage ×4 in her hands.  When she reaches 7th level, these critical multipliers increase by an additional +1.
Masters of the Wild 52</t>
        </r>
      </text>
    </comment>
    <comment ref="D18" authorId="0" shapeId="0" xr:uid="{00000000-0006-0000-0500-000019000000}">
      <text>
        <r>
          <rPr>
            <sz val="12"/>
            <color indexed="81"/>
            <rFont val="Times New Roman"/>
            <family val="1"/>
          </rPr>
          <t>Balance, Climb, Escape Artist, Hide, Jump, Move Silently, Sleight of Hand, Tumble.</t>
        </r>
      </text>
    </comment>
    <comment ref="A19" authorId="0" shapeId="0" xr:uid="{00000000-0006-0000-0500-00001A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6th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10 lb.
This delicate-looking chain shirt is forged from a silver-white mithral alloy that gleams like starlight. 
Up to seven times per day, you can activate this +1 mithral shirt to fill your space with a billowing silver mist.  This gleaming fog grants you concealment against attacks but does not interfere with your vision.  The mist lasts for 1 minute per activation, and it remains in the space where you activated the effect (it doesn’t move with you if you leave that space).
MIC 20</t>
        </r>
      </text>
    </comment>
    <comment ref="E23" authorId="0" shapeId="0" xr:uid="{00000000-0006-0000-0500-00001B000000}">
      <text>
        <r>
          <rPr>
            <sz val="12"/>
            <color indexed="81"/>
            <rFont val="Times New Roman"/>
            <family val="1"/>
          </rPr>
          <t>This appears to be a typical arrow container capable of holding about twenty arrows.  It has three distinct portions, each with a nondimensional space allowing it to store far more than would normally be possible.  The first and smallest one can contain up to sixty objects of the same general size and shape as an arrow.  The second slightly longer compartment holds up to eighteen objects of the same general size and shape as a javelin. The third and longest portion of the case contains as many as six objects of the same general size and shape as a bow (spears, staffs, or the like). Once the owner has filled it, the quiver can produce any item she wishes, as if from a regular quiver or scabbard.  The quiver of Ehlonna weighs the same no matter what’s placed inside it.
DMG 265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600-000001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6" authorId="0" shapeId="0" xr:uid="{00000000-0006-0000-0600-000002000000}">
      <text>
        <r>
          <rPr>
            <b/>
            <sz val="12"/>
            <color indexed="81"/>
            <rFont val="Times New Roman"/>
            <family val="1"/>
          </rPr>
          <t xml:space="preserve">Price (Item Level):  </t>
        </r>
        <r>
          <rPr>
            <sz val="12"/>
            <color indexed="81"/>
            <rFont val="Times New Roman"/>
            <family val="1"/>
          </rPr>
          <t xml:space="preserve">9,000 gp (12th)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and swift (mental)
</t>
        </r>
        <r>
          <rPr>
            <b/>
            <sz val="12"/>
            <color indexed="81"/>
            <rFont val="Times New Roman"/>
            <family val="1"/>
          </rPr>
          <t xml:space="preserve">Weight:  </t>
        </r>
        <r>
          <rPr>
            <sz val="12"/>
            <color indexed="81"/>
            <rFont val="Times New Roman"/>
            <family val="1"/>
          </rPr>
          <t>1 lb.
These exquisite sandals are made of mithral and green leather, and they bear intricate overlapping pieces of leather crafted to look like leaves.
Wearing a pair of sandals of the light step provides you with a +10-foot enhancement bonus to your base land speed, and you can ignore any extra movement costs for difficult terrain (PH 148).  You also leave no tracks, as if affected by pass without trace.  When you activate these sandals, you gain the benefit of a water walk spell for 60 minutes.  You can share this effect with up to five allies adjacent to you when you activate the sandals, though doing this reduces the overall duration accordingly.
For example, if you share the effect with one other person, the duration is 30 minutes apiece; if you share it with 5 other people, the duration is 10 minutes apiece.  This ability functions once per day.
MIC 198</t>
        </r>
      </text>
    </comment>
  </commentList>
</comments>
</file>

<file path=xl/sharedStrings.xml><?xml version="1.0" encoding="utf-8"?>
<sst xmlns="http://schemas.openxmlformats.org/spreadsheetml/2006/main" count="797" uniqueCount="339">
  <si>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</si>
  <si>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</si>
  <si>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</si>
  <si>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</si>
  <si>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</si>
  <si>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</si>
  <si>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</si>
  <si>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</si>
  <si>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</si>
  <si>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</si>
  <si>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</si>
  <si>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</si>
  <si>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</si>
  <si>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</si>
  <si>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</si>
  <si>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</si>
  <si>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</si>
  <si>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</si>
  <si>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</si>
  <si>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</si>
  <si>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</si>
  <si>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</si>
  <si>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</si>
  <si>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</si>
  <si>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</si>
  <si>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</si>
  <si>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</si>
  <si>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</si>
  <si>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</si>
  <si>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</si>
  <si>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</si>
  <si>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</si>
  <si>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</si>
  <si>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</si>
  <si>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</si>
  <si>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</si>
  <si>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</si>
  <si>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</si>
  <si>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</si>
  <si>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</si>
  <si>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</si>
  <si>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</si>
  <si>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</si>
  <si>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</si>
  <si>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</si>
  <si>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</si>
  <si>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</si>
  <si>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</si>
  <si>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</si>
  <si>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</si>
  <si>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</si>
  <si>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</si>
  <si>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</si>
  <si>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</si>
  <si>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</si>
  <si>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</si>
  <si>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</si>
  <si>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</si>
  <si>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</si>
  <si>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</si>
  <si>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</si>
  <si>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</si>
  <si>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</si>
  <si>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</si>
  <si>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</si>
  <si>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</si>
  <si>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</si>
  <si>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Universal</t>
  </si>
  <si>
    <t>1 min/lvl</t>
  </si>
  <si>
    <t>Instant</t>
  </si>
  <si>
    <t>Personal</t>
  </si>
  <si>
    <t>10 min/lvl</t>
  </si>
  <si>
    <t>Conjuration</t>
  </si>
  <si>
    <t>1 rnd/lvl</t>
  </si>
  <si>
    <t>Spell</t>
  </si>
  <si>
    <t>Cast?</t>
  </si>
  <si>
    <t>Languages</t>
  </si>
  <si>
    <t>School</t>
  </si>
  <si>
    <t>60’</t>
  </si>
  <si>
    <t>Equipment Worn</t>
  </si>
  <si>
    <t>Item</t>
  </si>
  <si>
    <t>Effects/</t>
  </si>
  <si>
    <t>Notes</t>
  </si>
  <si>
    <t>Equipment Carried</t>
  </si>
  <si>
    <t>Check</t>
  </si>
  <si>
    <t>Arcane</t>
  </si>
  <si>
    <t>Speed</t>
  </si>
  <si>
    <t>25’ + 2½’/lvl</t>
  </si>
  <si>
    <t>Prepared Spells</t>
  </si>
  <si>
    <t>Divination</t>
  </si>
  <si>
    <t>Endure Elements</t>
  </si>
  <si>
    <t>24 hours</t>
  </si>
  <si>
    <t>1 day/lvl</t>
  </si>
  <si>
    <t>400’ + 40’/lvl</t>
  </si>
  <si>
    <t>Longstrider</t>
  </si>
  <si>
    <t>Sleight of Hand</t>
  </si>
  <si>
    <t>Survival</t>
  </si>
  <si>
    <t>Craft:  (type)</t>
  </si>
  <si>
    <t>DC</t>
  </si>
  <si>
    <t>Weapon Proficiencies</t>
  </si>
  <si>
    <t>Atk</t>
  </si>
  <si>
    <t>Components</t>
  </si>
  <si>
    <t>Casting</t>
  </si>
  <si>
    <t>V S</t>
  </si>
  <si>
    <t>1 SA</t>
  </si>
  <si>
    <t>1 hr/lvl</t>
  </si>
  <si>
    <t>V S DF</t>
  </si>
  <si>
    <t>V S M</t>
  </si>
  <si>
    <t>V S M/DF</t>
  </si>
  <si>
    <t>Delay Poison</t>
  </si>
  <si>
    <t>2 hrs/lvl</t>
  </si>
  <si>
    <t>V S F</t>
  </si>
  <si>
    <t>V</t>
  </si>
  <si>
    <t>1 round</t>
  </si>
  <si>
    <t>Detect Poison</t>
  </si>
  <si>
    <t>Read Magic</t>
  </si>
  <si>
    <t>1st</t>
  </si>
  <si>
    <t>2nd</t>
  </si>
  <si>
    <t>3rd</t>
  </si>
  <si>
    <t>4th</t>
  </si>
  <si>
    <t>Spells per Day</t>
  </si>
  <si>
    <t>Spell Level</t>
  </si>
  <si>
    <t>Wisdom Bonus</t>
  </si>
  <si>
    <t>Feats</t>
  </si>
  <si>
    <t>Roll</t>
  </si>
  <si>
    <t>Skill/Save</t>
  </si>
  <si>
    <t>30’</t>
  </si>
  <si>
    <t>Cleric Spells</t>
  </si>
  <si>
    <t>Necromancy</t>
  </si>
  <si>
    <t>Transmutation</t>
  </si>
  <si>
    <t>Enchantment</t>
  </si>
  <si>
    <t>Knowledge:  Religion</t>
  </si>
  <si>
    <t>Domain Spell</t>
  </si>
  <si>
    <t>Perform:  [type]</t>
  </si>
  <si>
    <t>Knowledge:  Arcana</t>
  </si>
  <si>
    <t>Knowledge:  The Planes</t>
  </si>
  <si>
    <t>Value</t>
  </si>
  <si>
    <t>Total Equity:</t>
  </si>
  <si>
    <t>x2</t>
  </si>
  <si>
    <t>Traveler’s Outfit</t>
  </si>
  <si>
    <t>eight</t>
  </si>
  <si>
    <t>Grapple, Unarmed Strike</t>
  </si>
  <si>
    <t>1d3</t>
  </si>
  <si>
    <t>Bludgeon</t>
  </si>
  <si>
    <t>Ebon Eyes</t>
  </si>
  <si>
    <t>Knowledge:  History</t>
  </si>
  <si>
    <t>Knowledge:  Nature</t>
  </si>
  <si>
    <t>Knowledge:  Dungeoneering</t>
  </si>
  <si>
    <t>Knowledge:  Local</t>
  </si>
  <si>
    <t>Knowledge:  Engineering</t>
  </si>
  <si>
    <t>Scrolls and Potions</t>
  </si>
  <si>
    <t>CLev</t>
  </si>
  <si>
    <t>Tomorrow’s Spells</t>
  </si>
  <si>
    <t>Mystra</t>
  </si>
  <si>
    <t>Female</t>
  </si>
  <si>
    <t>5’ 4”</t>
  </si>
  <si>
    <t>Low-light Vision</t>
  </si>
  <si>
    <t>Flaws</t>
  </si>
  <si>
    <t>Spells Granted by Mystra</t>
  </si>
  <si>
    <t>Stash:  ?</t>
  </si>
  <si>
    <t>1d8</t>
  </si>
  <si>
    <t>Quiver of Ehlonna</t>
  </si>
  <si>
    <t>-</t>
  </si>
  <si>
    <t>Profession:  [type]</t>
  </si>
  <si>
    <t>Spell Compendium</t>
  </si>
  <si>
    <t>Reference</t>
  </si>
  <si>
    <t>Page</t>
  </si>
  <si>
    <t>PHB</t>
  </si>
  <si>
    <t>Swift</t>
  </si>
  <si>
    <t>Frostburn</t>
  </si>
  <si>
    <t>Detect Animals/Plants</t>
  </si>
  <si>
    <t>40’</t>
  </si>
  <si>
    <t>Book of Exalted Deeds</t>
  </si>
  <si>
    <t>Eyes of the Avoral</t>
  </si>
  <si>
    <t>V S F DF</t>
  </si>
  <si>
    <t>V DF</t>
  </si>
  <si>
    <t>Complete Adventurer</t>
  </si>
  <si>
    <t>Planar Handbook</t>
  </si>
  <si>
    <t>Complete Divine</t>
  </si>
  <si>
    <t>Resist Planar Alignment</t>
  </si>
  <si>
    <t>S DF</t>
  </si>
  <si>
    <t>Healing Lorecall</t>
  </si>
  <si>
    <t>Champions of Valor</t>
  </si>
  <si>
    <t>Resist Energy</t>
  </si>
  <si>
    <t>Stormwrack</t>
  </si>
  <si>
    <t>S</t>
  </si>
  <si>
    <t>Champions of Ruin</t>
  </si>
  <si>
    <t>Complete Arcane</t>
  </si>
  <si>
    <t>Races of the Wild</t>
  </si>
  <si>
    <t>Vulnerable (-1 to AC)</t>
  </si>
  <si>
    <t>Total Spells</t>
  </si>
  <si>
    <t>+1 within 30’</t>
  </si>
  <si>
    <t>Caster Level:</t>
  </si>
  <si>
    <t>Dagger</t>
  </si>
  <si>
    <t>1d4</t>
  </si>
  <si>
    <t>19-20, x2</t>
  </si>
  <si>
    <t>Prcg/Slsh</t>
  </si>
  <si>
    <t>q</t>
  </si>
  <si>
    <t>Chaotic Good</t>
  </si>
  <si>
    <t>Human</t>
  </si>
  <si>
    <t>Fighter</t>
  </si>
  <si>
    <t>ranger (shooting star) 3</t>
  </si>
  <si>
    <t>ranger (shooting star) 4</t>
  </si>
  <si>
    <t>fighter 1</t>
  </si>
  <si>
    <t>fighter 2</t>
  </si>
  <si>
    <t>fighter 3</t>
  </si>
  <si>
    <t>fighter 4</t>
  </si>
  <si>
    <t>Amulet of Health +2</t>
  </si>
  <si>
    <t>Gloves of Dexterity +4</t>
  </si>
  <si>
    <t>Vest of Resistance +3</t>
  </si>
  <si>
    <t>Scout’s Headband</t>
  </si>
  <si>
    <t>Sandals of the Light Step</t>
  </si>
  <si>
    <t>DB Longbow +1, 2nd Shot</t>
  </si>
  <si>
    <t>DB Longbow +1, Rapid Shot</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</si>
  <si>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</si>
  <si>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Ranger Features</t>
  </si>
  <si>
    <t>Common</t>
  </si>
  <si>
    <t>All Weapons, Armor &amp; Shields</t>
  </si>
  <si>
    <t>Alarm</t>
  </si>
  <si>
    <t>Easy Trail</t>
  </si>
  <si>
    <t>Hide from Animals</t>
  </si>
  <si>
    <t>Deep Breath</t>
  </si>
  <si>
    <t>Summon Nature’s Ally I</t>
  </si>
  <si>
    <t>Arrow Mind</t>
  </si>
  <si>
    <t>Bloodhound</t>
  </si>
  <si>
    <t>Detect Snares &amp; Pits</t>
  </si>
  <si>
    <t>Guided Shot</t>
  </si>
  <si>
    <t>Insightful Feint</t>
  </si>
  <si>
    <t>Instant Locksmith</t>
  </si>
  <si>
    <t>Instant Search</t>
  </si>
  <si>
    <t>Lay of the Land</t>
  </si>
  <si>
    <t>Sniper’s Shot</t>
  </si>
  <si>
    <t>Speak with Animals</t>
  </si>
  <si>
    <t>Vine Strike</t>
  </si>
  <si>
    <t>Animal Messenger</t>
  </si>
  <si>
    <t>Calm Animals</t>
  </si>
  <si>
    <t>Charm Animal</t>
  </si>
  <si>
    <t>Enrage Animals</t>
  </si>
  <si>
    <t>Ease of Breath</t>
  </si>
  <si>
    <t>Naturewatch</t>
  </si>
  <si>
    <t>Accelerated Movement</t>
  </si>
  <si>
    <t>Embrace the Wild</t>
  </si>
  <si>
    <t>Entangle</t>
  </si>
  <si>
    <t>Exacting Shot</t>
  </si>
  <si>
    <t>Hawkeye</t>
  </si>
  <si>
    <t>Horrible Taste</t>
  </si>
  <si>
    <t>Kuo-Toa Skin</t>
  </si>
  <si>
    <t>Magic Fang</t>
  </si>
  <si>
    <t>Pass without Trace</t>
  </si>
  <si>
    <t>Quickswim</t>
  </si>
  <si>
    <t>Raptor’s Sight</t>
  </si>
  <si>
    <t>Silvered Claws</t>
  </si>
  <si>
    <t>Tern’s Persistence</t>
  </si>
  <si>
    <t>Traveler’s Mount</t>
  </si>
  <si>
    <t>Urchin’s Spines</t>
  </si>
  <si>
    <t>Webfoot</t>
  </si>
  <si>
    <t>Woodwisp Arrow</t>
  </si>
  <si>
    <t>3 FR</t>
  </si>
  <si>
    <t>Immediate</t>
  </si>
  <si>
    <t xml:space="preserve">Book of Exalted Deeds </t>
  </si>
  <si>
    <t>Ranger</t>
  </si>
  <si>
    <t>ranger 1</t>
  </si>
  <si>
    <t>ranger 2</t>
  </si>
  <si>
    <t>ranger 5</t>
  </si>
  <si>
    <r>
      <t>Shooting Star</t>
    </r>
    <r>
      <rPr>
        <vertAlign val="subscript"/>
        <sz val="13"/>
        <rFont val="Times New Roman"/>
        <family val="1"/>
      </rPr>
      <t>3,4</t>
    </r>
  </si>
  <si>
    <t>S.Star Bonus</t>
  </si>
  <si>
    <t>MW Longsword</t>
  </si>
  <si>
    <t>Fighter Features</t>
  </si>
  <si>
    <t>Deepwood Sniper Features</t>
  </si>
  <si>
    <t>Deepwood Sniper</t>
  </si>
  <si>
    <t>Keen Arrows</t>
  </si>
  <si>
    <t>Concealment Reduction 10%</t>
  </si>
  <si>
    <t>Magic Weapon</t>
  </si>
  <si>
    <t>Projectile Improved Critical +1</t>
  </si>
  <si>
    <t>Human: Point Blank Shot</t>
  </si>
  <si>
    <t>1st: Weapon Focus ~ Longbow</t>
  </si>
  <si>
    <t>3rd: Precise Shot</t>
  </si>
  <si>
    <t>6th: Far Shot</t>
  </si>
  <si>
    <t>9th: Ranged Weapon Mastery ~ Piercing</t>
  </si>
  <si>
    <t>Flaw 1: Improved Rapid Shot</t>
  </si>
  <si>
    <t>Regional: Blooded</t>
  </si>
  <si>
    <t>Slashing</t>
  </si>
  <si>
    <t>Arrows</t>
  </si>
  <si>
    <t>Mithralmist Shirt</t>
  </si>
  <si>
    <t>F1: Manyshot</t>
  </si>
  <si>
    <t>F2: Woodland Archer</t>
  </si>
  <si>
    <t>SS3: Weavespeak</t>
  </si>
  <si>
    <t>R2: Combat Style: Archery (Rapid Shot)</t>
  </si>
  <si>
    <t>SS4: Bonus Spells</t>
  </si>
  <si>
    <t>SS4: Improved Spellcasting</t>
  </si>
  <si>
    <t>R1: Wild Empathy</t>
  </si>
  <si>
    <t>R1: Track</t>
  </si>
  <si>
    <t>F4: Weapon Specialization</t>
  </si>
  <si>
    <t>Composite Longbow</t>
  </si>
  <si>
    <t>115 lbs</t>
  </si>
  <si>
    <t>R1: Favored Enemy: Monstrous Humanoid</t>
  </si>
  <si>
    <t>Dragonbone Composite Longbow +1 Force +2 Strength</t>
  </si>
  <si>
    <t>Dragonbone Longbow, Single Shot</t>
  </si>
  <si>
    <t>Speak Language:  [type]</t>
  </si>
  <si>
    <t>Hunter’s Mercy</t>
  </si>
  <si>
    <t>Magic of Faerûn</t>
  </si>
  <si>
    <t>special</t>
  </si>
  <si>
    <t>Dragonbone Longbow, Manyshot (2)</t>
  </si>
  <si>
    <t>Dragonbone Longbow, Manyshot (3)</t>
  </si>
  <si>
    <r>
      <t xml:space="preserve">+1 </t>
    </r>
    <r>
      <rPr>
        <i/>
        <sz val="13"/>
        <rFont val="Times New Roman"/>
        <family val="1"/>
      </rPr>
      <t>haste</t>
    </r>
  </si>
  <si>
    <r>
      <t xml:space="preserve">DB Longbow +1, </t>
    </r>
    <r>
      <rPr>
        <i/>
        <sz val="12"/>
        <rFont val="Times New Roman"/>
        <family val="1"/>
      </rPr>
      <t>haste</t>
    </r>
  </si>
  <si>
    <t>DB Longbow +1, 3rd Shot</t>
  </si>
  <si>
    <t>NPC</t>
  </si>
  <si>
    <t>Race</t>
  </si>
  <si>
    <t>Age</t>
  </si>
  <si>
    <t>Class</t>
  </si>
  <si>
    <t>Region</t>
  </si>
  <si>
    <t>Sex</t>
  </si>
  <si>
    <t>Deity</t>
  </si>
  <si>
    <t>Height</t>
  </si>
  <si>
    <t>Alignment</t>
  </si>
  <si>
    <t>Weight</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</si>
  <si>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</si>
  <si>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</si>
  <si>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</si>
  <si>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</si>
  <si>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</si>
  <si>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</si>
  <si>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</si>
  <si>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</si>
  <si>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</si>
  <si>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</si>
  <si>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</si>
  <si>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</si>
  <si>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</si>
  <si>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</si>
  <si>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</si>
  <si>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AC</t>
  </si>
  <si>
    <t>Astrid</t>
  </si>
  <si>
    <t>Mintar</t>
  </si>
  <si>
    <t>Deepwood sniper 1</t>
  </si>
  <si>
    <t>Deepwood sniper 2</t>
  </si>
  <si>
    <t>19-20, x4</t>
  </si>
  <si>
    <t>-2 Shaken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</si>
</sst>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70"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sz val="13"/>
      <color rgb="FF0000FF"/>
      <name val="Times New Roman"/>
      <family val="1"/>
    </font>
    <font>
      <i/>
      <sz val="12"/>
      <color indexed="81"/>
      <name val="Times New Roman"/>
      <family val="1"/>
    </font>
    <font>
      <i/>
      <sz val="16"/>
      <color theme="0"/>
      <name val="Times New Roman"/>
      <family val="1"/>
    </font>
    <font>
      <i/>
      <sz val="18"/>
      <color theme="0" tint="-0.499984740745262"/>
      <name val="Times New Roman"/>
      <family val="1"/>
    </font>
    <font>
      <i/>
      <sz val="18"/>
      <color rgb="FF9966FF"/>
      <name val="Times New Roman"/>
      <family val="1"/>
    </font>
    <font>
      <sz val="13"/>
      <color rgb="FFFF0000"/>
      <name val="Times New Roman"/>
      <family val="1"/>
    </font>
    <font>
      <sz val="13"/>
      <color rgb="FFFFFF00"/>
      <name val="Times New Roman"/>
      <family val="1"/>
    </font>
    <font>
      <i/>
      <sz val="18"/>
      <color rgb="FF009900"/>
      <name val="Times New Roman"/>
      <family val="1"/>
    </font>
    <font>
      <sz val="13"/>
      <color rgb="FF009900"/>
      <name val="Times New Roman"/>
      <family val="1"/>
    </font>
    <font>
      <vertAlign val="subscript"/>
      <sz val="13"/>
      <name val="Times New Roman"/>
      <family val="1"/>
    </font>
    <font>
      <sz val="12"/>
      <name val="Times New Roman"/>
      <family val="1"/>
    </font>
    <font>
      <i/>
      <sz val="13"/>
      <color rgb="FF0000FF"/>
      <name val="Times New Roman"/>
      <family val="1"/>
    </font>
    <font>
      <b/>
      <sz val="12"/>
      <color indexed="51"/>
      <name val="Times New Roman"/>
      <family val="1"/>
    </font>
    <font>
      <i/>
      <sz val="13"/>
      <name val="Times New Roman"/>
      <family val="1"/>
    </font>
    <font>
      <i/>
      <sz val="12"/>
      <name val="Times New Roman"/>
      <family val="1"/>
    </font>
    <font>
      <b/>
      <sz val="13"/>
      <color rgb="FF00B0F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rgb="FF009900"/>
        <bgColor indexed="64"/>
      </patternFill>
    </fill>
    <fill>
      <patternFill patternType="solid">
        <fgColor theme="0" tint="-0.249977111117893"/>
        <bgColor indexed="55"/>
      </patternFill>
    </fill>
    <fill>
      <patternFill patternType="solid">
        <fgColor rgb="FFFFFF00"/>
        <bgColor indexed="64"/>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hair">
        <color indexed="64"/>
      </right>
      <top style="medium">
        <color indexed="64"/>
      </top>
      <bottom style="hair">
        <color indexed="64"/>
      </bottom>
      <diagonal/>
    </border>
    <border>
      <left style="double">
        <color indexed="64"/>
      </left>
      <right/>
      <top style="thin">
        <color indexed="64"/>
      </top>
      <bottom/>
      <diagonal/>
    </border>
    <border>
      <left style="double">
        <color indexed="64"/>
      </left>
      <right style="double">
        <color indexed="64"/>
      </right>
      <top/>
      <bottom style="double">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xf numFmtId="43" fontId="64" fillId="0" borderId="0" applyFont="0" applyFill="0" applyBorder="0" applyAlignment="0" applyProtection="0"/>
  </cellStyleXfs>
  <cellXfs count="461">
    <xf numFmtId="0" fontId="0" fillId="0" borderId="0" xfId="0"/>
    <xf numFmtId="9" fontId="7" fillId="0" borderId="28" xfId="2" applyFont="1" applyFill="1" applyBorder="1" applyAlignment="1">
      <alignment horizontal="center" vertical="center" shrinkToFit="1"/>
    </xf>
    <xf numFmtId="0" fontId="12" fillId="3" borderId="70" xfId="0" applyFont="1" applyFill="1" applyBorder="1" applyAlignment="1">
      <alignment horizontal="centerContinuous" vertical="center"/>
    </xf>
    <xf numFmtId="0" fontId="12" fillId="3" borderId="44" xfId="0" applyFont="1" applyFill="1" applyBorder="1" applyAlignment="1">
      <alignment horizontal="center" vertical="center"/>
    </xf>
    <xf numFmtId="0" fontId="12" fillId="3" borderId="44" xfId="0" applyFont="1" applyFill="1" applyBorder="1" applyAlignment="1">
      <alignment horizontal="center" vertical="center" wrapText="1"/>
    </xf>
    <xf numFmtId="0" fontId="12" fillId="3" borderId="44" xfId="0" applyNumberFormat="1" applyFont="1" applyFill="1" applyBorder="1" applyAlignment="1">
      <alignment horizontal="center" vertical="center" wrapText="1"/>
    </xf>
    <xf numFmtId="0" fontId="49" fillId="12" borderId="43" xfId="0" applyNumberFormat="1" applyFont="1" applyFill="1" applyBorder="1" applyAlignment="1">
      <alignment horizontal="center" vertical="center" wrapText="1"/>
    </xf>
    <xf numFmtId="0" fontId="12" fillId="3" borderId="44" xfId="0" applyNumberFormat="1" applyFont="1" applyFill="1" applyBorder="1" applyAlignment="1">
      <alignment horizontal="center" vertical="center"/>
    </xf>
    <xf numFmtId="0" fontId="12" fillId="3" borderId="71" xfId="0" applyFont="1" applyFill="1" applyBorder="1" applyAlignment="1">
      <alignment horizontal="center" vertical="center"/>
    </xf>
    <xf numFmtId="0" fontId="4" fillId="0" borderId="0" xfId="0" applyFont="1" applyBorder="1" applyAlignment="1">
      <alignment vertical="center"/>
    </xf>
    <xf numFmtId="0" fontId="53" fillId="0" borderId="36" xfId="0" applyFont="1" applyBorder="1" applyAlignment="1">
      <alignment horizontal="centerContinuous" vertical="center" wrapText="1"/>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37" fillId="2" borderId="67" xfId="0" applyFont="1" applyFill="1" applyBorder="1" applyAlignment="1">
      <alignment horizontal="right" vertical="center"/>
    </xf>
    <xf numFmtId="0" fontId="38" fillId="2" borderId="68" xfId="0" applyFont="1" applyFill="1" applyBorder="1" applyAlignment="1">
      <alignment horizontal="left" vertical="center"/>
    </xf>
    <xf numFmtId="0" fontId="20" fillId="2" borderId="68" xfId="0" applyFont="1" applyFill="1" applyBorder="1" applyAlignment="1">
      <alignment horizontal="left" vertical="center"/>
    </xf>
    <xf numFmtId="0" fontId="4" fillId="2" borderId="68" xfId="0" applyFont="1" applyFill="1" applyBorder="1" applyAlignment="1">
      <alignment horizontal="centerContinuous" vertical="center"/>
    </xf>
    <xf numFmtId="0" fontId="5" fillId="2" borderId="68" xfId="0" applyFont="1" applyFill="1" applyBorder="1" applyAlignment="1">
      <alignment horizontal="centerContinuous" vertical="center"/>
    </xf>
    <xf numFmtId="0" fontId="36" fillId="2" borderId="69"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7" fillId="0" borderId="2" xfId="0" applyFont="1" applyBorder="1" applyAlignment="1">
      <alignment horizontal="left" vertical="center"/>
    </xf>
    <xf numFmtId="0" fontId="6" fillId="4" borderId="72" xfId="0" applyFont="1" applyFill="1" applyBorder="1" applyAlignment="1">
      <alignment horizontal="right" vertical="center"/>
    </xf>
    <xf numFmtId="0" fontId="6" fillId="4" borderId="88" xfId="0" applyFont="1" applyFill="1" applyBorder="1" applyAlignment="1">
      <alignment horizontal="right" vertical="center"/>
    </xf>
    <xf numFmtId="49" fontId="7" fillId="0" borderId="73"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8" fillId="4" borderId="59"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7" xfId="0" applyFont="1" applyFill="1" applyBorder="1" applyAlignment="1">
      <alignment horizontal="right" vertical="center"/>
    </xf>
    <xf numFmtId="164" fontId="6" fillId="7" borderId="3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3" fillId="2" borderId="4" xfId="0" applyFont="1" applyFill="1" applyBorder="1" applyAlignment="1">
      <alignment horizontal="right" vertical="center"/>
    </xf>
    <xf numFmtId="0" fontId="11" fillId="4" borderId="57" xfId="0" applyFont="1" applyFill="1" applyBorder="1" applyAlignment="1">
      <alignment horizontal="right"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49" fontId="26" fillId="0" borderId="26" xfId="0" applyNumberFormat="1" applyFont="1" applyBorder="1" applyAlignment="1">
      <alignment horizontal="center" vertical="center"/>
    </xf>
    <xf numFmtId="0" fontId="11" fillId="4" borderId="58"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25"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6" fillId="0" borderId="1" xfId="0" applyFont="1" applyFill="1" applyBorder="1" applyAlignment="1">
      <alignment vertical="center"/>
    </xf>
    <xf numFmtId="0" fontId="7" fillId="0" borderId="27" xfId="0" applyFont="1" applyFill="1" applyBorder="1" applyAlignment="1">
      <alignment horizontal="center" vertical="center"/>
    </xf>
    <xf numFmtId="0" fontId="47" fillId="0" borderId="27" xfId="0" applyFont="1" applyFill="1" applyBorder="1" applyAlignment="1">
      <alignment horizontal="center" vertical="center" wrapText="1"/>
    </xf>
    <xf numFmtId="1" fontId="7" fillId="0" borderId="27" xfId="0" applyNumberFormat="1" applyFont="1" applyFill="1" applyBorder="1" applyAlignment="1">
      <alignment horizontal="center" vertical="center" wrapText="1"/>
    </xf>
    <xf numFmtId="0" fontId="44"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48" fillId="0" borderId="1" xfId="0" applyFont="1" applyFill="1" applyBorder="1" applyAlignment="1">
      <alignment vertical="center"/>
    </xf>
    <xf numFmtId="0" fontId="13" fillId="0" borderId="28" xfId="0" applyNumberFormat="1" applyFont="1" applyFill="1" applyBorder="1" applyAlignment="1">
      <alignment horizontal="center" vertical="center"/>
    </xf>
    <xf numFmtId="0" fontId="47" fillId="0" borderId="37" xfId="0" applyFont="1" applyFill="1" applyBorder="1" applyAlignment="1">
      <alignment vertical="center"/>
    </xf>
    <xf numFmtId="0" fontId="7" fillId="0" borderId="53" xfId="0" applyFont="1" applyFill="1" applyBorder="1" applyAlignment="1">
      <alignment horizontal="center" vertical="center"/>
    </xf>
    <xf numFmtId="0" fontId="49" fillId="0" borderId="53" xfId="0" applyFont="1" applyFill="1" applyBorder="1" applyAlignment="1">
      <alignment horizontal="center" vertical="center" wrapText="1"/>
    </xf>
    <xf numFmtId="1" fontId="7" fillId="0" borderId="53" xfId="0" applyNumberFormat="1" applyFont="1" applyFill="1" applyBorder="1" applyAlignment="1">
      <alignment horizontal="center" vertical="center" wrapText="1"/>
    </xf>
    <xf numFmtId="0" fontId="44" fillId="12" borderId="53" xfId="0" applyNumberFormat="1" applyFont="1" applyFill="1" applyBorder="1" applyAlignment="1">
      <alignment horizontal="center" vertical="center"/>
    </xf>
    <xf numFmtId="0" fontId="7" fillId="0" borderId="40"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49" fontId="24" fillId="0" borderId="27" xfId="0" applyNumberFormat="1" applyFont="1" applyFill="1" applyBorder="1" applyAlignment="1">
      <alignment horizontal="center" vertical="center"/>
    </xf>
    <xf numFmtId="0" fontId="24" fillId="0" borderId="28"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NumberFormat="1" applyFont="1" applyFill="1" applyBorder="1" applyAlignment="1">
      <alignment horizontal="center" vertical="center"/>
    </xf>
    <xf numFmtId="0" fontId="31" fillId="0" borderId="0" xfId="0" applyFont="1" applyBorder="1" applyAlignment="1">
      <alignment vertical="center"/>
    </xf>
    <xf numFmtId="0" fontId="7" fillId="8" borderId="27" xfId="0" applyNumberFormat="1" applyFont="1" applyFill="1" applyBorder="1" applyAlignment="1">
      <alignment horizontal="center" vertical="center"/>
    </xf>
    <xf numFmtId="49" fontId="7" fillId="8" borderId="28" xfId="0" applyNumberFormat="1" applyFont="1" applyFill="1" applyBorder="1" applyAlignment="1">
      <alignment horizontal="center" vertical="center"/>
    </xf>
    <xf numFmtId="0" fontId="7" fillId="8" borderId="29" xfId="0" quotePrefix="1"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7" xfId="0" applyNumberFormat="1" applyFont="1" applyFill="1" applyBorder="1" applyAlignment="1">
      <alignment horizontal="center" vertical="center"/>
    </xf>
    <xf numFmtId="0" fontId="28"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0" fontId="13" fillId="4" borderId="1" xfId="0" applyFont="1" applyFill="1" applyBorder="1" applyAlignment="1">
      <alignment vertical="center"/>
    </xf>
    <xf numFmtId="0" fontId="7" fillId="4" borderId="27" xfId="0" applyNumberFormat="1"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NumberFormat="1" applyFont="1" applyFill="1" applyBorder="1" applyAlignment="1">
      <alignment horizontal="center" vertical="center"/>
    </xf>
    <xf numFmtId="0" fontId="13" fillId="4" borderId="28" xfId="0" applyNumberFormat="1" applyFont="1" applyFill="1" applyBorder="1" applyAlignment="1">
      <alignment horizontal="center" vertical="center"/>
    </xf>
    <xf numFmtId="0" fontId="7" fillId="4" borderId="29" xfId="0"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4" fillId="5" borderId="28" xfId="0" applyNumberFormat="1" applyFont="1" applyFill="1" applyBorder="1" applyAlignment="1">
      <alignment horizontal="center" vertical="center"/>
    </xf>
    <xf numFmtId="0" fontId="13" fillId="0" borderId="8" xfId="0" applyFont="1" applyFill="1" applyBorder="1" applyAlignment="1">
      <alignment vertical="center"/>
    </xf>
    <xf numFmtId="0" fontId="7" fillId="0" borderId="52" xfId="0" applyNumberFormat="1" applyFont="1" applyFill="1" applyBorder="1" applyAlignment="1">
      <alignment horizontal="center" vertical="center"/>
    </xf>
    <xf numFmtId="49" fontId="24" fillId="0" borderId="52" xfId="0" applyNumberFormat="1" applyFont="1" applyFill="1" applyBorder="1" applyAlignment="1">
      <alignment horizontal="center" vertical="center"/>
    </xf>
    <xf numFmtId="0" fontId="24" fillId="0" borderId="54" xfId="0" applyNumberFormat="1" applyFont="1" applyFill="1" applyBorder="1" applyAlignment="1">
      <alignment horizontal="center" vertical="center"/>
    </xf>
    <xf numFmtId="0" fontId="13" fillId="0" borderId="54" xfId="0" applyNumberFormat="1" applyFont="1" applyFill="1" applyBorder="1" applyAlignment="1">
      <alignment horizontal="center" vertical="center"/>
    </xf>
    <xf numFmtId="49" fontId="7" fillId="0" borderId="54" xfId="0" applyNumberFormat="1" applyFont="1" applyFill="1" applyBorder="1" applyAlignment="1">
      <alignment horizontal="center" vertical="center"/>
    </xf>
    <xf numFmtId="0" fontId="44" fillId="12" borderId="52" xfId="0" applyNumberFormat="1" applyFont="1" applyFill="1" applyBorder="1" applyAlignment="1">
      <alignment horizontal="center" vertical="center"/>
    </xf>
    <xf numFmtId="0" fontId="7" fillId="0" borderId="41"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6"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7" fillId="0" borderId="0" xfId="0" applyFont="1" applyBorder="1" applyAlignment="1">
      <alignment vertical="center" wrapText="1"/>
    </xf>
    <xf numFmtId="0" fontId="2" fillId="0" borderId="0" xfId="0" applyFont="1" applyBorder="1" applyAlignment="1">
      <alignment vertical="center" wrapText="1"/>
    </xf>
    <xf numFmtId="0" fontId="16" fillId="0" borderId="0" xfId="0" applyFont="1" applyBorder="1" applyAlignment="1">
      <alignment horizontal="centerContinuous" vertical="center" wrapText="1"/>
    </xf>
    <xf numFmtId="0" fontId="40" fillId="0" borderId="0" xfId="0" applyFont="1" applyBorder="1" applyAlignment="1">
      <alignment horizontal="centerContinuous" vertical="center" wrapText="1"/>
    </xf>
    <xf numFmtId="0" fontId="4" fillId="0" borderId="5"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5" xfId="0" applyFont="1" applyBorder="1" applyAlignment="1">
      <alignment horizontal="right" vertical="center" wrapText="1"/>
    </xf>
    <xf numFmtId="0" fontId="2" fillId="0" borderId="62" xfId="0" applyFont="1" applyBorder="1" applyAlignment="1">
      <alignment horizontal="center" vertical="center" wrapText="1"/>
    </xf>
    <xf numFmtId="0" fontId="2" fillId="10" borderId="63" xfId="0" applyFont="1" applyFill="1" applyBorder="1" applyAlignment="1">
      <alignment horizontal="center" vertical="center" wrapText="1"/>
    </xf>
    <xf numFmtId="0" fontId="2" fillId="10" borderId="64" xfId="0" applyFont="1" applyFill="1" applyBorder="1" applyAlignment="1">
      <alignment horizontal="center" vertical="center" wrapText="1"/>
    </xf>
    <xf numFmtId="0" fontId="4" fillId="0" borderId="42" xfId="0" applyFont="1" applyBorder="1" applyAlignment="1">
      <alignment horizontal="right" vertical="center" wrapText="1"/>
    </xf>
    <xf numFmtId="0" fontId="2" fillId="0" borderId="61" xfId="0" applyFont="1" applyBorder="1" applyAlignment="1">
      <alignment horizontal="center" vertical="center" wrapText="1"/>
    </xf>
    <xf numFmtId="0" fontId="2" fillId="10" borderId="46" xfId="0" applyFont="1" applyFill="1" applyBorder="1" applyAlignment="1">
      <alignment horizontal="center" vertical="center" wrapText="1"/>
    </xf>
    <xf numFmtId="0" fontId="2" fillId="10" borderId="47" xfId="0" applyFont="1" applyFill="1" applyBorder="1" applyAlignment="1">
      <alignment horizontal="center" vertical="center" wrapText="1"/>
    </xf>
    <xf numFmtId="0" fontId="4" fillId="0" borderId="55" xfId="0" applyFont="1" applyBorder="1" applyAlignment="1">
      <alignment horizontal="right" vertical="center" wrapText="1"/>
    </xf>
    <xf numFmtId="0" fontId="4" fillId="10" borderId="48" xfId="0" applyFont="1" applyFill="1" applyBorder="1" applyAlignment="1">
      <alignment horizontal="center" vertical="center" wrapText="1"/>
    </xf>
    <xf numFmtId="0" fontId="4" fillId="10" borderId="49" xfId="0" applyFont="1" applyFill="1" applyBorder="1" applyAlignment="1">
      <alignment horizontal="center" vertical="center" wrapText="1"/>
    </xf>
    <xf numFmtId="0" fontId="7" fillId="0" borderId="52" xfId="0" applyFont="1" applyFill="1" applyBorder="1" applyAlignment="1">
      <alignment horizontal="center" vertical="center"/>
    </xf>
    <xf numFmtId="49" fontId="7" fillId="0" borderId="52" xfId="0" applyNumberFormat="1" applyFont="1" applyFill="1" applyBorder="1" applyAlignment="1">
      <alignment horizontal="center" vertical="center"/>
    </xf>
    <xf numFmtId="0" fontId="35" fillId="7" borderId="41" xfId="2" applyNumberFormat="1" applyFont="1" applyFill="1" applyBorder="1" applyAlignment="1">
      <alignment horizontal="center" vertical="center" shrinkToFit="1"/>
    </xf>
    <xf numFmtId="0" fontId="7" fillId="0" borderId="0" xfId="0" applyFont="1" applyBorder="1" applyAlignment="1">
      <alignment horizontal="left" vertical="center" wrapText="1"/>
    </xf>
    <xf numFmtId="0" fontId="6" fillId="0" borderId="0" xfId="0" applyFont="1" applyBorder="1" applyAlignment="1">
      <alignment horizontal="right" vertical="center" wrapText="1"/>
    </xf>
    <xf numFmtId="0" fontId="3" fillId="0" borderId="0" xfId="0" applyFont="1" applyBorder="1" applyAlignment="1">
      <alignment horizontal="centerContinuous" vertical="center"/>
    </xf>
    <xf numFmtId="0" fontId="52" fillId="0" borderId="36" xfId="0" applyFont="1" applyBorder="1" applyAlignment="1">
      <alignment horizontal="centerContinuous" vertical="center"/>
    </xf>
    <xf numFmtId="0" fontId="7" fillId="0" borderId="0" xfId="0" applyFont="1" applyBorder="1" applyAlignment="1">
      <alignment horizontal="center" vertical="center" wrapText="1"/>
    </xf>
    <xf numFmtId="0" fontId="7" fillId="0" borderId="55"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43" xfId="0" applyFont="1" applyFill="1" applyBorder="1" applyAlignment="1">
      <alignment horizontal="center" vertical="center"/>
    </xf>
    <xf numFmtId="164" fontId="21" fillId="3" borderId="44" xfId="0" applyNumberFormat="1" applyFont="1" applyFill="1" applyBorder="1" applyAlignment="1">
      <alignment horizontal="center" vertical="center"/>
    </xf>
    <xf numFmtId="0" fontId="21" fillId="3" borderId="43" xfId="0" applyFont="1" applyFill="1" applyBorder="1" applyAlignment="1">
      <alignment horizontal="right" vertical="center"/>
    </xf>
    <xf numFmtId="0" fontId="21" fillId="3" borderId="45" xfId="0" applyFont="1" applyFill="1" applyBorder="1" applyAlignment="1">
      <alignment vertical="center"/>
    </xf>
    <xf numFmtId="0" fontId="2" fillId="0" borderId="79" xfId="0" applyFont="1" applyBorder="1" applyAlignment="1">
      <alignment horizontal="center" vertical="center" shrinkToFit="1"/>
    </xf>
    <xf numFmtId="164" fontId="5" fillId="0" borderId="51"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0" xfId="0" applyFont="1" applyBorder="1" applyAlignment="1">
      <alignment horizontal="left" vertical="center" shrinkToFit="1"/>
    </xf>
    <xf numFmtId="0" fontId="2" fillId="0" borderId="0" xfId="0" applyFont="1" applyBorder="1" applyAlignment="1">
      <alignment horizontal="center" vertical="center"/>
    </xf>
    <xf numFmtId="0" fontId="2" fillId="0" borderId="80" xfId="0" applyFont="1" applyBorder="1" applyAlignment="1">
      <alignment horizontal="center" vertical="center" shrinkToFit="1"/>
    </xf>
    <xf numFmtId="0" fontId="5" fillId="0" borderId="46" xfId="0" applyFont="1" applyBorder="1" applyAlignment="1">
      <alignment horizontal="left" vertical="center"/>
    </xf>
    <xf numFmtId="0" fontId="5" fillId="0" borderId="47" xfId="0" applyFont="1" applyBorder="1" applyAlignment="1">
      <alignment horizontal="left" vertical="center" shrinkToFit="1"/>
    </xf>
    <xf numFmtId="0" fontId="2" fillId="0" borderId="82" xfId="0" applyFont="1" applyBorder="1" applyAlignment="1">
      <alignment horizontal="center" vertical="center" shrinkToFit="1"/>
    </xf>
    <xf numFmtId="0" fontId="5" fillId="0" borderId="83" xfId="0" applyFont="1" applyBorder="1" applyAlignment="1">
      <alignment horizontal="center" vertical="center" shrinkToFit="1"/>
    </xf>
    <xf numFmtId="164" fontId="2" fillId="0" borderId="83" xfId="0" applyNumberFormat="1" applyFont="1" applyBorder="1" applyAlignment="1">
      <alignment horizontal="center" vertical="center" shrinkToFit="1"/>
    </xf>
    <xf numFmtId="0" fontId="5" fillId="0" borderId="83" xfId="0" applyFont="1" applyBorder="1" applyAlignment="1">
      <alignment horizontal="left" vertical="center"/>
    </xf>
    <xf numFmtId="0" fontId="5" fillId="0" borderId="84" xfId="0" applyFont="1" applyBorder="1" applyAlignment="1">
      <alignment horizontal="left" vertical="center" shrinkToFit="1"/>
    </xf>
    <xf numFmtId="164" fontId="5" fillId="0" borderId="83" xfId="0" applyNumberFormat="1"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48" xfId="0" applyFont="1" applyBorder="1" applyAlignment="1">
      <alignment horizontal="center" vertical="center" shrinkToFit="1"/>
    </xf>
    <xf numFmtId="164" fontId="2"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9"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51" xfId="0" applyFont="1" applyBorder="1" applyAlignment="1">
      <alignment horizontal="center" vertical="center" shrinkToFit="1"/>
    </xf>
    <xf numFmtId="0" fontId="2" fillId="0" borderId="46" xfId="0" applyFont="1" applyBorder="1" applyAlignment="1">
      <alignment horizontal="center" vertical="center" shrinkToFit="1"/>
    </xf>
    <xf numFmtId="164" fontId="5" fillId="0" borderId="46" xfId="0" applyNumberFormat="1" applyFont="1" applyBorder="1" applyAlignment="1">
      <alignment horizontal="center" vertical="center" shrinkToFit="1"/>
    </xf>
    <xf numFmtId="164" fontId="5" fillId="0" borderId="48" xfId="0" applyNumberFormat="1" applyFont="1" applyBorder="1" applyAlignment="1">
      <alignment horizontal="center" vertical="center" shrinkToFit="1"/>
    </xf>
    <xf numFmtId="0" fontId="2" fillId="0" borderId="48" xfId="0" applyFont="1" applyBorder="1" applyAlignment="1">
      <alignment horizontal="left" vertical="center"/>
    </xf>
    <xf numFmtId="164" fontId="5" fillId="0" borderId="0" xfId="0" applyNumberFormat="1" applyFont="1" applyBorder="1" applyAlignment="1">
      <alignment horizontal="center" vertical="center"/>
    </xf>
    <xf numFmtId="0" fontId="3" fillId="0" borderId="0" xfId="0" applyFont="1" applyBorder="1" applyAlignment="1">
      <alignment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50"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4" xfId="0" applyFont="1" applyFill="1" applyBorder="1" applyAlignment="1">
      <alignment horizontal="centerContinuous" vertical="center"/>
    </xf>
    <xf numFmtId="0" fontId="21" fillId="11" borderId="56" xfId="0" applyFont="1" applyFill="1" applyBorder="1" applyAlignment="1">
      <alignment horizontal="centerContinuous" vertical="center"/>
    </xf>
    <xf numFmtId="164" fontId="2" fillId="0" borderId="77" xfId="0" applyNumberFormat="1" applyFont="1" applyFill="1" applyBorder="1" applyAlignment="1">
      <alignment horizontal="centerContinuous" vertical="center"/>
    </xf>
    <xf numFmtId="0" fontId="2" fillId="0" borderId="78" xfId="0"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51" fillId="12" borderId="51" xfId="0" applyFont="1" applyFill="1" applyBorder="1" applyAlignment="1">
      <alignment horizontal="center" vertical="center"/>
    </xf>
    <xf numFmtId="0" fontId="2" fillId="0" borderId="51" xfId="0" applyFont="1" applyFill="1" applyBorder="1" applyAlignment="1">
      <alignment horizontal="center" vertical="center"/>
    </xf>
    <xf numFmtId="49" fontId="2" fillId="0" borderId="51" xfId="0" applyNumberFormat="1" applyFont="1" applyFill="1" applyBorder="1" applyAlignment="1">
      <alignment horizontal="center" vertical="center"/>
    </xf>
    <xf numFmtId="0" fontId="2" fillId="0" borderId="50" xfId="0" applyFont="1" applyFill="1" applyBorder="1" applyAlignment="1">
      <alignment horizontal="center" vertical="center"/>
    </xf>
    <xf numFmtId="0" fontId="2" fillId="0" borderId="81" xfId="0" applyFont="1" applyBorder="1" applyAlignment="1">
      <alignment horizontal="center" vertical="center"/>
    </xf>
    <xf numFmtId="0" fontId="2" fillId="0" borderId="48" xfId="0" applyFont="1" applyBorder="1" applyAlignment="1">
      <alignment horizontal="center" vertical="center"/>
    </xf>
    <xf numFmtId="0" fontId="2" fillId="0" borderId="48" xfId="0" quotePrefix="1" applyFont="1" applyBorder="1" applyAlignment="1">
      <alignment horizontal="center" vertical="center" wrapText="1"/>
    </xf>
    <xf numFmtId="49" fontId="2" fillId="0" borderId="48" xfId="2" applyNumberFormat="1" applyFont="1" applyBorder="1" applyAlignment="1">
      <alignment horizontal="center" vertical="center"/>
    </xf>
    <xf numFmtId="164" fontId="5" fillId="0" borderId="48" xfId="0" applyNumberFormat="1" applyFont="1" applyBorder="1" applyAlignment="1">
      <alignment horizontal="center" vertical="center"/>
    </xf>
    <xf numFmtId="164" fontId="5" fillId="0" borderId="48" xfId="0" applyNumberFormat="1" applyFont="1" applyFill="1" applyBorder="1" applyAlignment="1">
      <alignment horizontal="center" vertical="center"/>
    </xf>
    <xf numFmtId="1" fontId="51" fillId="12" borderId="48" xfId="0" applyNumberFormat="1" applyFont="1" applyFill="1" applyBorder="1" applyAlignment="1">
      <alignment horizontal="center" vertical="center"/>
    </xf>
    <xf numFmtId="1" fontId="5" fillId="0" borderId="48" xfId="0" applyNumberFormat="1" applyFont="1" applyBorder="1" applyAlignment="1">
      <alignment horizontal="center" vertical="center"/>
    </xf>
    <xf numFmtId="0" fontId="4" fillId="0" borderId="49" xfId="0" applyFont="1" applyBorder="1" applyAlignment="1">
      <alignment horizontal="center" vertical="center"/>
    </xf>
    <xf numFmtId="164" fontId="2" fillId="0" borderId="48" xfId="0" applyNumberFormat="1" applyFont="1" applyFill="1" applyBorder="1" applyAlignment="1">
      <alignment horizontal="center" vertical="center"/>
    </xf>
    <xf numFmtId="164" fontId="5" fillId="0" borderId="51" xfId="0" applyNumberFormat="1" applyFont="1" applyFill="1" applyBorder="1" applyAlignment="1">
      <alignment horizontal="center" vertical="center"/>
    </xf>
    <xf numFmtId="0" fontId="2" fillId="0" borderId="48" xfId="0" applyFont="1" applyFill="1" applyBorder="1" applyAlignment="1">
      <alignment horizontal="center" vertical="center"/>
    </xf>
    <xf numFmtId="0" fontId="2" fillId="0" borderId="48" xfId="0" quotePrefix="1" applyFont="1" applyFill="1" applyBorder="1" applyAlignment="1">
      <alignment horizontal="center" vertical="center"/>
    </xf>
    <xf numFmtId="9" fontId="2" fillId="0" borderId="48" xfId="0" applyNumberFormat="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1" fillId="3" borderId="36" xfId="0" applyNumberFormat="1" applyFont="1" applyFill="1" applyBorder="1" applyAlignment="1">
      <alignment horizontal="center" vertical="center"/>
    </xf>
    <xf numFmtId="0" fontId="2" fillId="0" borderId="81" xfId="0" applyFont="1" applyFill="1" applyBorder="1" applyAlignment="1">
      <alignment horizontal="center" vertical="center" shrinkToFit="1"/>
    </xf>
    <xf numFmtId="164" fontId="2" fillId="0" borderId="91" xfId="0" applyNumberFormat="1" applyFont="1" applyFill="1" applyBorder="1" applyAlignment="1">
      <alignment horizontal="centerContinuous" vertical="center"/>
    </xf>
    <xf numFmtId="0" fontId="5" fillId="0" borderId="92" xfId="0" quotePrefix="1" applyFont="1" applyBorder="1" applyAlignment="1">
      <alignment horizontal="centerContinuous" vertical="center"/>
    </xf>
    <xf numFmtId="0" fontId="2" fillId="0" borderId="46" xfId="0" quotePrefix="1" applyFont="1" applyBorder="1" applyAlignment="1">
      <alignment horizontal="center" vertical="center"/>
    </xf>
    <xf numFmtId="0" fontId="2" fillId="0" borderId="46" xfId="0" applyFont="1" applyBorder="1" applyAlignment="1">
      <alignment horizontal="center" vertical="center"/>
    </xf>
    <xf numFmtId="9" fontId="2" fillId="0" borderId="46" xfId="0" applyNumberFormat="1" applyFont="1" applyBorder="1" applyAlignment="1">
      <alignment horizontal="center" vertical="center"/>
    </xf>
    <xf numFmtId="164" fontId="2" fillId="0" borderId="93" xfId="0" applyNumberFormat="1" applyFont="1" applyFill="1" applyBorder="1" applyAlignment="1">
      <alignment horizontal="centerContinuous" vertical="center"/>
    </xf>
    <xf numFmtId="0" fontId="2" fillId="0" borderId="83" xfId="0" applyFont="1" applyBorder="1" applyAlignment="1">
      <alignment horizontal="center" vertical="center" shrinkToFit="1"/>
    </xf>
    <xf numFmtId="1" fontId="2" fillId="0" borderId="51" xfId="0" applyNumberFormat="1" applyFont="1" applyFill="1" applyBorder="1" applyAlignment="1">
      <alignment horizontal="center" vertical="center"/>
    </xf>
    <xf numFmtId="164" fontId="2" fillId="0" borderId="46" xfId="0" applyNumberFormat="1" applyFont="1" applyFill="1" applyBorder="1" applyAlignment="1">
      <alignment horizontal="center" vertical="center"/>
    </xf>
    <xf numFmtId="164" fontId="2" fillId="0" borderId="51"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1" fontId="7" fillId="0" borderId="30" xfId="0" applyNumberFormat="1" applyFont="1" applyFill="1" applyBorder="1" applyAlignment="1">
      <alignment horizontal="center" vertical="center"/>
    </xf>
    <xf numFmtId="1" fontId="2" fillId="0" borderId="60" xfId="0" applyNumberFormat="1" applyFont="1" applyBorder="1" applyAlignment="1">
      <alignment horizontal="center" vertical="center" shrinkToFit="1"/>
    </xf>
    <xf numFmtId="1" fontId="2" fillId="0" borderId="55"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6"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7" fillId="0" borderId="26" xfId="0" quotePrefix="1" applyFont="1" applyBorder="1" applyAlignment="1">
      <alignment horizontal="center" vertical="center"/>
    </xf>
    <xf numFmtId="1" fontId="4" fillId="0" borderId="0" xfId="0" applyNumberFormat="1" applyFont="1" applyBorder="1" applyAlignment="1">
      <alignment horizontal="center" vertical="center"/>
    </xf>
    <xf numFmtId="0" fontId="2" fillId="0" borderId="83" xfId="0" applyFont="1" applyBorder="1" applyAlignment="1">
      <alignment horizontal="left" vertical="center"/>
    </xf>
    <xf numFmtId="0" fontId="21" fillId="11" borderId="94" xfId="0" applyFont="1" applyFill="1" applyBorder="1" applyAlignment="1">
      <alignment horizontal="center" vertical="center"/>
    </xf>
    <xf numFmtId="0" fontId="2" fillId="0" borderId="0" xfId="0" applyFont="1" applyBorder="1" applyAlignment="1">
      <alignment vertical="center"/>
    </xf>
    <xf numFmtId="0" fontId="2" fillId="0" borderId="95" xfId="0" applyFont="1" applyFill="1" applyBorder="1" applyAlignment="1">
      <alignment horizontal="centerContinuous" vertical="center" shrinkToFit="1"/>
    </xf>
    <xf numFmtId="0" fontId="21" fillId="0" borderId="96" xfId="0" applyFont="1" applyFill="1" applyBorder="1" applyAlignment="1">
      <alignment horizontal="centerContinuous" vertical="center"/>
    </xf>
    <xf numFmtId="0" fontId="2" fillId="0" borderId="97" xfId="0" applyFont="1" applyFill="1" applyBorder="1" applyAlignment="1">
      <alignment horizontal="center" vertical="center"/>
    </xf>
    <xf numFmtId="0" fontId="2" fillId="0" borderId="98" xfId="0" applyFont="1" applyFill="1" applyBorder="1" applyAlignment="1">
      <alignment horizontal="centerContinuous" vertical="center"/>
    </xf>
    <xf numFmtId="1" fontId="2" fillId="0" borderId="99" xfId="0" applyNumberFormat="1" applyFont="1" applyBorder="1" applyAlignment="1">
      <alignment horizontal="center" vertical="center"/>
    </xf>
    <xf numFmtId="0" fontId="2" fillId="0" borderId="86" xfId="0" applyFont="1" applyFill="1" applyBorder="1" applyAlignment="1">
      <alignment horizontal="centerContinuous" vertical="center" shrinkToFit="1"/>
    </xf>
    <xf numFmtId="0" fontId="21" fillId="0" borderId="75" xfId="0" applyFont="1" applyFill="1" applyBorder="1" applyAlignment="1">
      <alignment horizontal="centerContinuous" vertical="center"/>
    </xf>
    <xf numFmtId="0" fontId="2" fillId="0" borderId="100" xfId="0" applyFont="1" applyFill="1" applyBorder="1" applyAlignment="1">
      <alignment horizontal="center" vertical="center"/>
    </xf>
    <xf numFmtId="0" fontId="2" fillId="0" borderId="76" xfId="0" applyFont="1" applyFill="1" applyBorder="1" applyAlignment="1">
      <alignment horizontal="centerContinuous" vertical="center"/>
    </xf>
    <xf numFmtId="1" fontId="2" fillId="0" borderId="42" xfId="0" applyNumberFormat="1" applyFont="1" applyFill="1" applyBorder="1" applyAlignment="1">
      <alignment horizontal="center" vertical="center"/>
    </xf>
    <xf numFmtId="0" fontId="2" fillId="0" borderId="87" xfId="0" applyFont="1" applyFill="1" applyBorder="1" applyAlignment="1">
      <alignment horizontal="centerContinuous" vertical="center" shrinkToFit="1"/>
    </xf>
    <xf numFmtId="0" fontId="2" fillId="0" borderId="77" xfId="0" applyFont="1" applyFill="1" applyBorder="1" applyAlignment="1">
      <alignment horizontal="centerContinuous" vertical="center"/>
    </xf>
    <xf numFmtId="49" fontId="2" fillId="0" borderId="101" xfId="0" applyNumberFormat="1" applyFont="1" applyFill="1" applyBorder="1" applyAlignment="1">
      <alignment horizontal="center" vertical="center"/>
    </xf>
    <xf numFmtId="1" fontId="2" fillId="0" borderId="55" xfId="0" applyNumberFormat="1" applyFont="1" applyFill="1" applyBorder="1" applyAlignment="1">
      <alignment horizontal="center" vertical="center"/>
    </xf>
    <xf numFmtId="1" fontId="2" fillId="0" borderId="102" xfId="0" applyNumberFormat="1" applyFont="1" applyBorder="1" applyAlignment="1">
      <alignment horizontal="center" vertical="center" shrinkToFit="1"/>
    </xf>
    <xf numFmtId="0" fontId="6" fillId="4" borderId="11" xfId="0" applyFont="1" applyFill="1" applyBorder="1" applyAlignment="1">
      <alignment horizontal="right" vertical="center"/>
    </xf>
    <xf numFmtId="49" fontId="7" fillId="0" borderId="103" xfId="0" applyNumberFormat="1" applyFont="1" applyBorder="1" applyAlignment="1">
      <alignment horizontal="centerContinuous" vertical="center"/>
    </xf>
    <xf numFmtId="0" fontId="2" fillId="0" borderId="104" xfId="0" applyFont="1" applyBorder="1" applyAlignment="1">
      <alignment horizontal="centerContinuous" vertical="center"/>
    </xf>
    <xf numFmtId="0" fontId="6" fillId="4" borderId="32" xfId="0" applyFont="1" applyFill="1" applyBorder="1" applyAlignment="1">
      <alignment horizontal="right" vertical="center"/>
    </xf>
    <xf numFmtId="0" fontId="2" fillId="0" borderId="51" xfId="0" applyFont="1" applyFill="1" applyBorder="1" applyAlignment="1">
      <alignment horizontal="center" vertical="center" shrinkToFit="1"/>
    </xf>
    <xf numFmtId="165" fontId="2" fillId="0" borderId="0" xfId="0" applyNumberFormat="1" applyFont="1" applyBorder="1" applyAlignment="1">
      <alignment horizontal="center" vertical="center"/>
    </xf>
    <xf numFmtId="1" fontId="21" fillId="11" borderId="36" xfId="0" applyNumberFormat="1" applyFont="1" applyFill="1" applyBorder="1" applyAlignment="1">
      <alignment horizontal="center" vertical="center"/>
    </xf>
    <xf numFmtId="1" fontId="2" fillId="0" borderId="85" xfId="0" applyNumberFormat="1" applyFont="1" applyFill="1" applyBorder="1" applyAlignment="1">
      <alignment horizontal="center" vertical="center"/>
    </xf>
    <xf numFmtId="0" fontId="16" fillId="0" borderId="0" xfId="5" applyFont="1" applyBorder="1" applyAlignment="1">
      <alignment horizontal="centerContinuous" vertical="center"/>
    </xf>
    <xf numFmtId="0" fontId="16" fillId="0" borderId="0" xfId="5" applyNumberFormat="1" applyFont="1" applyBorder="1" applyAlignment="1">
      <alignment horizontal="centerContinuous" vertical="center"/>
    </xf>
    <xf numFmtId="0" fontId="2" fillId="0" borderId="0" xfId="5" applyFont="1" applyBorder="1" applyAlignment="1">
      <alignment vertical="center"/>
    </xf>
    <xf numFmtId="0" fontId="4" fillId="0" borderId="0" xfId="5" applyFont="1" applyBorder="1" applyAlignment="1">
      <alignment vertical="center"/>
    </xf>
    <xf numFmtId="9" fontId="7" fillId="0" borderId="28" xfId="10" applyFont="1" applyFill="1" applyBorder="1" applyAlignment="1">
      <alignment horizontal="center" vertical="center" shrinkToFit="1"/>
    </xf>
    <xf numFmtId="9" fontId="7" fillId="0" borderId="27" xfId="10" applyFont="1" applyFill="1" applyBorder="1" applyAlignment="1">
      <alignment horizontal="center" vertical="center" shrinkToFit="1"/>
    </xf>
    <xf numFmtId="0" fontId="7" fillId="0" borderId="28" xfId="10" applyNumberFormat="1" applyFont="1" applyFill="1" applyBorder="1" applyAlignment="1">
      <alignment horizontal="center" vertical="center" shrinkToFit="1"/>
    </xf>
    <xf numFmtId="0" fontId="7" fillId="0" borderId="29" xfId="5" applyNumberFormat="1" applyFont="1" applyFill="1" applyBorder="1" applyAlignment="1">
      <alignment horizontal="center" vertical="center"/>
    </xf>
    <xf numFmtId="0" fontId="7" fillId="0" borderId="28" xfId="5" applyNumberFormat="1" applyFont="1" applyFill="1" applyBorder="1" applyAlignment="1">
      <alignment horizontal="center" vertical="center"/>
    </xf>
    <xf numFmtId="0" fontId="7" fillId="0" borderId="28" xfId="5" applyNumberFormat="1" applyFont="1" applyFill="1" applyBorder="1" applyAlignment="1">
      <alignment horizontal="center" vertical="center" wrapText="1"/>
    </xf>
    <xf numFmtId="0" fontId="4" fillId="0" borderId="0" xfId="5" applyFont="1" applyBorder="1" applyAlignment="1">
      <alignment horizontal="right" vertical="center"/>
    </xf>
    <xf numFmtId="0" fontId="2" fillId="0" borderId="0" xfId="5" applyFont="1" applyBorder="1" applyAlignment="1">
      <alignment horizontal="left" vertical="center"/>
    </xf>
    <xf numFmtId="0" fontId="2" fillId="0" borderId="0" xfId="5" applyNumberFormat="1" applyFont="1" applyBorder="1" applyAlignment="1">
      <alignment horizontal="left" vertical="center"/>
    </xf>
    <xf numFmtId="0" fontId="57" fillId="0" borderId="36" xfId="0" applyFont="1" applyBorder="1" applyAlignment="1">
      <alignment horizontal="centerContinuous" vertical="center" wrapText="1"/>
    </xf>
    <xf numFmtId="0" fontId="58" fillId="0" borderId="36" xfId="0" applyFont="1" applyBorder="1" applyAlignment="1">
      <alignment horizontal="centerContinuous" vertical="center" wrapText="1"/>
    </xf>
    <xf numFmtId="0" fontId="59" fillId="0" borderId="42" xfId="0" applyFont="1" applyFill="1" applyBorder="1" applyAlignment="1">
      <alignment horizontal="center" vertical="center" shrinkToFit="1"/>
    </xf>
    <xf numFmtId="0" fontId="59" fillId="0" borderId="42" xfId="0" applyFont="1" applyFill="1" applyBorder="1" applyAlignment="1">
      <alignment horizontal="centerContinuous" vertical="center"/>
    </xf>
    <xf numFmtId="0" fontId="54" fillId="0" borderId="55" xfId="0" applyFont="1" applyFill="1" applyBorder="1" applyAlignment="1">
      <alignment horizontal="center" vertical="center" shrinkToFit="1"/>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7" fillId="0" borderId="28" xfId="0" applyNumberFormat="1" applyFont="1" applyFill="1" applyBorder="1" applyAlignment="1">
      <alignment horizontal="center" vertical="center" shrinkToFit="1"/>
    </xf>
    <xf numFmtId="0" fontId="7" fillId="0" borderId="29" xfId="0" applyNumberFormat="1" applyFont="1" applyFill="1" applyBorder="1" applyAlignment="1">
      <alignment horizontal="center" vertical="center" wrapText="1"/>
    </xf>
    <xf numFmtId="0" fontId="2" fillId="13" borderId="81" xfId="0" applyFont="1" applyFill="1" applyBorder="1" applyAlignment="1">
      <alignment horizontal="center" vertical="center"/>
    </xf>
    <xf numFmtId="0" fontId="2" fillId="13" borderId="48" xfId="0" applyFont="1" applyFill="1" applyBorder="1" applyAlignment="1">
      <alignment horizontal="center" vertical="center"/>
    </xf>
    <xf numFmtId="49" fontId="2" fillId="13" borderId="48" xfId="0" applyNumberFormat="1" applyFont="1" applyFill="1" applyBorder="1" applyAlignment="1">
      <alignment horizontal="center" vertical="center"/>
    </xf>
    <xf numFmtId="0" fontId="2" fillId="13" borderId="48" xfId="0" applyNumberFormat="1" applyFont="1" applyFill="1" applyBorder="1" applyAlignment="1">
      <alignment horizontal="center" vertical="center"/>
    </xf>
    <xf numFmtId="164" fontId="2" fillId="13" borderId="48" xfId="0" applyNumberFormat="1" applyFont="1" applyFill="1" applyBorder="1" applyAlignment="1">
      <alignment horizontal="center" vertical="center"/>
    </xf>
    <xf numFmtId="1" fontId="2" fillId="13" borderId="48" xfId="0" applyNumberFormat="1" applyFont="1" applyFill="1" applyBorder="1" applyAlignment="1">
      <alignment horizontal="center" vertical="center"/>
    </xf>
    <xf numFmtId="1" fontId="2" fillId="13" borderId="55" xfId="0" applyNumberFormat="1" applyFont="1" applyFill="1" applyBorder="1" applyAlignment="1">
      <alignment horizontal="center" vertical="center"/>
    </xf>
    <xf numFmtId="0" fontId="2" fillId="13" borderId="49" xfId="0" applyFont="1" applyFill="1" applyBorder="1" applyAlignment="1">
      <alignment horizontal="center" vertical="center"/>
    </xf>
    <xf numFmtId="0" fontId="6" fillId="0" borderId="0" xfId="0" quotePrefix="1" applyFont="1" applyBorder="1" applyAlignment="1">
      <alignment horizontal="right"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0" borderId="111" xfId="0" applyNumberFormat="1" applyFont="1" applyBorder="1" applyAlignment="1">
      <alignment horizontal="center" vertical="center"/>
    </xf>
    <xf numFmtId="164" fontId="2" fillId="0" borderId="111" xfId="0" applyNumberFormat="1" applyFont="1" applyBorder="1" applyAlignment="1">
      <alignment horizontal="center" vertical="center"/>
    </xf>
    <xf numFmtId="164" fontId="2" fillId="0" borderId="111" xfId="0" applyNumberFormat="1" applyFont="1" applyFill="1" applyBorder="1" applyAlignment="1">
      <alignment horizontal="center" vertical="center"/>
    </xf>
    <xf numFmtId="1" fontId="51" fillId="12" borderId="111" xfId="0" applyNumberFormat="1" applyFont="1" applyFill="1" applyBorder="1" applyAlignment="1">
      <alignment horizontal="center" vertical="center"/>
    </xf>
    <xf numFmtId="1" fontId="2" fillId="0" borderId="111" xfId="0" applyNumberFormat="1" applyFont="1" applyFill="1" applyBorder="1" applyAlignment="1">
      <alignment horizontal="center" vertical="center"/>
    </xf>
    <xf numFmtId="0" fontId="2" fillId="0" borderId="112" xfId="0" quotePrefix="1" applyFont="1" applyBorder="1" applyAlignment="1">
      <alignment horizontal="center"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49" fontId="2" fillId="0" borderId="114" xfId="0" applyNumberFormat="1" applyFont="1" applyBorder="1" applyAlignment="1">
      <alignment horizontal="center" vertical="center"/>
    </xf>
    <xf numFmtId="164" fontId="2" fillId="0" borderId="114" xfId="0" applyNumberFormat="1" applyFont="1" applyBorder="1" applyAlignment="1">
      <alignment horizontal="center" vertical="center"/>
    </xf>
    <xf numFmtId="164" fontId="2" fillId="0" borderId="114" xfId="0" applyNumberFormat="1" applyFont="1" applyFill="1" applyBorder="1" applyAlignment="1">
      <alignment horizontal="center" vertical="center"/>
    </xf>
    <xf numFmtId="1" fontId="51" fillId="12" borderId="114" xfId="0" applyNumberFormat="1" applyFont="1" applyFill="1" applyBorder="1" applyAlignment="1">
      <alignment horizontal="center" vertical="center"/>
    </xf>
    <xf numFmtId="1" fontId="2" fillId="0" borderId="114" xfId="0" applyNumberFormat="1" applyFont="1" applyFill="1" applyBorder="1" applyAlignment="1">
      <alignment horizontal="center" vertical="center"/>
    </xf>
    <xf numFmtId="0" fontId="2" fillId="0" borderId="115" xfId="0" quotePrefix="1" applyFont="1" applyBorder="1" applyAlignment="1">
      <alignment horizontal="center" vertical="center"/>
    </xf>
    <xf numFmtId="1" fontId="2" fillId="0" borderId="102" xfId="0" applyNumberFormat="1" applyFont="1" applyFill="1" applyBorder="1" applyAlignment="1">
      <alignment horizontal="center" vertical="center"/>
    </xf>
    <xf numFmtId="0" fontId="2" fillId="0" borderId="113" xfId="0" applyFont="1" applyFill="1" applyBorder="1" applyAlignment="1">
      <alignment horizontal="center" vertical="center" shrinkToFit="1"/>
    </xf>
    <xf numFmtId="0" fontId="2" fillId="0" borderId="114" xfId="0" applyFont="1" applyFill="1" applyBorder="1" applyAlignment="1">
      <alignment horizontal="center" vertical="center"/>
    </xf>
    <xf numFmtId="49" fontId="2" fillId="0" borderId="114" xfId="0" applyNumberFormat="1" applyFont="1" applyFill="1" applyBorder="1" applyAlignment="1">
      <alignment horizontal="center" vertical="center"/>
    </xf>
    <xf numFmtId="0" fontId="2" fillId="0" borderId="114" xfId="0" applyFont="1" applyFill="1" applyBorder="1" applyAlignment="1">
      <alignment horizontal="center" vertical="center" shrinkToFit="1"/>
    </xf>
    <xf numFmtId="0" fontId="5" fillId="0" borderId="116" xfId="0" applyFont="1" applyFill="1" applyBorder="1" applyAlignment="1">
      <alignment horizontal="centerContinuous" vertical="center"/>
    </xf>
    <xf numFmtId="0" fontId="5" fillId="0" borderId="51" xfId="0" applyFont="1" applyFill="1" applyBorder="1" applyAlignment="1">
      <alignment horizontal="center" vertical="center"/>
    </xf>
    <xf numFmtId="49" fontId="2" fillId="0" borderId="89" xfId="0" applyNumberFormat="1" applyFont="1" applyFill="1" applyBorder="1" applyAlignment="1">
      <alignment horizontal="centerContinuous" vertical="center"/>
    </xf>
    <xf numFmtId="0" fontId="2" fillId="0" borderId="87" xfId="0" applyFont="1" applyFill="1" applyBorder="1" applyAlignment="1">
      <alignment horizontal="centerContinuous" vertical="center"/>
    </xf>
    <xf numFmtId="0" fontId="5" fillId="0" borderId="66" xfId="0" applyFont="1" applyFill="1" applyBorder="1" applyAlignment="1">
      <alignment horizontal="centerContinuous" vertical="center"/>
    </xf>
    <xf numFmtId="0" fontId="5" fillId="0" borderId="48" xfId="0" applyFont="1" applyFill="1" applyBorder="1" applyAlignment="1">
      <alignment horizontal="center" vertical="center"/>
    </xf>
    <xf numFmtId="49" fontId="2" fillId="0" borderId="48"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77" xfId="0" applyNumberFormat="1" applyFont="1" applyFill="1" applyBorder="1" applyAlignment="1">
      <alignment horizontal="centerContinuous" vertical="center"/>
    </xf>
    <xf numFmtId="0" fontId="5" fillId="0" borderId="78" xfId="0" applyFont="1" applyFill="1" applyBorder="1" applyAlignment="1">
      <alignment horizontal="centerContinuous" vertical="center"/>
    </xf>
    <xf numFmtId="0" fontId="60" fillId="13" borderId="27" xfId="0" applyFont="1" applyFill="1" applyBorder="1" applyAlignment="1">
      <alignment horizontal="center" vertical="center" wrapText="1"/>
    </xf>
    <xf numFmtId="0" fontId="60" fillId="13" borderId="53" xfId="0" applyFont="1" applyFill="1" applyBorder="1" applyAlignment="1">
      <alignment horizontal="center" vertical="center" wrapText="1"/>
    </xf>
    <xf numFmtId="0" fontId="7" fillId="9" borderId="27" xfId="0" applyFont="1" applyFill="1" applyBorder="1" applyAlignment="1">
      <alignment horizontal="center" vertical="center"/>
    </xf>
    <xf numFmtId="9" fontId="7" fillId="0" borderId="105" xfId="2" applyFont="1" applyFill="1" applyBorder="1" applyAlignment="1">
      <alignment horizontal="center" vertical="center" shrinkToFit="1"/>
    </xf>
    <xf numFmtId="0" fontId="7" fillId="0" borderId="106" xfId="2" applyNumberFormat="1" applyFont="1" applyFill="1" applyBorder="1" applyAlignment="1">
      <alignment horizontal="center" vertical="center" shrinkToFit="1"/>
    </xf>
    <xf numFmtId="0" fontId="7" fillId="9" borderId="52" xfId="0" applyFont="1" applyFill="1" applyBorder="1" applyAlignment="1">
      <alignment horizontal="center" vertical="center"/>
    </xf>
    <xf numFmtId="0" fontId="2" fillId="0" borderId="95" xfId="0" applyFont="1" applyFill="1" applyBorder="1" applyAlignment="1">
      <alignment horizontal="centerContinuous" vertical="center"/>
    </xf>
    <xf numFmtId="49" fontId="2" fillId="0" borderId="96" xfId="0" applyNumberFormat="1" applyFont="1" applyFill="1" applyBorder="1" applyAlignment="1">
      <alignment horizontal="centerContinuous" vertical="center"/>
    </xf>
    <xf numFmtId="0" fontId="5" fillId="0" borderId="98" xfId="0" applyFont="1" applyFill="1" applyBorder="1" applyAlignment="1">
      <alignment horizontal="centerContinuous" vertical="center"/>
    </xf>
    <xf numFmtId="0" fontId="7" fillId="0" borderId="14" xfId="0" applyFont="1" applyFill="1" applyBorder="1" applyAlignment="1">
      <alignment horizontal="center" vertical="center"/>
    </xf>
    <xf numFmtId="1" fontId="2" fillId="0" borderId="0" xfId="0" applyNumberFormat="1" applyFont="1" applyBorder="1" applyAlignment="1">
      <alignment horizontal="center" vertical="center"/>
    </xf>
    <xf numFmtId="0" fontId="2" fillId="0" borderId="80" xfId="0" applyFont="1" applyBorder="1" applyAlignment="1">
      <alignment horizontal="center" shrinkToFit="1"/>
    </xf>
    <xf numFmtId="0" fontId="2" fillId="0" borderId="61" xfId="0" applyFont="1" applyBorder="1" applyAlignment="1">
      <alignment horizontal="center" shrinkToFit="1"/>
    </xf>
    <xf numFmtId="164" fontId="2" fillId="0" borderId="46" xfId="0" applyNumberFormat="1" applyFont="1" applyBorder="1" applyAlignment="1">
      <alignment horizontal="center" shrinkToFit="1"/>
    </xf>
    <xf numFmtId="0" fontId="2" fillId="0" borderId="46" xfId="0" applyFont="1" applyBorder="1" applyAlignment="1">
      <alignment horizontal="left"/>
    </xf>
    <xf numFmtId="0" fontId="2" fillId="0" borderId="47" xfId="0" applyFont="1" applyBorder="1" applyAlignment="1">
      <alignment horizontal="left" shrinkToFit="1"/>
    </xf>
    <xf numFmtId="0" fontId="2" fillId="0" borderId="0" xfId="0" applyFont="1" applyBorder="1" applyAlignment="1">
      <alignment horizontal="center"/>
    </xf>
    <xf numFmtId="1" fontId="2" fillId="0" borderId="42" xfId="0" applyNumberFormat="1" applyFont="1" applyBorder="1" applyAlignment="1">
      <alignment horizontal="center" vertical="center" shrinkToFit="1"/>
    </xf>
    <xf numFmtId="0" fontId="2" fillId="0" borderId="113" xfId="0" applyFont="1" applyBorder="1" applyAlignment="1">
      <alignment horizontal="center" vertical="center" shrinkToFit="1"/>
    </xf>
    <xf numFmtId="0" fontId="51" fillId="12" borderId="114" xfId="0" applyFont="1" applyFill="1" applyBorder="1" applyAlignment="1">
      <alignment horizontal="center" vertical="center"/>
    </xf>
    <xf numFmtId="0" fontId="2" fillId="0" borderId="115" xfId="0" applyFont="1" applyFill="1" applyBorder="1" applyAlignment="1">
      <alignment horizontal="center" vertical="center"/>
    </xf>
    <xf numFmtId="49" fontId="17" fillId="0" borderId="40" xfId="0" applyNumberFormat="1" applyFont="1" applyBorder="1" applyAlignment="1">
      <alignment horizontal="center" shrinkToFit="1"/>
    </xf>
    <xf numFmtId="0" fontId="7" fillId="13" borderId="3" xfId="0" quotePrefix="1" applyFont="1" applyFill="1" applyBorder="1" applyAlignment="1">
      <alignment horizontal="center" vertical="center"/>
    </xf>
    <xf numFmtId="0" fontId="61" fillId="0" borderId="33" xfId="0" applyFont="1" applyBorder="1" applyAlignment="1">
      <alignment horizontal="centerContinuous" vertical="center" wrapText="1"/>
    </xf>
    <xf numFmtId="0" fontId="12" fillId="14" borderId="37" xfId="0" applyFont="1" applyFill="1" applyBorder="1" applyAlignment="1">
      <alignment horizontal="centerContinuous" vertical="center"/>
    </xf>
    <xf numFmtId="0" fontId="12" fillId="14" borderId="38" xfId="0" applyFont="1" applyFill="1" applyBorder="1" applyAlignment="1">
      <alignment horizontal="center" vertical="center"/>
    </xf>
    <xf numFmtId="0" fontId="12" fillId="14" borderId="39" xfId="0" applyFont="1" applyFill="1" applyBorder="1" applyAlignment="1">
      <alignment horizontal="center" vertical="center"/>
    </xf>
    <xf numFmtId="0" fontId="61" fillId="0" borderId="0" xfId="0" applyFont="1" applyBorder="1" applyAlignment="1">
      <alignment horizontal="centerContinuous" vertical="center" wrapText="1"/>
    </xf>
    <xf numFmtId="0" fontId="41" fillId="14" borderId="66" xfId="0" applyFont="1" applyFill="1" applyBorder="1" applyAlignment="1">
      <alignment horizontal="center" vertical="center" wrapText="1"/>
    </xf>
    <xf numFmtId="0" fontId="56" fillId="14" borderId="36" xfId="0" applyFont="1" applyFill="1" applyBorder="1" applyAlignment="1">
      <alignment horizontal="centerContinuous"/>
    </xf>
    <xf numFmtId="0" fontId="59" fillId="0" borderId="42" xfId="0" applyFont="1" applyBorder="1" applyAlignment="1">
      <alignment horizontal="centerContinuous"/>
    </xf>
    <xf numFmtId="0" fontId="62" fillId="0" borderId="55" xfId="0" quotePrefix="1" applyFont="1" applyFill="1" applyBorder="1" applyAlignment="1">
      <alignment horizontal="centerContinuous"/>
    </xf>
    <xf numFmtId="0" fontId="62" fillId="0" borderId="85" xfId="0" applyFont="1" applyFill="1" applyBorder="1" applyAlignment="1">
      <alignment horizontal="center" shrinkToFit="1"/>
    </xf>
    <xf numFmtId="0" fontId="62" fillId="0" borderId="8" xfId="0" applyFont="1" applyFill="1" applyBorder="1" applyAlignment="1">
      <alignment horizontal="center" vertical="center" shrinkToFit="1"/>
    </xf>
    <xf numFmtId="0" fontId="7" fillId="0" borderId="106" xfId="0" applyNumberFormat="1" applyFont="1" applyFill="1" applyBorder="1" applyAlignment="1">
      <alignment horizontal="center" vertical="center" shrinkToFit="1"/>
    </xf>
    <xf numFmtId="0" fontId="7" fillId="0" borderId="27" xfId="0" applyFont="1" applyBorder="1" applyAlignment="1">
      <alignment horizontal="center" vertical="center" shrinkToFit="1"/>
    </xf>
    <xf numFmtId="0" fontId="7" fillId="0" borderId="29" xfId="0" applyNumberFormat="1" applyFont="1" applyBorder="1" applyAlignment="1">
      <alignment horizontal="center" vertical="center" wrapText="1"/>
    </xf>
    <xf numFmtId="9" fontId="7" fillId="0" borderId="52" xfId="10" applyFont="1" applyFill="1" applyBorder="1" applyAlignment="1">
      <alignment horizontal="center" vertical="center" shrinkToFit="1"/>
    </xf>
    <xf numFmtId="9" fontId="7" fillId="0" borderId="106" xfId="10" applyFont="1" applyFill="1" applyBorder="1" applyAlignment="1">
      <alignment horizontal="center" vertical="center" shrinkToFit="1"/>
    </xf>
    <xf numFmtId="9" fontId="7" fillId="0" borderId="54" xfId="10" applyFont="1" applyFill="1" applyBorder="1" applyAlignment="1">
      <alignment horizontal="center" vertical="center" shrinkToFit="1"/>
    </xf>
    <xf numFmtId="0" fontId="7" fillId="0" borderId="54" xfId="5" applyNumberFormat="1" applyFont="1" applyFill="1" applyBorder="1" applyAlignment="1">
      <alignment horizontal="center" vertical="center"/>
    </xf>
    <xf numFmtId="0" fontId="7" fillId="0" borderId="106" xfId="10" applyNumberFormat="1" applyFont="1" applyFill="1" applyBorder="1" applyAlignment="1">
      <alignment horizontal="center" vertical="center" shrinkToFit="1"/>
    </xf>
    <xf numFmtId="0" fontId="7" fillId="0" borderId="54" xfId="10" applyNumberFormat="1" applyFont="1" applyFill="1" applyBorder="1" applyAlignment="1">
      <alignment horizontal="center" vertical="center" shrinkToFit="1"/>
    </xf>
    <xf numFmtId="0" fontId="7" fillId="0" borderId="107" xfId="0" applyNumberFormat="1" applyFont="1" applyFill="1" applyBorder="1" applyAlignment="1">
      <alignment horizontal="center" vertical="center"/>
    </xf>
    <xf numFmtId="0" fontId="7" fillId="0" borderId="41" xfId="5" applyNumberFormat="1" applyFont="1" applyFill="1" applyBorder="1" applyAlignment="1">
      <alignment horizontal="center" vertical="center"/>
    </xf>
    <xf numFmtId="0" fontId="61" fillId="0" borderId="25" xfId="5" applyFont="1" applyBorder="1" applyAlignment="1">
      <alignment horizontal="centerContinuous" vertical="center"/>
    </xf>
    <xf numFmtId="0" fontId="62" fillId="0" borderId="1" xfId="8" applyFont="1" applyFill="1" applyBorder="1" applyAlignment="1">
      <alignment horizontal="center" vertical="center" shrinkToFit="1"/>
    </xf>
    <xf numFmtId="0" fontId="62" fillId="0" borderId="8" xfId="8" applyFont="1" applyFill="1" applyBorder="1" applyAlignment="1">
      <alignment horizontal="center" vertical="center" shrinkToFit="1"/>
    </xf>
    <xf numFmtId="0" fontId="12" fillId="14" borderId="22" xfId="0" applyFont="1" applyFill="1" applyBorder="1" applyAlignment="1">
      <alignment horizontal="centerContinuous" vertical="center" wrapText="1"/>
    </xf>
    <xf numFmtId="0" fontId="12" fillId="14" borderId="23" xfId="0" applyFont="1" applyFill="1" applyBorder="1" applyAlignment="1">
      <alignment horizontal="center" vertical="center"/>
    </xf>
    <xf numFmtId="0" fontId="12" fillId="14" borderId="23" xfId="0" applyFont="1" applyFill="1" applyBorder="1" applyAlignment="1">
      <alignment horizontal="center" vertical="center" wrapText="1"/>
    </xf>
    <xf numFmtId="0" fontId="12" fillId="14" borderId="23" xfId="0" applyNumberFormat="1" applyFont="1" applyFill="1" applyBorder="1" applyAlignment="1">
      <alignment horizontal="center" vertical="center" wrapText="1"/>
    </xf>
    <xf numFmtId="0" fontId="12" fillId="14" borderId="24" xfId="0" applyNumberFormat="1" applyFont="1" applyFill="1" applyBorder="1" applyAlignment="1">
      <alignment horizontal="centerContinuous" vertical="center" wrapText="1"/>
    </xf>
    <xf numFmtId="0" fontId="62" fillId="0" borderId="117" xfId="0" applyFont="1" applyFill="1" applyBorder="1" applyAlignment="1">
      <alignment horizontal="center" vertical="center" shrinkToFit="1"/>
    </xf>
    <xf numFmtId="0" fontId="7" fillId="0" borderId="105" xfId="0" applyFont="1" applyFill="1" applyBorder="1" applyAlignment="1">
      <alignment horizontal="center" vertical="center"/>
    </xf>
    <xf numFmtId="49" fontId="7" fillId="0" borderId="105" xfId="0" applyNumberFormat="1" applyFont="1" applyFill="1" applyBorder="1" applyAlignment="1">
      <alignment horizontal="center" vertical="center"/>
    </xf>
    <xf numFmtId="0" fontId="35" fillId="7" borderId="107" xfId="2" applyNumberFormat="1" applyFont="1" applyFill="1" applyBorder="1" applyAlignment="1">
      <alignment horizontal="center" vertical="center" shrinkToFit="1"/>
    </xf>
    <xf numFmtId="0" fontId="56" fillId="11" borderId="36" xfId="0" applyFont="1" applyFill="1" applyBorder="1" applyAlignment="1">
      <alignment horizontal="centerContinuous"/>
    </xf>
    <xf numFmtId="0" fontId="59" fillId="0" borderId="85" xfId="0" applyFont="1" applyFill="1" applyBorder="1" applyAlignment="1">
      <alignment horizontal="center" shrinkToFit="1"/>
    </xf>
    <xf numFmtId="0" fontId="59" fillId="0" borderId="55" xfId="0" quotePrefix="1" applyFont="1" applyFill="1" applyBorder="1" applyAlignment="1">
      <alignment horizontal="centerContinuous"/>
    </xf>
    <xf numFmtId="0" fontId="65" fillId="0" borderId="85" xfId="0" applyFont="1" applyFill="1" applyBorder="1" applyAlignment="1">
      <alignment horizontal="center" shrinkToFit="1"/>
    </xf>
    <xf numFmtId="0" fontId="54" fillId="0" borderId="85" xfId="0" applyFont="1" applyFill="1" applyBorder="1" applyAlignment="1">
      <alignment horizontal="center" shrinkToFit="1"/>
    </xf>
    <xf numFmtId="0" fontId="59" fillId="0" borderId="42" xfId="0" quotePrefix="1" applyFont="1" applyFill="1" applyBorder="1" applyAlignment="1">
      <alignment horizontal="centerContinuous" vertical="center"/>
    </xf>
    <xf numFmtId="43" fontId="2" fillId="0" borderId="114" xfId="11" applyFont="1" applyFill="1" applyBorder="1" applyAlignment="1">
      <alignment horizontal="center" vertical="center" shrinkToFit="1"/>
    </xf>
    <xf numFmtId="0" fontId="7" fillId="0" borderId="12" xfId="0" applyNumberFormat="1" applyFont="1" applyFill="1" applyBorder="1" applyAlignment="1">
      <alignment horizontal="center" vertical="center"/>
    </xf>
    <xf numFmtId="0" fontId="59" fillId="0" borderId="85" xfId="0" applyFont="1" applyBorder="1" applyAlignment="1">
      <alignment horizontal="centerContinuous"/>
    </xf>
    <xf numFmtId="0" fontId="59" fillId="0" borderId="118" xfId="0" applyFont="1" applyFill="1" applyBorder="1" applyAlignment="1">
      <alignment horizontal="center" vertical="center" shrinkToFit="1"/>
    </xf>
    <xf numFmtId="0" fontId="13" fillId="8" borderId="1" xfId="0" applyFont="1" applyFill="1" applyBorder="1" applyAlignment="1">
      <alignment vertical="center"/>
    </xf>
    <xf numFmtId="49" fontId="24" fillId="8" borderId="27" xfId="0" applyNumberFormat="1" applyFont="1" applyFill="1" applyBorder="1" applyAlignment="1">
      <alignment horizontal="center" vertical="center"/>
    </xf>
    <xf numFmtId="0" fontId="24" fillId="8" borderId="28" xfId="0" applyNumberFormat="1" applyFont="1" applyFill="1" applyBorder="1" applyAlignment="1">
      <alignment horizontal="center" vertical="center"/>
    </xf>
    <xf numFmtId="0" fontId="13" fillId="8" borderId="28" xfId="0" applyNumberFormat="1" applyFont="1" applyFill="1" applyBorder="1" applyAlignment="1">
      <alignment horizontal="center" vertical="center"/>
    </xf>
    <xf numFmtId="0" fontId="7" fillId="8" borderId="29" xfId="0" applyNumberFormat="1" applyFont="1" applyFill="1" applyBorder="1" applyAlignment="1">
      <alignment horizontal="center" vertical="center"/>
    </xf>
    <xf numFmtId="0" fontId="8" fillId="8" borderId="1" xfId="0" applyFont="1" applyFill="1" applyBorder="1" applyAlignment="1">
      <alignment vertical="center"/>
    </xf>
    <xf numFmtId="49" fontId="18" fillId="8" borderId="27" xfId="0" applyNumberFormat="1" applyFont="1" applyFill="1" applyBorder="1" applyAlignment="1">
      <alignment horizontal="center" vertical="center"/>
    </xf>
    <xf numFmtId="0" fontId="18" fillId="8" borderId="28" xfId="0" applyNumberFormat="1" applyFont="1" applyFill="1" applyBorder="1" applyAlignment="1">
      <alignment horizontal="center" vertical="center"/>
    </xf>
    <xf numFmtId="0" fontId="8" fillId="8" borderId="28" xfId="0" applyNumberFormat="1" applyFont="1" applyFill="1" applyBorder="1" applyAlignment="1">
      <alignment horizontal="center" vertical="center"/>
    </xf>
    <xf numFmtId="0" fontId="22" fillId="8" borderId="1" xfId="0" applyFont="1" applyFill="1" applyBorder="1" applyAlignment="1">
      <alignment vertical="center"/>
    </xf>
    <xf numFmtId="49" fontId="28" fillId="8" borderId="27" xfId="0" applyNumberFormat="1" applyFont="1" applyFill="1" applyBorder="1" applyAlignment="1">
      <alignment horizontal="center" vertical="center"/>
    </xf>
    <xf numFmtId="0" fontId="28" fillId="8" borderId="28" xfId="0" applyNumberFormat="1" applyFont="1" applyFill="1" applyBorder="1" applyAlignment="1">
      <alignment horizontal="center" vertical="center"/>
    </xf>
    <xf numFmtId="0" fontId="22" fillId="8" borderId="28" xfId="0" applyNumberFormat="1" applyFont="1" applyFill="1" applyBorder="1" applyAlignment="1">
      <alignment horizontal="center" vertical="center"/>
    </xf>
    <xf numFmtId="0" fontId="7" fillId="8" borderId="28" xfId="0" applyNumberFormat="1" applyFont="1" applyFill="1" applyBorder="1" applyAlignment="1">
      <alignment horizontal="center" vertical="center"/>
    </xf>
    <xf numFmtId="0" fontId="11"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49" fontId="7" fillId="15"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7" fillId="9" borderId="29" xfId="0" applyNumberFormat="1" applyFont="1" applyFill="1" applyBorder="1" applyAlignment="1">
      <alignment horizontal="center" vertical="center"/>
    </xf>
    <xf numFmtId="0" fontId="10"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6" fillId="0" borderId="27" xfId="0" applyFont="1" applyFill="1" applyBorder="1" applyAlignment="1">
      <alignment horizontal="center" vertical="center"/>
    </xf>
    <xf numFmtId="0" fontId="6" fillId="0" borderId="53" xfId="0" applyFont="1" applyFill="1" applyBorder="1" applyAlignment="1">
      <alignment horizontal="center" vertical="center"/>
    </xf>
    <xf numFmtId="0" fontId="11" fillId="8" borderId="1" xfId="0" applyFont="1" applyFill="1" applyBorder="1" applyAlignment="1">
      <alignment vertical="center"/>
    </xf>
    <xf numFmtId="49" fontId="17" fillId="8" borderId="27" xfId="0" applyNumberFormat="1" applyFont="1" applyFill="1" applyBorder="1" applyAlignment="1">
      <alignment horizontal="center" vertical="center"/>
    </xf>
    <xf numFmtId="0" fontId="17" fillId="8" borderId="28" xfId="0" applyNumberFormat="1" applyFont="1" applyFill="1" applyBorder="1" applyAlignment="1">
      <alignment horizontal="center" vertical="center"/>
    </xf>
    <xf numFmtId="0" fontId="11" fillId="8" borderId="28" xfId="0" applyNumberFormat="1" applyFont="1" applyFill="1" applyBorder="1" applyAlignment="1">
      <alignment horizontal="center" vertical="center"/>
    </xf>
    <xf numFmtId="0" fontId="2" fillId="16" borderId="111" xfId="0" applyNumberFormat="1" applyFont="1" applyFill="1" applyBorder="1" applyAlignment="1">
      <alignment horizontal="center" vertical="center"/>
    </xf>
    <xf numFmtId="0" fontId="2" fillId="16" borderId="114" xfId="0" applyNumberFormat="1" applyFont="1" applyFill="1" applyBorder="1" applyAlignment="1">
      <alignment horizontal="center" vertical="center"/>
    </xf>
    <xf numFmtId="0" fontId="2" fillId="16" borderId="114" xfId="0" applyFont="1" applyFill="1" applyBorder="1" applyAlignment="1">
      <alignment horizontal="center" vertical="center"/>
    </xf>
    <xf numFmtId="0" fontId="2" fillId="16" borderId="111" xfId="0" quotePrefix="1" applyNumberFormat="1" applyFont="1" applyFill="1" applyBorder="1" applyAlignment="1">
      <alignment horizontal="center" vertical="center"/>
    </xf>
    <xf numFmtId="49" fontId="2" fillId="16" borderId="114" xfId="0" quotePrefix="1" applyNumberFormat="1" applyFont="1" applyFill="1" applyBorder="1" applyAlignment="1">
      <alignment horizontal="center" vertical="center"/>
    </xf>
    <xf numFmtId="1" fontId="59" fillId="16" borderId="108" xfId="0" applyNumberFormat="1" applyFont="1" applyFill="1" applyBorder="1" applyAlignment="1">
      <alignment horizontal="centerContinuous" vertical="center"/>
    </xf>
    <xf numFmtId="0" fontId="2" fillId="16" borderId="109" xfId="0" applyFont="1" applyFill="1" applyBorder="1" applyAlignment="1">
      <alignment horizontal="centerContinuous" vertical="center"/>
    </xf>
    <xf numFmtId="0" fontId="69" fillId="2" borderId="4" xfId="0" applyFont="1" applyFill="1" applyBorder="1" applyAlignment="1">
      <alignment horizontal="right" vertical="center"/>
    </xf>
  </cellXfs>
  <cellStyles count="12">
    <cellStyle name="Comma" xfId="11"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3" xfId="8" xr:uid="{00000000-0005-0000-0000-000006000000}"/>
    <cellStyle name="Normal 4" xfId="7" xr:uid="{00000000-0005-0000-0000-000007000000}"/>
    <cellStyle name="Normal 5" xfId="9" xr:uid="{00000000-0005-0000-0000-000008000000}"/>
    <cellStyle name="Percent" xfId="2" builtinId="5"/>
    <cellStyle name="Percent 2" xfId="3" xr:uid="{00000000-0005-0000-0000-00000A000000}"/>
    <cellStyle name="Percent 2 2" xfId="10" xr:uid="{00000000-0005-0000-0000-00000B000000}"/>
  </cellStyles>
  <dxfs count="37">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009900"/>
      <color rgb="FF9966FF"/>
      <color rgb="FFCCFF99"/>
      <color rgb="FF00CC66"/>
      <color rgb="FFCCCC00"/>
      <color rgb="FF99FF99"/>
      <color rgb="FFFF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66675</xdr:rowOff>
    </xdr:from>
    <xdr:to>
      <xdr:col>6</xdr:col>
      <xdr:colOff>1276350</xdr:colOff>
      <xdr:row>41</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r>
            <a:rPr lang="en-US" sz="1200" b="1">
              <a:effectLst/>
              <a:latin typeface="Times New Roman" panose="02020603050405020304" pitchFamily="18" charset="0"/>
              <a:ea typeface="+mn-ea"/>
              <a:cs typeface="Times New Roman" panose="02020603050405020304" pitchFamily="18" charset="0"/>
            </a:rPr>
            <a:t>Physical Description:  </a:t>
          </a:r>
          <a:r>
            <a:rPr lang="en-US" sz="1200">
              <a:effectLst/>
              <a:latin typeface="Times New Roman" panose="02020603050405020304" pitchFamily="18" charset="0"/>
              <a:ea typeface="+mn-ea"/>
              <a:cs typeface="Times New Roman" panose="02020603050405020304" pitchFamily="18" charset="0"/>
            </a:rPr>
            <a:t>Tali is a slim human female with dark hair and blue eyes who stands roughly 5’4. She is a no-nonsense lady whose face is normally set in a vaguely disapproving glare, even if she’s not in a bad mood. She disdains fancy clothes, and typically sticks to her adventuring gear, with a greyish blue hooded coat and breeches.</a:t>
          </a:r>
        </a:p>
        <a:p>
          <a:endParaRPr lang="en-US" sz="1200" b="1">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Talisen’s mother died in childbirth, leaving her to be raised by her hunter father, who did the best he could for the girl. He didn’t really know how to teach her to be a girl, but taught her how to be a ranger, something she genuinely enjoyed and had a talent for.</a:t>
          </a:r>
        </a:p>
        <a:p>
          <a:endParaRPr lang="en-US" sz="1200">
            <a:effectLst/>
            <a:latin typeface="Times New Roman" panose="02020603050405020304" pitchFamily="18" charset="0"/>
            <a:ea typeface="+mn-ea"/>
            <a:cs typeface="Times New Roman" panose="02020603050405020304" pitchFamily="18" charset="0"/>
          </a:endParaRPr>
        </a:p>
        <a:p>
          <a:r>
            <a:rPr lang="en-US" sz="1200">
              <a:effectLst/>
              <a:latin typeface="Times New Roman" panose="02020603050405020304" pitchFamily="18" charset="0"/>
              <a:ea typeface="+mn-ea"/>
              <a:cs typeface="Times New Roman" panose="02020603050405020304" pitchFamily="18" charset="0"/>
            </a:rPr>
            <a:t>As a teen, she joined her dale’s military, serving as a scout and sniper. While serving with her Dalish army, she struck up a relationship with a Mystran priestess, who healed her after a battle went badly. The priestess showed her the ways of Mystra, and while Tali wasn’t comfortable with magic, she did recognize and respect its power.</a:t>
          </a:r>
        </a:p>
        <a:p>
          <a:endParaRPr lang="en-US" sz="1200">
            <a:effectLst/>
            <a:latin typeface="Times New Roman" panose="02020603050405020304" pitchFamily="18" charset="0"/>
            <a:ea typeface="+mn-ea"/>
            <a:cs typeface="Times New Roman" panose="02020603050405020304" pitchFamily="18" charset="0"/>
          </a:endParaRPr>
        </a:p>
        <a:p>
          <a:r>
            <a:rPr lang="en-US" sz="1200">
              <a:effectLst/>
              <a:latin typeface="Times New Roman" panose="02020603050405020304" pitchFamily="18" charset="0"/>
              <a:ea typeface="+mn-ea"/>
              <a:cs typeface="Times New Roman" panose="02020603050405020304" pitchFamily="18" charset="0"/>
            </a:rPr>
            <a:t>During the civil war, Tali’s father died in a battle with another Dale and embittered, the young warrior left the Dalelands, setting out to find her own destiny. Eventually, she made her ways to the City of Splendors, if only to see it. Within a day of arriving, one of Waterdeep’s regular disasters took place, as undead boiled out of the earth. Tali comported herself well enough to be noticed by the Grey Hands. She was recruited into the organizations and partnered with an infuriating man named Flint. While he infiltrated enemy organizations, she watched from afar, her deadly arrows at the ready when needed.</a:t>
          </a:r>
        </a:p>
        <a:p>
          <a:endParaRPr lang="en-US" sz="1200" b="1">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Tali is a young woman who’s never really dealt with the death of her father, who she feels died in a pointless conflict between two men vying for power using the lives of hard working, simple folk, who wouldn’t have benefited from a change in ‘Lord’. That gives her a powerful distrust of authority figures. At the same time, she’s a soldier. She’s a warrior who only knows how to affect change through the end of an arrow. Had the Grey Hand not found her, someone nefarious might have been able to tempt her into darkness, despite her good heart. As it is, she’s able to use her lethal talents to save lives, without necessarily making the rich and powerful more so, which feels just right.</a:t>
          </a:r>
        </a:p>
      </xdr:txBody>
    </xdr:sp>
    <xdr:clientData/>
  </xdr:twoCellAnchor>
  <xdr:twoCellAnchor editAs="oneCell">
    <xdr:from>
      <xdr:col>5</xdr:col>
      <xdr:colOff>182881</xdr:colOff>
      <xdr:row>1</xdr:row>
      <xdr:rowOff>22860</xdr:rowOff>
    </xdr:from>
    <xdr:to>
      <xdr:col>6</xdr:col>
      <xdr:colOff>1138211</xdr:colOff>
      <xdr:row>17</xdr:row>
      <xdr:rowOff>228600</xdr:rowOff>
    </xdr:to>
    <xdr:pic>
      <xdr:nvPicPr>
        <xdr:cNvPr id="6" name="Picture 5" descr="https://img00.deviantart.net/4725/i/2015/124/3/0/krina_by_zano-d1rla7h.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64381" y="396240"/>
          <a:ext cx="2075470" cy="3710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66675</xdr:colOff>
      <xdr:row>14</xdr:row>
      <xdr:rowOff>205740</xdr:rowOff>
    </xdr:from>
    <xdr:to>
      <xdr:col>6</xdr:col>
      <xdr:colOff>1238250</xdr:colOff>
      <xdr:row>17</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49115" y="2750820"/>
          <a:ext cx="2291715" cy="68008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2474595</xdr:colOff>
      <xdr:row>1</xdr:row>
      <xdr:rowOff>123825</xdr:rowOff>
    </xdr:from>
    <xdr:to>
      <xdr:col>0</xdr:col>
      <xdr:colOff>3168015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3"/>
  <sheetViews>
    <sheetView showGridLines="0" tabSelected="1" zoomScaleNormal="100" workbookViewId="0"/>
  </sheetViews>
  <sheetFormatPr defaultColWidth="13" defaultRowHeight="15.6" x14ac:dyDescent="0.3"/>
  <cols>
    <col min="1" max="1" width="14.5" style="61" bestFit="1" customWidth="1"/>
    <col min="2" max="2" width="11.296875" style="62" customWidth="1"/>
    <col min="3" max="3" width="6.796875" style="62" customWidth="1"/>
    <col min="4" max="4" width="14" style="61" bestFit="1" customWidth="1"/>
    <col min="5" max="5" width="10.8984375" style="62" bestFit="1" customWidth="1"/>
    <col min="6" max="6" width="14.69921875" style="61" customWidth="1"/>
    <col min="7" max="7" width="17.09765625" style="62" customWidth="1"/>
    <col min="8" max="16384" width="13" style="21"/>
  </cols>
  <sheetData>
    <row r="1" spans="1:7" ht="29.4" thickTop="1" thickBot="1" x14ac:dyDescent="0.35">
      <c r="A1" s="15" t="s">
        <v>333</v>
      </c>
      <c r="B1" s="16"/>
      <c r="C1" s="17"/>
      <c r="D1" s="18"/>
      <c r="E1" s="19"/>
      <c r="F1" s="18"/>
      <c r="G1" s="20" t="s">
        <v>307</v>
      </c>
    </row>
    <row r="2" spans="1:7" ht="17.399999999999999" thickTop="1" x14ac:dyDescent="0.3">
      <c r="A2" s="22" t="s">
        <v>308</v>
      </c>
      <c r="B2" s="23" t="s">
        <v>199</v>
      </c>
      <c r="C2" s="23"/>
      <c r="D2" s="24" t="s">
        <v>309</v>
      </c>
      <c r="E2" s="25">
        <v>32</v>
      </c>
      <c r="F2"/>
      <c r="G2" s="26"/>
    </row>
    <row r="3" spans="1:7" ht="16.8" x14ac:dyDescent="0.3">
      <c r="A3" s="22" t="s">
        <v>310</v>
      </c>
      <c r="B3" s="23" t="s">
        <v>260</v>
      </c>
      <c r="C3" s="23"/>
      <c r="D3" s="24" t="s">
        <v>0</v>
      </c>
      <c r="E3" s="25">
        <v>3</v>
      </c>
      <c r="F3" s="24"/>
      <c r="G3" s="26"/>
    </row>
    <row r="4" spans="1:7" ht="20.399999999999999" x14ac:dyDescent="0.3">
      <c r="A4" s="22" t="s">
        <v>310</v>
      </c>
      <c r="B4" s="23" t="s">
        <v>264</v>
      </c>
      <c r="C4" s="23"/>
      <c r="D4" s="24" t="s">
        <v>0</v>
      </c>
      <c r="E4" s="25">
        <v>2</v>
      </c>
      <c r="F4" s="24"/>
      <c r="G4" s="26"/>
    </row>
    <row r="5" spans="1:7" ht="16.8" x14ac:dyDescent="0.3">
      <c r="A5" s="22" t="s">
        <v>310</v>
      </c>
      <c r="B5" s="23" t="s">
        <v>200</v>
      </c>
      <c r="C5" s="23"/>
      <c r="D5" s="24" t="s">
        <v>0</v>
      </c>
      <c r="E5" s="25">
        <v>4</v>
      </c>
      <c r="F5" s="24"/>
      <c r="G5" s="26"/>
    </row>
    <row r="6" spans="1:7" ht="16.8" x14ac:dyDescent="0.3">
      <c r="A6" s="22" t="s">
        <v>310</v>
      </c>
      <c r="B6" s="23" t="s">
        <v>269</v>
      </c>
      <c r="C6" s="23"/>
      <c r="D6" s="24" t="s">
        <v>0</v>
      </c>
      <c r="E6" s="25">
        <v>2</v>
      </c>
      <c r="F6" s="24"/>
      <c r="G6" s="26"/>
    </row>
    <row r="7" spans="1:7" ht="16.8" x14ac:dyDescent="0.3">
      <c r="A7" s="22" t="s">
        <v>311</v>
      </c>
      <c r="B7" s="23" t="s">
        <v>334</v>
      </c>
      <c r="C7" s="23"/>
      <c r="D7" s="24" t="s">
        <v>312</v>
      </c>
      <c r="E7" s="25" t="s">
        <v>154</v>
      </c>
      <c r="F7" s="24"/>
      <c r="G7" s="26"/>
    </row>
    <row r="8" spans="1:7" ht="16.8" x14ac:dyDescent="0.3">
      <c r="A8" s="22" t="s">
        <v>313</v>
      </c>
      <c r="B8" s="23" t="s">
        <v>153</v>
      </c>
      <c r="C8" s="23"/>
      <c r="D8" s="24" t="s">
        <v>314</v>
      </c>
      <c r="E8" s="25" t="s">
        <v>155</v>
      </c>
      <c r="F8" s="24"/>
      <c r="G8" s="26"/>
    </row>
    <row r="9" spans="1:7" ht="17.399999999999999" thickBot="1" x14ac:dyDescent="0.35">
      <c r="A9" s="22" t="s">
        <v>315</v>
      </c>
      <c r="B9" s="23" t="s">
        <v>198</v>
      </c>
      <c r="C9" s="23"/>
      <c r="D9" s="24" t="s">
        <v>316</v>
      </c>
      <c r="E9" s="25" t="s">
        <v>294</v>
      </c>
      <c r="F9" s="24"/>
      <c r="G9" s="26"/>
    </row>
    <row r="10" spans="1:7" ht="17.399999999999999" thickTop="1" x14ac:dyDescent="0.3">
      <c r="A10" s="27" t="s">
        <v>317</v>
      </c>
      <c r="B10" s="458">
        <f>E3+(E4-0)+E5+E6-2</f>
        <v>9</v>
      </c>
      <c r="C10" s="459"/>
      <c r="D10" s="28" t="s">
        <v>318</v>
      </c>
      <c r="E10" s="29" t="s">
        <v>126</v>
      </c>
      <c r="F10" s="30"/>
      <c r="G10" s="26"/>
    </row>
    <row r="11" spans="1:7" ht="17.399999999999999" thickBot="1" x14ac:dyDescent="0.35">
      <c r="A11" s="283" t="s">
        <v>319</v>
      </c>
      <c r="B11" s="284">
        <f>C13+2</f>
        <v>8</v>
      </c>
      <c r="C11" s="285"/>
      <c r="D11" s="286" t="s">
        <v>320</v>
      </c>
      <c r="E11" s="417" t="str">
        <f>CONCATENATE(E10,"+10’")</f>
        <v>30’+10’</v>
      </c>
      <c r="F11" s="30"/>
      <c r="G11" s="26"/>
    </row>
    <row r="12" spans="1:7" ht="17.399999999999999" thickTop="1" x14ac:dyDescent="0.3">
      <c r="A12" s="31" t="s">
        <v>321</v>
      </c>
      <c r="B12" s="362">
        <f>14</f>
        <v>14</v>
      </c>
      <c r="C12" s="32" t="str">
        <f t="shared" ref="C12:C17" si="0">IF(B12&gt;9.9,CONCATENATE("+",ROUNDDOWN((B12-10)/2,0)),ROUNDUP((B12-10)/2,0))</f>
        <v>+2</v>
      </c>
      <c r="D12" s="33" t="s">
        <v>322</v>
      </c>
      <c r="E12" s="374" t="s">
        <v>214</v>
      </c>
      <c r="F12" s="30"/>
      <c r="G12" s="26"/>
    </row>
    <row r="13" spans="1:7" ht="16.8" x14ac:dyDescent="0.3">
      <c r="A13" s="34" t="s">
        <v>323</v>
      </c>
      <c r="B13" s="375">
        <f>18+4</f>
        <v>22</v>
      </c>
      <c r="C13" s="35" t="str">
        <f t="shared" si="0"/>
        <v>+6</v>
      </c>
      <c r="D13" s="36" t="s">
        <v>324</v>
      </c>
      <c r="E13" s="37">
        <f>SUM(Martial!G5:G23)+SUM(Equipment!C3:C17)</f>
        <v>19.5</v>
      </c>
      <c r="F13" s="30"/>
      <c r="G13" s="26"/>
    </row>
    <row r="14" spans="1:7" ht="16.8" x14ac:dyDescent="0.3">
      <c r="A14" s="460" t="s">
        <v>325</v>
      </c>
      <c r="B14" s="375">
        <f>13+2</f>
        <v>15</v>
      </c>
      <c r="C14" s="39" t="str">
        <f t="shared" si="0"/>
        <v>+2</v>
      </c>
      <c r="D14" s="36" t="s">
        <v>326</v>
      </c>
      <c r="E14" s="40">
        <f>ROUNDUP(((E3*8)*0.75)+((E4*8)*0.75)+((E5*10)*0.75)+((E6*8)*0.75)+((E3+E4+E5+E6)*C14),0)</f>
        <v>94</v>
      </c>
      <c r="F14" s="30"/>
      <c r="G14" s="26"/>
    </row>
    <row r="15" spans="1:7" ht="16.8" x14ac:dyDescent="0.3">
      <c r="A15" s="41" t="s">
        <v>327</v>
      </c>
      <c r="B15" s="38">
        <v>10</v>
      </c>
      <c r="C15" s="35" t="str">
        <f t="shared" si="0"/>
        <v>+0</v>
      </c>
      <c r="D15" s="42" t="s">
        <v>328</v>
      </c>
      <c r="E15" s="257">
        <f>-1+10+C13</f>
        <v>15</v>
      </c>
      <c r="F15" s="22"/>
      <c r="G15" s="26"/>
    </row>
    <row r="16" spans="1:7" ht="16.8" x14ac:dyDescent="0.3">
      <c r="A16" s="43" t="s">
        <v>329</v>
      </c>
      <c r="B16" s="44">
        <v>14</v>
      </c>
      <c r="C16" s="35" t="str">
        <f t="shared" si="0"/>
        <v>+2</v>
      </c>
      <c r="D16" s="42" t="s">
        <v>330</v>
      </c>
      <c r="E16" s="257">
        <f>E17-C13</f>
        <v>15</v>
      </c>
      <c r="F16" s="30"/>
      <c r="G16" s="26"/>
    </row>
    <row r="17" spans="1:7" ht="17.399999999999999" thickBot="1" x14ac:dyDescent="0.35">
      <c r="A17" s="45" t="s">
        <v>331</v>
      </c>
      <c r="B17" s="263">
        <v>8</v>
      </c>
      <c r="C17" s="46">
        <f t="shared" si="0"/>
        <v>-1</v>
      </c>
      <c r="D17" s="47" t="s">
        <v>332</v>
      </c>
      <c r="E17" s="256">
        <f>E15+SUM(Martial!B19:B20)</f>
        <v>21</v>
      </c>
      <c r="F17" s="30"/>
      <c r="G17" s="26"/>
    </row>
    <row r="18" spans="1:7" ht="24" thickTop="1" thickBot="1" x14ac:dyDescent="0.35">
      <c r="A18" s="48" t="s">
        <v>18</v>
      </c>
      <c r="B18" s="49"/>
      <c r="C18" s="49"/>
      <c r="F18" s="50"/>
      <c r="G18" s="51"/>
    </row>
    <row r="19" spans="1:7" s="9" customFormat="1" ht="17.399999999999999" thickTop="1" x14ac:dyDescent="0.3">
      <c r="A19" s="52"/>
      <c r="B19" s="53"/>
      <c r="C19" s="53"/>
      <c r="D19" s="53"/>
      <c r="E19" s="53"/>
      <c r="F19" s="53"/>
      <c r="G19" s="54"/>
    </row>
    <row r="20" spans="1:7" s="9" customFormat="1" ht="16.8" x14ac:dyDescent="0.3">
      <c r="A20" s="55"/>
      <c r="B20" s="56"/>
      <c r="C20" s="56"/>
      <c r="D20" s="56"/>
      <c r="E20" s="56"/>
      <c r="F20" s="56"/>
      <c r="G20" s="57"/>
    </row>
    <row r="21" spans="1:7" s="9" customFormat="1" ht="16.8" x14ac:dyDescent="0.3">
      <c r="A21" s="55"/>
      <c r="B21" s="56"/>
      <c r="C21" s="56"/>
      <c r="D21" s="56"/>
      <c r="E21" s="56"/>
      <c r="F21" s="56"/>
      <c r="G21" s="57"/>
    </row>
    <row r="22" spans="1:7" s="9" customFormat="1" ht="16.8" x14ac:dyDescent="0.3">
      <c r="A22" s="55"/>
      <c r="B22" s="56"/>
      <c r="C22" s="56"/>
      <c r="D22" s="56"/>
      <c r="E22" s="56"/>
      <c r="F22" s="56"/>
      <c r="G22" s="57"/>
    </row>
    <row r="23" spans="1:7" s="9" customFormat="1" ht="16.8" x14ac:dyDescent="0.3">
      <c r="A23" s="55"/>
      <c r="B23" s="56"/>
      <c r="C23" s="56"/>
      <c r="D23" s="56"/>
      <c r="E23" s="56"/>
      <c r="F23" s="56"/>
      <c r="G23" s="57"/>
    </row>
    <row r="24" spans="1:7" s="9" customFormat="1" ht="16.8" x14ac:dyDescent="0.3">
      <c r="A24" s="55"/>
      <c r="B24" s="56"/>
      <c r="C24" s="56"/>
      <c r="D24" s="56"/>
      <c r="E24" s="56"/>
      <c r="F24" s="56"/>
      <c r="G24" s="57"/>
    </row>
    <row r="25" spans="1:7" s="9" customFormat="1" ht="16.8" x14ac:dyDescent="0.3">
      <c r="A25" s="55"/>
      <c r="B25" s="56"/>
      <c r="C25" s="56"/>
      <c r="D25" s="56"/>
      <c r="E25" s="56"/>
      <c r="F25" s="56"/>
      <c r="G25" s="57"/>
    </row>
    <row r="26" spans="1:7" s="9" customFormat="1" ht="16.8" x14ac:dyDescent="0.3">
      <c r="A26" s="55"/>
      <c r="B26" s="56"/>
      <c r="C26" s="56"/>
      <c r="D26" s="56"/>
      <c r="E26" s="56"/>
      <c r="F26" s="56"/>
      <c r="G26" s="57"/>
    </row>
    <row r="27" spans="1:7" s="9" customFormat="1" ht="16.8" x14ac:dyDescent="0.3">
      <c r="A27" s="55"/>
      <c r="B27" s="56"/>
      <c r="C27" s="56"/>
      <c r="D27" s="56"/>
      <c r="E27" s="56"/>
      <c r="F27" s="56"/>
      <c r="G27" s="57"/>
    </row>
    <row r="28" spans="1:7" s="9" customFormat="1" ht="16.8" x14ac:dyDescent="0.3">
      <c r="A28" s="55"/>
      <c r="B28" s="56"/>
      <c r="C28" s="56"/>
      <c r="D28" s="56"/>
      <c r="E28" s="56"/>
      <c r="F28" s="56"/>
      <c r="G28" s="57"/>
    </row>
    <row r="29" spans="1:7" s="9" customFormat="1" ht="16.8" x14ac:dyDescent="0.3">
      <c r="A29" s="55"/>
      <c r="B29" s="56"/>
      <c r="C29" s="56"/>
      <c r="D29" s="56"/>
      <c r="E29" s="56"/>
      <c r="F29" s="56"/>
      <c r="G29" s="57"/>
    </row>
    <row r="30" spans="1:7" s="9" customFormat="1" ht="16.8" x14ac:dyDescent="0.3">
      <c r="A30" s="55"/>
      <c r="B30" s="56"/>
      <c r="C30" s="56"/>
      <c r="D30" s="56"/>
      <c r="E30" s="56"/>
      <c r="F30" s="56"/>
      <c r="G30" s="57"/>
    </row>
    <row r="31" spans="1:7" s="9" customFormat="1" ht="16.8" x14ac:dyDescent="0.3">
      <c r="A31" s="55"/>
      <c r="B31" s="56"/>
      <c r="C31" s="56"/>
      <c r="D31" s="56"/>
      <c r="E31" s="56"/>
      <c r="F31" s="56"/>
      <c r="G31" s="57"/>
    </row>
    <row r="32" spans="1:7" s="9" customFormat="1" ht="16.8" x14ac:dyDescent="0.3">
      <c r="A32" s="55"/>
      <c r="B32" s="56"/>
      <c r="C32" s="56"/>
      <c r="D32" s="56"/>
      <c r="E32" s="56"/>
      <c r="F32" s="56"/>
      <c r="G32" s="57"/>
    </row>
    <row r="33" spans="1:7" s="9" customFormat="1" ht="16.8" x14ac:dyDescent="0.3">
      <c r="A33" s="55"/>
      <c r="B33" s="56"/>
      <c r="C33" s="56"/>
      <c r="D33" s="56"/>
      <c r="E33" s="56"/>
      <c r="F33" s="56"/>
      <c r="G33" s="57"/>
    </row>
    <row r="34" spans="1:7" s="9" customFormat="1" ht="16.8" x14ac:dyDescent="0.3">
      <c r="A34" s="55"/>
      <c r="B34" s="56"/>
      <c r="C34" s="56"/>
      <c r="D34" s="56"/>
      <c r="E34" s="56"/>
      <c r="F34" s="56"/>
      <c r="G34" s="57"/>
    </row>
    <row r="35" spans="1:7" s="9" customFormat="1" ht="16.8" x14ac:dyDescent="0.3">
      <c r="A35" s="55"/>
      <c r="B35" s="56"/>
      <c r="C35" s="56"/>
      <c r="D35" s="56"/>
      <c r="E35" s="56"/>
      <c r="F35" s="56"/>
      <c r="G35" s="57"/>
    </row>
    <row r="36" spans="1:7" s="9" customFormat="1" ht="16.8" x14ac:dyDescent="0.3">
      <c r="A36" s="55"/>
      <c r="B36" s="56"/>
      <c r="C36" s="56"/>
      <c r="D36" s="56"/>
      <c r="E36" s="56"/>
      <c r="F36" s="56"/>
      <c r="G36" s="57"/>
    </row>
    <row r="37" spans="1:7" s="9" customFormat="1" ht="16.8" x14ac:dyDescent="0.3">
      <c r="A37" s="55"/>
      <c r="B37" s="56"/>
      <c r="C37" s="56"/>
      <c r="D37" s="56"/>
      <c r="E37" s="56"/>
      <c r="F37" s="56"/>
      <c r="G37" s="57"/>
    </row>
    <row r="38" spans="1:7" s="9" customFormat="1" ht="16.8" x14ac:dyDescent="0.3">
      <c r="A38" s="55"/>
      <c r="B38" s="56"/>
      <c r="C38" s="56"/>
      <c r="D38" s="56"/>
      <c r="E38" s="56"/>
      <c r="F38" s="56"/>
      <c r="G38" s="57"/>
    </row>
    <row r="39" spans="1:7" s="9" customFormat="1" ht="16.8" x14ac:dyDescent="0.3">
      <c r="A39" s="55"/>
      <c r="B39" s="56"/>
      <c r="C39" s="56"/>
      <c r="D39" s="56"/>
      <c r="E39" s="56"/>
      <c r="F39" s="56"/>
      <c r="G39" s="57"/>
    </row>
    <row r="40" spans="1:7" s="9" customFormat="1" ht="16.8" x14ac:dyDescent="0.3">
      <c r="A40" s="55"/>
      <c r="B40" s="56"/>
      <c r="C40" s="56"/>
      <c r="D40" s="56"/>
      <c r="E40" s="56"/>
      <c r="F40" s="56"/>
      <c r="G40" s="57"/>
    </row>
    <row r="41" spans="1:7" s="9" customFormat="1" ht="16.8" x14ac:dyDescent="0.3">
      <c r="A41" s="55"/>
      <c r="B41" s="56"/>
      <c r="C41" s="56"/>
      <c r="D41" s="56"/>
      <c r="E41" s="56"/>
      <c r="F41" s="56"/>
      <c r="G41" s="57"/>
    </row>
    <row r="42" spans="1:7" ht="17.399999999999999" thickBot="1" x14ac:dyDescent="0.35">
      <c r="A42" s="58"/>
      <c r="B42" s="59"/>
      <c r="C42" s="59"/>
      <c r="D42" s="59"/>
      <c r="E42" s="59"/>
      <c r="F42" s="59"/>
      <c r="G42" s="60"/>
    </row>
    <row r="43" spans="1:7" ht="16.2" thickTop="1" x14ac:dyDescent="0.3"/>
  </sheetData>
  <phoneticPr fontId="0" type="noConversion"/>
  <conditionalFormatting sqref="E13">
    <cfRule type="cellIs" dxfId="36" priority="4" stopIfTrue="1" operator="greaterThan">
      <formula>116</formula>
    </cfRule>
    <cfRule type="cellIs" dxfId="35"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workbookViewId="0">
      <pane ySplit="2" topLeftCell="A3" activePane="bottomLeft" state="frozen"/>
      <selection pane="bottomLeft" activeCell="A3" sqref="A3"/>
    </sheetView>
  </sheetViews>
  <sheetFormatPr defaultColWidth="13" defaultRowHeight="15.6" x14ac:dyDescent="0.3"/>
  <cols>
    <col min="1" max="1" width="30" style="61" bestFit="1" customWidth="1"/>
    <col min="2" max="2" width="5.8984375" style="61" bestFit="1" customWidth="1"/>
    <col min="3" max="3" width="7.59765625" style="62" hidden="1" customWidth="1"/>
    <col min="4" max="4" width="5.8984375" style="62" hidden="1" customWidth="1"/>
    <col min="5" max="5" width="9.19921875" style="62" bestFit="1" customWidth="1"/>
    <col min="6" max="6" width="6.69921875" style="62" bestFit="1" customWidth="1"/>
    <col min="7" max="7" width="6" style="145" bestFit="1" customWidth="1"/>
    <col min="8" max="8" width="5.19921875" style="145" bestFit="1" customWidth="1"/>
    <col min="9" max="9" width="6.8984375" style="145" bestFit="1" customWidth="1"/>
    <col min="10" max="10" width="26" style="61" bestFit="1" customWidth="1"/>
    <col min="11" max="16384" width="13" style="21"/>
  </cols>
  <sheetData>
    <row r="1" spans="1:10" ht="23.4" thickBot="1" x14ac:dyDescent="0.35">
      <c r="A1" s="63" t="s">
        <v>7</v>
      </c>
      <c r="B1" s="64"/>
      <c r="C1" s="64"/>
      <c r="D1" s="64"/>
      <c r="E1" s="64"/>
      <c r="F1" s="64"/>
      <c r="G1" s="65"/>
      <c r="H1" s="65"/>
      <c r="I1" s="65"/>
      <c r="J1" s="64"/>
    </row>
    <row r="2" spans="1:10" s="9" customFormat="1" ht="34.200000000000003" thickBot="1" x14ac:dyDescent="0.35">
      <c r="A2" s="2" t="s">
        <v>125</v>
      </c>
      <c r="B2" s="3" t="s">
        <v>23</v>
      </c>
      <c r="C2" s="3" t="s">
        <v>30</v>
      </c>
      <c r="D2" s="3" t="s">
        <v>22</v>
      </c>
      <c r="E2" s="4" t="s">
        <v>55</v>
      </c>
      <c r="F2" s="4" t="s">
        <v>31</v>
      </c>
      <c r="G2" s="5" t="s">
        <v>57</v>
      </c>
      <c r="H2" s="6" t="s">
        <v>124</v>
      </c>
      <c r="I2" s="7" t="s">
        <v>84</v>
      </c>
      <c r="J2" s="8" t="s">
        <v>82</v>
      </c>
    </row>
    <row r="3" spans="1:10" s="9" customFormat="1" ht="16.8" x14ac:dyDescent="0.3">
      <c r="A3" s="66" t="s">
        <v>60</v>
      </c>
      <c r="B3" s="447">
        <f>4-0+4+0</f>
        <v>8</v>
      </c>
      <c r="C3" s="67" t="s">
        <v>25</v>
      </c>
      <c r="D3" s="67" t="str">
        <f>IF(C3="Str",'Personal File'!$C$12,IF(C3="Dex",'Personal File'!$C$13,IF(C3="Con",'Personal File'!$C$14,IF(C3="Int",'Personal File'!$C$15,IF(C3="Wis",'Personal File'!$C$16,IF(C3="Cha",'Personal File'!$C$17))))))</f>
        <v>+2</v>
      </c>
      <c r="E3" s="68" t="str">
        <f t="shared" ref="E3:E40" si="0">CONCATENATE(C3," (",D3,")")</f>
        <v>Con (+2)</v>
      </c>
      <c r="F3" s="353">
        <f>3</f>
        <v>3</v>
      </c>
      <c r="G3" s="69">
        <f t="shared" ref="G3:G40" si="1">B3+D3+F3</f>
        <v>13</v>
      </c>
      <c r="H3" s="70">
        <f ca="1">RANDBETWEEN(1,20)</f>
        <v>19</v>
      </c>
      <c r="I3" s="69">
        <f t="shared" ref="I3:I40" ca="1" si="2">SUM(G3:H3)</f>
        <v>32</v>
      </c>
      <c r="J3" s="71"/>
    </row>
    <row r="4" spans="1:10" s="9" customFormat="1" ht="16.8" x14ac:dyDescent="0.3">
      <c r="A4" s="72" t="s">
        <v>61</v>
      </c>
      <c r="B4" s="447">
        <f>4-0+1+3</f>
        <v>8</v>
      </c>
      <c r="C4" s="67" t="s">
        <v>28</v>
      </c>
      <c r="D4" s="67" t="str">
        <f>IF(C4="Str",'Personal File'!$C$12,IF(C4="Dex",'Personal File'!$C$13,IF(C4="Con",'Personal File'!$C$14,IF(C4="Int",'Personal File'!$C$15,IF(C4="Wis",'Personal File'!$C$16,IF(C4="Cha",'Personal File'!$C$17))))))</f>
        <v>+6</v>
      </c>
      <c r="E4" s="73" t="str">
        <f t="shared" si="0"/>
        <v>Dex (+6)</v>
      </c>
      <c r="F4" s="353">
        <f>3</f>
        <v>3</v>
      </c>
      <c r="G4" s="69">
        <f t="shared" si="1"/>
        <v>17</v>
      </c>
      <c r="H4" s="70">
        <f ca="1">RANDBETWEEN(1,20)</f>
        <v>14</v>
      </c>
      <c r="I4" s="69">
        <f t="shared" ca="1" si="2"/>
        <v>31</v>
      </c>
      <c r="J4" s="71" t="s">
        <v>304</v>
      </c>
    </row>
    <row r="5" spans="1:10" s="9" customFormat="1" ht="16.8" x14ac:dyDescent="0.3">
      <c r="A5" s="74" t="s">
        <v>62</v>
      </c>
      <c r="B5" s="448">
        <f>1-0+1+0</f>
        <v>2</v>
      </c>
      <c r="C5" s="75" t="s">
        <v>27</v>
      </c>
      <c r="D5" s="75" t="str">
        <f>IF(C5="Str",'Personal File'!$C$12,IF(C5="Dex",'Personal File'!$C$13,IF(C5="Con",'Personal File'!$C$14,IF(C5="Int",'Personal File'!$C$15,IF(C5="Wis",'Personal File'!$C$16,IF(C5="Cha",'Personal File'!$C$17))))))</f>
        <v>+2</v>
      </c>
      <c r="E5" s="76" t="str">
        <f t="shared" si="0"/>
        <v>Wis (+2)</v>
      </c>
      <c r="F5" s="354">
        <f>3</f>
        <v>3</v>
      </c>
      <c r="G5" s="77">
        <f t="shared" si="1"/>
        <v>7</v>
      </c>
      <c r="H5" s="78">
        <f ca="1">RANDBETWEEN(1,20)</f>
        <v>15</v>
      </c>
      <c r="I5" s="77">
        <f t="shared" ca="1" si="2"/>
        <v>22</v>
      </c>
      <c r="J5" s="79"/>
    </row>
    <row r="6" spans="1:10" s="88" customFormat="1" ht="16.8" x14ac:dyDescent="0.3">
      <c r="A6" s="80" t="s">
        <v>32</v>
      </c>
      <c r="B6" s="81">
        <v>0</v>
      </c>
      <c r="C6" s="82" t="s">
        <v>26</v>
      </c>
      <c r="D6" s="83" t="str">
        <f>IF(C6="Str",'Personal File'!$C$12,IF(C6="Dex",'Personal File'!$C$13,IF(C6="Con",'Personal File'!$C$14,IF(C6="Int",'Personal File'!$C$15,IF(C6="Wis",'Personal File'!$C$16,IF(C6="Cha",'Personal File'!$C$17))))))</f>
        <v>+0</v>
      </c>
      <c r="E6" s="84" t="str">
        <f t="shared" si="0"/>
        <v>Int (+0)</v>
      </c>
      <c r="F6" s="85" t="s">
        <v>56</v>
      </c>
      <c r="G6" s="86">
        <f t="shared" si="1"/>
        <v>0</v>
      </c>
      <c r="H6" s="70">
        <f ca="1">RANDBETWEEN(1,20)</f>
        <v>17</v>
      </c>
      <c r="I6" s="86">
        <f t="shared" ca="1" si="2"/>
        <v>17</v>
      </c>
      <c r="J6" s="71" t="s">
        <v>338</v>
      </c>
    </row>
    <row r="7" spans="1:10" s="92" customFormat="1" ht="16.8" x14ac:dyDescent="0.3">
      <c r="A7" s="420" t="s">
        <v>33</v>
      </c>
      <c r="B7" s="107">
        <v>10</v>
      </c>
      <c r="C7" s="421" t="s">
        <v>28</v>
      </c>
      <c r="D7" s="422" t="str">
        <f>IF(C7="Str",'Personal File'!$C$12,IF(C7="Dex",'Personal File'!$C$13,IF(C7="Con",'Personal File'!$C$14,IF(C7="Int",'Personal File'!$C$15,IF(C7="Wis",'Personal File'!$C$16,IF(C7="Cha",'Personal File'!$C$17))))))</f>
        <v>+6</v>
      </c>
      <c r="E7" s="423" t="str">
        <f t="shared" si="0"/>
        <v>Dex (+6)</v>
      </c>
      <c r="F7" s="108" t="s">
        <v>56</v>
      </c>
      <c r="G7" s="108">
        <f t="shared" si="1"/>
        <v>16</v>
      </c>
      <c r="H7" s="70">
        <f t="shared" ref="H7:H47" ca="1" si="3">RANDBETWEEN(1,20)</f>
        <v>11</v>
      </c>
      <c r="I7" s="108">
        <f t="shared" ca="1" si="2"/>
        <v>27</v>
      </c>
      <c r="J7" s="109" t="s">
        <v>338</v>
      </c>
    </row>
    <row r="8" spans="1:10" s="97" customFormat="1" ht="16.8" x14ac:dyDescent="0.3">
      <c r="A8" s="93" t="s">
        <v>34</v>
      </c>
      <c r="B8" s="81">
        <v>0</v>
      </c>
      <c r="C8" s="94" t="s">
        <v>24</v>
      </c>
      <c r="D8" s="95">
        <f>IF(C8="Str",'Personal File'!$C$12,IF(C8="Dex",'Personal File'!$C$13,IF(C8="Con",'Personal File'!$C$14,IF(C8="Int",'Personal File'!$C$15,IF(C8="Wis",'Personal File'!$C$16,IF(C8="Cha",'Personal File'!$C$17))))))</f>
        <v>-1</v>
      </c>
      <c r="E8" s="96" t="str">
        <f t="shared" si="0"/>
        <v>Cha (-1)</v>
      </c>
      <c r="F8" s="86" t="s">
        <v>56</v>
      </c>
      <c r="G8" s="86">
        <f t="shared" si="1"/>
        <v>-1</v>
      </c>
      <c r="H8" s="70">
        <f t="shared" ca="1" si="3"/>
        <v>8</v>
      </c>
      <c r="I8" s="86">
        <f t="shared" ca="1" si="2"/>
        <v>7</v>
      </c>
      <c r="J8" s="71" t="s">
        <v>338</v>
      </c>
    </row>
    <row r="9" spans="1:10" s="98" customFormat="1" ht="16.8" x14ac:dyDescent="0.3">
      <c r="A9" s="425" t="s">
        <v>35</v>
      </c>
      <c r="B9" s="107">
        <v>6</v>
      </c>
      <c r="C9" s="426" t="s">
        <v>29</v>
      </c>
      <c r="D9" s="427" t="str">
        <f>IF(C9="Str",'Personal File'!$C$12,IF(C9="Dex",'Personal File'!$C$13,IF(C9="Con",'Personal File'!$C$14,IF(C9="Int",'Personal File'!$C$15,IF(C9="Wis",'Personal File'!$C$16,IF(C9="Cha",'Personal File'!$C$17))))))</f>
        <v>+2</v>
      </c>
      <c r="E9" s="428" t="str">
        <f t="shared" si="0"/>
        <v>Str (+2)</v>
      </c>
      <c r="F9" s="108" t="s">
        <v>56</v>
      </c>
      <c r="G9" s="108">
        <f t="shared" si="1"/>
        <v>8</v>
      </c>
      <c r="H9" s="70">
        <f t="shared" ca="1" si="3"/>
        <v>18</v>
      </c>
      <c r="I9" s="108">
        <f t="shared" ca="1" si="2"/>
        <v>26</v>
      </c>
      <c r="J9" s="109" t="s">
        <v>338</v>
      </c>
    </row>
    <row r="10" spans="1:10" s="98" customFormat="1" ht="16.8" x14ac:dyDescent="0.3">
      <c r="A10" s="443" t="s">
        <v>8</v>
      </c>
      <c r="B10" s="81">
        <v>0</v>
      </c>
      <c r="C10" s="444" t="s">
        <v>25</v>
      </c>
      <c r="D10" s="445" t="str">
        <f>IF(C10="Str",'Personal File'!$C$12,IF(C10="Dex",'Personal File'!$C$13,IF(C10="Con",'Personal File'!$C$14,IF(C10="Int",'Personal File'!$C$15,IF(C10="Wis",'Personal File'!$C$16,IF(C10="Cha",'Personal File'!$C$17))))))</f>
        <v>+2</v>
      </c>
      <c r="E10" s="446" t="str">
        <f t="shared" si="0"/>
        <v>Con (+2)</v>
      </c>
      <c r="F10" s="86" t="s">
        <v>56</v>
      </c>
      <c r="G10" s="86">
        <f t="shared" si="1"/>
        <v>2</v>
      </c>
      <c r="H10" s="70">
        <f t="shared" ca="1" si="3"/>
        <v>7</v>
      </c>
      <c r="I10" s="86">
        <f t="shared" ca="1" si="2"/>
        <v>9</v>
      </c>
      <c r="J10" s="71" t="s">
        <v>338</v>
      </c>
    </row>
    <row r="11" spans="1:10" s="88" customFormat="1" ht="16.8" x14ac:dyDescent="0.3">
      <c r="A11" s="80" t="s">
        <v>97</v>
      </c>
      <c r="B11" s="81">
        <v>0</v>
      </c>
      <c r="C11" s="82" t="s">
        <v>26</v>
      </c>
      <c r="D11" s="83" t="str">
        <f>IF(C11="Str",'Personal File'!$C$12,IF(C11="Dex",'Personal File'!$C$13,IF(C11="Con",'Personal File'!$C$14,IF(C11="Int",'Personal File'!$C$15,IF(C11="Wis",'Personal File'!$C$16,IF(C11="Cha",'Personal File'!$C$17))))))</f>
        <v>+0</v>
      </c>
      <c r="E11" s="84" t="str">
        <f t="shared" si="0"/>
        <v>Int (+0)</v>
      </c>
      <c r="F11" s="86" t="s">
        <v>56</v>
      </c>
      <c r="G11" s="86">
        <f t="shared" si="1"/>
        <v>0</v>
      </c>
      <c r="H11" s="70">
        <f t="shared" ca="1" si="3"/>
        <v>19</v>
      </c>
      <c r="I11" s="86">
        <f t="shared" ca="1" si="2"/>
        <v>19</v>
      </c>
      <c r="J11" s="71" t="s">
        <v>338</v>
      </c>
    </row>
    <row r="12" spans="1:10" s="106" customFormat="1" ht="16.8" x14ac:dyDescent="0.3">
      <c r="A12" s="99" t="s">
        <v>36</v>
      </c>
      <c r="B12" s="100">
        <v>0</v>
      </c>
      <c r="C12" s="101" t="s">
        <v>26</v>
      </c>
      <c r="D12" s="102" t="str">
        <f>IF(C12="Str",'Personal File'!$C$12,IF(C12="Dex",'Personal File'!$C$13,IF(C12="Con",'Personal File'!$C$14,IF(C12="Int",'Personal File'!$C$15,IF(C12="Wis",'Personal File'!$C$16,IF(C12="Cha",'Personal File'!$C$17))))))</f>
        <v>+0</v>
      </c>
      <c r="E12" s="103" t="str">
        <f t="shared" si="0"/>
        <v>Int (+0)</v>
      </c>
      <c r="F12" s="104" t="s">
        <v>56</v>
      </c>
      <c r="G12" s="104">
        <f t="shared" si="1"/>
        <v>0</v>
      </c>
      <c r="H12" s="70">
        <f t="shared" ca="1" si="3"/>
        <v>18</v>
      </c>
      <c r="I12" s="104">
        <f t="shared" ca="1" si="2"/>
        <v>18</v>
      </c>
      <c r="J12" s="105"/>
    </row>
    <row r="13" spans="1:10" s="92" customFormat="1" ht="16.8" x14ac:dyDescent="0.3">
      <c r="A13" s="93" t="s">
        <v>37</v>
      </c>
      <c r="B13" s="81">
        <v>0</v>
      </c>
      <c r="C13" s="94" t="s">
        <v>24</v>
      </c>
      <c r="D13" s="95">
        <f>IF(C13="Str",'Personal File'!$C$12,IF(C13="Dex",'Personal File'!$C$13,IF(C13="Con",'Personal File'!$C$14,IF(C13="Int",'Personal File'!$C$15,IF(C13="Wis",'Personal File'!$C$16,IF(C13="Cha",'Personal File'!$C$17))))))</f>
        <v>-1</v>
      </c>
      <c r="E13" s="96" t="str">
        <f t="shared" si="0"/>
        <v>Cha (-1)</v>
      </c>
      <c r="F13" s="86" t="s">
        <v>56</v>
      </c>
      <c r="G13" s="86">
        <f t="shared" si="1"/>
        <v>-1</v>
      </c>
      <c r="H13" s="70">
        <f t="shared" ca="1" si="3"/>
        <v>11</v>
      </c>
      <c r="I13" s="86">
        <f t="shared" ca="1" si="2"/>
        <v>10</v>
      </c>
      <c r="J13" s="71"/>
    </row>
    <row r="14" spans="1:10" s="92" customFormat="1" ht="16.8" x14ac:dyDescent="0.3">
      <c r="A14" s="99" t="s">
        <v>38</v>
      </c>
      <c r="B14" s="100">
        <v>0</v>
      </c>
      <c r="C14" s="101" t="s">
        <v>26</v>
      </c>
      <c r="D14" s="102" t="str">
        <f>IF(C14="Str",'Personal File'!$C$12,IF(C14="Dex",'Personal File'!$C$13,IF(C14="Con",'Personal File'!$C$14,IF(C14="Int",'Personal File'!$C$15,IF(C14="Wis",'Personal File'!$C$16,IF(C14="Cha",'Personal File'!$C$17))))))</f>
        <v>+0</v>
      </c>
      <c r="E14" s="103" t="str">
        <f t="shared" si="0"/>
        <v>Int (+0)</v>
      </c>
      <c r="F14" s="104" t="s">
        <v>56</v>
      </c>
      <c r="G14" s="104">
        <f t="shared" si="1"/>
        <v>0</v>
      </c>
      <c r="H14" s="70">
        <f t="shared" ca="1" si="3"/>
        <v>15</v>
      </c>
      <c r="I14" s="104">
        <f t="shared" ca="1" si="2"/>
        <v>15</v>
      </c>
      <c r="J14" s="105"/>
    </row>
    <row r="15" spans="1:10" s="92" customFormat="1" ht="16.8" x14ac:dyDescent="0.3">
      <c r="A15" s="93" t="s">
        <v>39</v>
      </c>
      <c r="B15" s="81">
        <v>0</v>
      </c>
      <c r="C15" s="94" t="s">
        <v>24</v>
      </c>
      <c r="D15" s="95">
        <f>IF(C15="Str",'Personal File'!$C$12,IF(C15="Dex",'Personal File'!$C$13,IF(C15="Con",'Personal File'!$C$14,IF(C15="Int",'Personal File'!$C$15,IF(C15="Wis",'Personal File'!$C$16,IF(C15="Cha",'Personal File'!$C$17))))))</f>
        <v>-1</v>
      </c>
      <c r="E15" s="96" t="str">
        <f t="shared" si="0"/>
        <v>Cha (-1)</v>
      </c>
      <c r="F15" s="86" t="s">
        <v>56</v>
      </c>
      <c r="G15" s="86">
        <f t="shared" si="1"/>
        <v>-1</v>
      </c>
      <c r="H15" s="70">
        <f t="shared" ca="1" si="3"/>
        <v>1</v>
      </c>
      <c r="I15" s="86">
        <f t="shared" ca="1" si="2"/>
        <v>0</v>
      </c>
      <c r="J15" s="87"/>
    </row>
    <row r="16" spans="1:10" s="92" customFormat="1" ht="16.8" x14ac:dyDescent="0.3">
      <c r="A16" s="89" t="s">
        <v>40</v>
      </c>
      <c r="B16" s="81">
        <v>0</v>
      </c>
      <c r="C16" s="90" t="s">
        <v>28</v>
      </c>
      <c r="D16" s="91" t="str">
        <f>IF(C16="Str",'Personal File'!$C$12,IF(C16="Dex",'Personal File'!$C$13,IF(C16="Con",'Personal File'!$C$14,IF(C16="Int",'Personal File'!$C$15,IF(C16="Wis",'Personal File'!$C$16,IF(C16="Cha",'Personal File'!$C$17))))))</f>
        <v>+6</v>
      </c>
      <c r="E16" s="73" t="str">
        <f t="shared" si="0"/>
        <v>Dex (+6)</v>
      </c>
      <c r="F16" s="86" t="s">
        <v>56</v>
      </c>
      <c r="G16" s="86">
        <f t="shared" si="1"/>
        <v>6</v>
      </c>
      <c r="H16" s="70">
        <f t="shared" ca="1" si="3"/>
        <v>4</v>
      </c>
      <c r="I16" s="86">
        <f t="shared" ca="1" si="2"/>
        <v>10</v>
      </c>
      <c r="J16" s="87"/>
    </row>
    <row r="17" spans="1:10" s="92" customFormat="1" ht="16.8" x14ac:dyDescent="0.3">
      <c r="A17" s="110" t="s">
        <v>41</v>
      </c>
      <c r="B17" s="111">
        <v>0</v>
      </c>
      <c r="C17" s="112" t="s">
        <v>26</v>
      </c>
      <c r="D17" s="113" t="str">
        <f>IF(C17="Str",'Personal File'!$C$12,IF(C17="Dex",'Personal File'!$C$13,IF(C17="Con",'Personal File'!$C$14,IF(C17="Int",'Personal File'!$C$15,IF(C17="Wis",'Personal File'!$C$16,IF(C17="Cha",'Personal File'!$C$17))))))</f>
        <v>+0</v>
      </c>
      <c r="E17" s="114" t="str">
        <f t="shared" si="0"/>
        <v>Int (+0)</v>
      </c>
      <c r="F17" s="115" t="s">
        <v>56</v>
      </c>
      <c r="G17" s="115">
        <f t="shared" si="1"/>
        <v>0</v>
      </c>
      <c r="H17" s="70">
        <f t="shared" ca="1" si="3"/>
        <v>14</v>
      </c>
      <c r="I17" s="115">
        <f t="shared" ca="1" si="2"/>
        <v>14</v>
      </c>
      <c r="J17" s="116"/>
    </row>
    <row r="18" spans="1:10" s="92" customFormat="1" ht="16.8" x14ac:dyDescent="0.3">
      <c r="A18" s="93" t="s">
        <v>42</v>
      </c>
      <c r="B18" s="81">
        <v>0</v>
      </c>
      <c r="C18" s="94" t="s">
        <v>24</v>
      </c>
      <c r="D18" s="95">
        <f>IF(C18="Str",'Personal File'!$C$12,IF(C18="Dex",'Personal File'!$C$13,IF(C18="Con",'Personal File'!$C$14,IF(C18="Int",'Personal File'!$C$15,IF(C18="Wis",'Personal File'!$C$16,IF(C18="Cha",'Personal File'!$C$17))))))</f>
        <v>-1</v>
      </c>
      <c r="E18" s="96" t="str">
        <f t="shared" si="0"/>
        <v>Cha (-1)</v>
      </c>
      <c r="F18" s="86" t="s">
        <v>56</v>
      </c>
      <c r="G18" s="86">
        <f t="shared" si="1"/>
        <v>-1</v>
      </c>
      <c r="H18" s="70">
        <f t="shared" ca="1" si="3"/>
        <v>1</v>
      </c>
      <c r="I18" s="86">
        <f t="shared" ca="1" si="2"/>
        <v>0</v>
      </c>
      <c r="J18" s="87"/>
    </row>
    <row r="19" spans="1:10" s="92" customFormat="1" ht="16.8" x14ac:dyDescent="0.3">
      <c r="A19" s="93" t="s">
        <v>10</v>
      </c>
      <c r="B19" s="81">
        <v>0</v>
      </c>
      <c r="C19" s="94" t="s">
        <v>24</v>
      </c>
      <c r="D19" s="95">
        <f>IF(C19="Str",'Personal File'!$C$12,IF(C19="Dex",'Personal File'!$C$13,IF(C19="Con",'Personal File'!$C$14,IF(C19="Int",'Personal File'!$C$15,IF(C19="Wis",'Personal File'!$C$16,IF(C19="Cha",'Personal File'!$C$17))))))</f>
        <v>-1</v>
      </c>
      <c r="E19" s="96" t="str">
        <f t="shared" si="0"/>
        <v>Cha (-1)</v>
      </c>
      <c r="F19" s="86" t="s">
        <v>56</v>
      </c>
      <c r="G19" s="86">
        <f t="shared" si="1"/>
        <v>-1</v>
      </c>
      <c r="H19" s="70">
        <f t="shared" ca="1" si="3"/>
        <v>7</v>
      </c>
      <c r="I19" s="86">
        <f t="shared" ca="1" si="2"/>
        <v>6</v>
      </c>
      <c r="J19" s="87"/>
    </row>
    <row r="20" spans="1:10" s="92" customFormat="1" ht="16.8" x14ac:dyDescent="0.3">
      <c r="A20" s="117" t="s">
        <v>43</v>
      </c>
      <c r="B20" s="81">
        <v>0</v>
      </c>
      <c r="C20" s="118" t="s">
        <v>27</v>
      </c>
      <c r="D20" s="119" t="str">
        <f>IF(C20="Str",'Personal File'!$C$12,IF(C20="Dex",'Personal File'!$C$13,IF(C20="Con",'Personal File'!$C$14,IF(C20="Int",'Personal File'!$C$15,IF(C20="Wis",'Personal File'!$C$16,IF(C20="Cha",'Personal File'!$C$17))))))</f>
        <v>+2</v>
      </c>
      <c r="E20" s="120" t="str">
        <f t="shared" si="0"/>
        <v>Wis (+2)</v>
      </c>
      <c r="F20" s="86" t="s">
        <v>56</v>
      </c>
      <c r="G20" s="86">
        <f t="shared" si="1"/>
        <v>2</v>
      </c>
      <c r="H20" s="70">
        <f t="shared" ca="1" si="3"/>
        <v>18</v>
      </c>
      <c r="I20" s="86">
        <f t="shared" ca="1" si="2"/>
        <v>20</v>
      </c>
      <c r="J20" s="87"/>
    </row>
    <row r="21" spans="1:10" s="92" customFormat="1" ht="16.8" x14ac:dyDescent="0.3">
      <c r="A21" s="420" t="s">
        <v>44</v>
      </c>
      <c r="B21" s="107">
        <v>12</v>
      </c>
      <c r="C21" s="421" t="s">
        <v>28</v>
      </c>
      <c r="D21" s="422" t="str">
        <f>IF(C21="Str",'Personal File'!$C$12,IF(C21="Dex",'Personal File'!$C$13,IF(C21="Con",'Personal File'!$C$14,IF(C21="Int",'Personal File'!$C$15,IF(C21="Wis",'Personal File'!$C$16,IF(C21="Cha",'Personal File'!$C$17))))))</f>
        <v>+6</v>
      </c>
      <c r="E21" s="423" t="str">
        <f t="shared" si="0"/>
        <v>Dex (+6)</v>
      </c>
      <c r="F21" s="108" t="s">
        <v>56</v>
      </c>
      <c r="G21" s="108">
        <f t="shared" si="1"/>
        <v>18</v>
      </c>
      <c r="H21" s="70">
        <f t="shared" ca="1" si="3"/>
        <v>9</v>
      </c>
      <c r="I21" s="108">
        <f t="shared" ca="1" si="2"/>
        <v>27</v>
      </c>
      <c r="J21" s="424"/>
    </row>
    <row r="22" spans="1:10" s="92" customFormat="1" ht="16.8" x14ac:dyDescent="0.3">
      <c r="A22" s="93" t="s">
        <v>45</v>
      </c>
      <c r="B22" s="81">
        <v>0</v>
      </c>
      <c r="C22" s="94" t="s">
        <v>24</v>
      </c>
      <c r="D22" s="95">
        <f>IF(C22="Str",'Personal File'!$C$12,IF(C22="Dex",'Personal File'!$C$13,IF(C22="Con",'Personal File'!$C$14,IF(C22="Int",'Personal File'!$C$15,IF(C22="Wis",'Personal File'!$C$16,IF(C22="Cha",'Personal File'!$C$17))))))</f>
        <v>-1</v>
      </c>
      <c r="E22" s="96" t="str">
        <f t="shared" si="0"/>
        <v>Cha (-1)</v>
      </c>
      <c r="F22" s="86" t="s">
        <v>56</v>
      </c>
      <c r="G22" s="86">
        <f t="shared" si="1"/>
        <v>-1</v>
      </c>
      <c r="H22" s="70">
        <f t="shared" ca="1" si="3"/>
        <v>17</v>
      </c>
      <c r="I22" s="86">
        <f t="shared" ca="1" si="2"/>
        <v>16</v>
      </c>
      <c r="J22" s="87"/>
    </row>
    <row r="23" spans="1:10" s="92" customFormat="1" ht="16.8" x14ac:dyDescent="0.3">
      <c r="A23" s="425" t="s">
        <v>46</v>
      </c>
      <c r="B23" s="107">
        <v>5</v>
      </c>
      <c r="C23" s="426" t="s">
        <v>29</v>
      </c>
      <c r="D23" s="427" t="str">
        <f>IF(C23="Str",'Personal File'!$C$12,IF(C23="Dex",'Personal File'!$C$13,IF(C23="Con",'Personal File'!$C$14,IF(C23="Int",'Personal File'!$C$15,IF(C23="Wis",'Personal File'!$C$16,IF(C23="Cha",'Personal File'!$C$17))))))</f>
        <v>+2</v>
      </c>
      <c r="E23" s="428" t="str">
        <f t="shared" si="0"/>
        <v>Str (+2)</v>
      </c>
      <c r="F23" s="108" t="s">
        <v>56</v>
      </c>
      <c r="G23" s="108">
        <f t="shared" si="1"/>
        <v>7</v>
      </c>
      <c r="H23" s="70">
        <f t="shared" ca="1" si="3"/>
        <v>9</v>
      </c>
      <c r="I23" s="108">
        <f t="shared" ca="1" si="2"/>
        <v>16</v>
      </c>
      <c r="J23" s="424"/>
    </row>
    <row r="24" spans="1:10" s="92" customFormat="1" ht="16.8" x14ac:dyDescent="0.3">
      <c r="A24" s="434" t="s">
        <v>134</v>
      </c>
      <c r="B24" s="435">
        <v>0</v>
      </c>
      <c r="C24" s="436" t="s">
        <v>26</v>
      </c>
      <c r="D24" s="437" t="str">
        <f>IF(C24="Str",'Personal File'!$C$12,IF(C24="Dex",'Personal File'!$C$13,IF(C24="Con",'Personal File'!$C$14,IF(C24="Int",'Personal File'!$C$15,IF(C24="Wis",'Personal File'!$C$16,IF(C24="Cha",'Personal File'!$C$17))))))</f>
        <v>+0</v>
      </c>
      <c r="E24" s="438" t="str">
        <f t="shared" si="0"/>
        <v>Int (+0)</v>
      </c>
      <c r="F24" s="439" t="s">
        <v>56</v>
      </c>
      <c r="G24" s="439">
        <f t="shared" si="1"/>
        <v>0</v>
      </c>
      <c r="H24" s="70">
        <f t="shared" ca="1" si="3"/>
        <v>12</v>
      </c>
      <c r="I24" s="439">
        <f t="shared" ca="1" si="2"/>
        <v>12</v>
      </c>
      <c r="J24" s="442"/>
    </row>
    <row r="25" spans="1:10" s="92" customFormat="1" ht="16.8" x14ac:dyDescent="0.3">
      <c r="A25" s="434" t="s">
        <v>147</v>
      </c>
      <c r="B25" s="435">
        <v>0</v>
      </c>
      <c r="C25" s="436" t="s">
        <v>26</v>
      </c>
      <c r="D25" s="437" t="str">
        <f>IF(C25="Str",'Personal File'!$C$12,IF(C25="Dex",'Personal File'!$C$13,IF(C25="Con",'Personal File'!$C$14,IF(C25="Int",'Personal File'!$C$15,IF(C25="Wis",'Personal File'!$C$16,IF(C25="Cha",'Personal File'!$C$17))))))</f>
        <v>+0</v>
      </c>
      <c r="E25" s="438" t="str">
        <f t="shared" si="0"/>
        <v>Int (+0)</v>
      </c>
      <c r="F25" s="439" t="s">
        <v>56</v>
      </c>
      <c r="G25" s="439">
        <f t="shared" si="1"/>
        <v>0</v>
      </c>
      <c r="H25" s="70">
        <f t="shared" ca="1" si="3"/>
        <v>18</v>
      </c>
      <c r="I25" s="439">
        <f t="shared" ca="1" si="2"/>
        <v>18</v>
      </c>
      <c r="J25" s="442"/>
    </row>
    <row r="26" spans="1:10" s="92" customFormat="1" ht="16.8" x14ac:dyDescent="0.3">
      <c r="A26" s="434" t="s">
        <v>149</v>
      </c>
      <c r="B26" s="435">
        <v>0</v>
      </c>
      <c r="C26" s="436" t="s">
        <v>26</v>
      </c>
      <c r="D26" s="437" t="str">
        <f>IF(C26="Str",'Personal File'!$C$12,IF(C26="Dex",'Personal File'!$C$13,IF(C26="Con",'Personal File'!$C$14,IF(C26="Int",'Personal File'!$C$15,IF(C26="Wis",'Personal File'!$C$16,IF(C26="Cha",'Personal File'!$C$17))))))</f>
        <v>+0</v>
      </c>
      <c r="E26" s="438" t="str">
        <f t="shared" si="0"/>
        <v>Int (+0)</v>
      </c>
      <c r="F26" s="439" t="s">
        <v>56</v>
      </c>
      <c r="G26" s="439">
        <f t="shared" si="1"/>
        <v>0</v>
      </c>
      <c r="H26" s="70">
        <f t="shared" ca="1" si="3"/>
        <v>11</v>
      </c>
      <c r="I26" s="439">
        <f t="shared" ca="1" si="2"/>
        <v>11</v>
      </c>
      <c r="J26" s="442"/>
    </row>
    <row r="27" spans="1:10" s="92" customFormat="1" ht="16.8" x14ac:dyDescent="0.3">
      <c r="A27" s="434" t="s">
        <v>145</v>
      </c>
      <c r="B27" s="435">
        <v>0</v>
      </c>
      <c r="C27" s="436" t="s">
        <v>26</v>
      </c>
      <c r="D27" s="437" t="str">
        <f>IF(C27="Str",'Personal File'!$C$12,IF(C27="Dex",'Personal File'!$C$13,IF(C27="Con",'Personal File'!$C$14,IF(C27="Int",'Personal File'!$C$15,IF(C27="Wis",'Personal File'!$C$16,IF(C27="Cha",'Personal File'!$C$17))))))</f>
        <v>+0</v>
      </c>
      <c r="E27" s="438" t="str">
        <f t="shared" si="0"/>
        <v>Int (+0)</v>
      </c>
      <c r="F27" s="439" t="s">
        <v>56</v>
      </c>
      <c r="G27" s="439">
        <f t="shared" si="1"/>
        <v>0</v>
      </c>
      <c r="H27" s="70">
        <f t="shared" ca="1" si="3"/>
        <v>19</v>
      </c>
      <c r="I27" s="439">
        <f t="shared" ca="1" si="2"/>
        <v>19</v>
      </c>
      <c r="J27" s="442"/>
    </row>
    <row r="28" spans="1:10" s="92" customFormat="1" ht="16.8" x14ac:dyDescent="0.3">
      <c r="A28" s="434" t="s">
        <v>148</v>
      </c>
      <c r="B28" s="435">
        <v>0</v>
      </c>
      <c r="C28" s="436" t="s">
        <v>26</v>
      </c>
      <c r="D28" s="437" t="str">
        <f>IF(C28="Str",'Personal File'!$C$12,IF(C28="Dex",'Personal File'!$C$13,IF(C28="Con",'Personal File'!$C$14,IF(C28="Int",'Personal File'!$C$15,IF(C28="Wis",'Personal File'!$C$16,IF(C28="Cha",'Personal File'!$C$17))))))</f>
        <v>+0</v>
      </c>
      <c r="E28" s="438" t="str">
        <f t="shared" si="0"/>
        <v>Int (+0)</v>
      </c>
      <c r="F28" s="439" t="s">
        <v>56</v>
      </c>
      <c r="G28" s="439">
        <f t="shared" si="1"/>
        <v>0</v>
      </c>
      <c r="H28" s="70">
        <f t="shared" ca="1" si="3"/>
        <v>15</v>
      </c>
      <c r="I28" s="439">
        <f t="shared" ca="1" si="2"/>
        <v>15</v>
      </c>
      <c r="J28" s="442"/>
    </row>
    <row r="29" spans="1:10" s="92" customFormat="1" ht="16.8" x14ac:dyDescent="0.3">
      <c r="A29" s="434" t="s">
        <v>146</v>
      </c>
      <c r="B29" s="435">
        <v>0</v>
      </c>
      <c r="C29" s="436" t="s">
        <v>26</v>
      </c>
      <c r="D29" s="437" t="str">
        <f>IF(C29="Str",'Personal File'!$C$12,IF(C29="Dex",'Personal File'!$C$13,IF(C29="Con",'Personal File'!$C$14,IF(C29="Int",'Personal File'!$C$15,IF(C29="Wis",'Personal File'!$C$16,IF(C29="Cha",'Personal File'!$C$17))))))</f>
        <v>+0</v>
      </c>
      <c r="E29" s="438" t="str">
        <f t="shared" si="0"/>
        <v>Int (+0)</v>
      </c>
      <c r="F29" s="439" t="s">
        <v>56</v>
      </c>
      <c r="G29" s="439">
        <f t="shared" si="1"/>
        <v>0</v>
      </c>
      <c r="H29" s="70">
        <f t="shared" ca="1" si="3"/>
        <v>14</v>
      </c>
      <c r="I29" s="439">
        <f t="shared" ca="1" si="2"/>
        <v>14</v>
      </c>
      <c r="J29" s="442"/>
    </row>
    <row r="30" spans="1:10" s="92" customFormat="1" ht="16.8" x14ac:dyDescent="0.3">
      <c r="A30" s="434" t="s">
        <v>131</v>
      </c>
      <c r="B30" s="435">
        <v>0</v>
      </c>
      <c r="C30" s="436" t="s">
        <v>26</v>
      </c>
      <c r="D30" s="437" t="str">
        <f>IF(C30="Str",'Personal File'!$C$12,IF(C30="Dex",'Personal File'!$C$13,IF(C30="Con",'Personal File'!$C$14,IF(C30="Int",'Personal File'!$C$15,IF(C30="Wis",'Personal File'!$C$16,IF(C30="Cha",'Personal File'!$C$17))))))</f>
        <v>+0</v>
      </c>
      <c r="E30" s="438" t="str">
        <f t="shared" si="0"/>
        <v>Int (+0)</v>
      </c>
      <c r="F30" s="439" t="s">
        <v>56</v>
      </c>
      <c r="G30" s="439">
        <f t="shared" si="1"/>
        <v>0</v>
      </c>
      <c r="H30" s="70">
        <f t="shared" ca="1" si="3"/>
        <v>6</v>
      </c>
      <c r="I30" s="439">
        <f t="shared" ca="1" si="2"/>
        <v>6</v>
      </c>
      <c r="J30" s="442"/>
    </row>
    <row r="31" spans="1:10" s="92" customFormat="1" ht="16.8" x14ac:dyDescent="0.3">
      <c r="A31" s="434" t="s">
        <v>135</v>
      </c>
      <c r="B31" s="435">
        <v>0</v>
      </c>
      <c r="C31" s="436" t="s">
        <v>26</v>
      </c>
      <c r="D31" s="437" t="str">
        <f>IF(C31="Str",'Personal File'!$C$12,IF(C31="Dex",'Personal File'!$C$13,IF(C31="Con",'Personal File'!$C$14,IF(C31="Int",'Personal File'!$C$15,IF(C31="Wis",'Personal File'!$C$16,IF(C31="Cha",'Personal File'!$C$17))))))</f>
        <v>+0</v>
      </c>
      <c r="E31" s="438" t="str">
        <f t="shared" si="0"/>
        <v>Int (+0)</v>
      </c>
      <c r="F31" s="439" t="s">
        <v>56</v>
      </c>
      <c r="G31" s="439">
        <f t="shared" si="1"/>
        <v>0</v>
      </c>
      <c r="H31" s="70">
        <f t="shared" ca="1" si="3"/>
        <v>4</v>
      </c>
      <c r="I31" s="439">
        <f t="shared" ca="1" si="2"/>
        <v>4</v>
      </c>
      <c r="J31" s="442"/>
    </row>
    <row r="32" spans="1:10" s="92" customFormat="1" ht="16.8" x14ac:dyDescent="0.3">
      <c r="A32" s="429" t="s">
        <v>47</v>
      </c>
      <c r="B32" s="107">
        <v>10</v>
      </c>
      <c r="C32" s="430" t="s">
        <v>27</v>
      </c>
      <c r="D32" s="431" t="str">
        <f>IF(C32="Str",'Personal File'!$C$12,IF(C32="Dex",'Personal File'!$C$13,IF(C32="Con",'Personal File'!$C$14,IF(C32="Int",'Personal File'!$C$15,IF(C32="Wis",'Personal File'!$C$16,IF(C32="Cha",'Personal File'!$C$17))))))</f>
        <v>+2</v>
      </c>
      <c r="E32" s="432" t="str">
        <f t="shared" si="0"/>
        <v>Wis (+2)</v>
      </c>
      <c r="F32" s="108" t="s">
        <v>56</v>
      </c>
      <c r="G32" s="108">
        <f t="shared" si="1"/>
        <v>12</v>
      </c>
      <c r="H32" s="70">
        <f t="shared" ca="1" si="3"/>
        <v>12</v>
      </c>
      <c r="I32" s="108">
        <f t="shared" ca="1" si="2"/>
        <v>24</v>
      </c>
      <c r="J32" s="424"/>
    </row>
    <row r="33" spans="1:10" s="92" customFormat="1" ht="16.8" x14ac:dyDescent="0.3">
      <c r="A33" s="420" t="s">
        <v>11</v>
      </c>
      <c r="B33" s="107">
        <v>12</v>
      </c>
      <c r="C33" s="421" t="s">
        <v>28</v>
      </c>
      <c r="D33" s="422" t="str">
        <f>IF(C33="Str",'Personal File'!$C$12,IF(C33="Dex",'Personal File'!$C$13,IF(C33="Con",'Personal File'!$C$14,IF(C33="Int",'Personal File'!$C$15,IF(C33="Wis",'Personal File'!$C$16,IF(C33="Cha",'Personal File'!$C$17))))))</f>
        <v>+6</v>
      </c>
      <c r="E33" s="423" t="str">
        <f t="shared" si="0"/>
        <v>Dex (+6)</v>
      </c>
      <c r="F33" s="108" t="s">
        <v>56</v>
      </c>
      <c r="G33" s="108">
        <f t="shared" si="1"/>
        <v>18</v>
      </c>
      <c r="H33" s="70">
        <f t="shared" ca="1" si="3"/>
        <v>10</v>
      </c>
      <c r="I33" s="108">
        <f t="shared" ca="1" si="2"/>
        <v>28</v>
      </c>
      <c r="J33" s="424"/>
    </row>
    <row r="34" spans="1:10" s="92" customFormat="1" ht="16.8" x14ac:dyDescent="0.3">
      <c r="A34" s="121" t="s">
        <v>48</v>
      </c>
      <c r="B34" s="100">
        <v>0</v>
      </c>
      <c r="C34" s="122" t="s">
        <v>28</v>
      </c>
      <c r="D34" s="123" t="str">
        <f>IF(C34="Str",'Personal File'!$C$12,IF(C34="Dex",'Personal File'!$C$13,IF(C34="Con",'Personal File'!$C$14,IF(C34="Int",'Personal File'!$C$15,IF(C34="Wis",'Personal File'!$C$16,IF(C34="Cha",'Personal File'!$C$17))))))</f>
        <v>+6</v>
      </c>
      <c r="E34" s="124" t="str">
        <f t="shared" si="0"/>
        <v>Dex (+6)</v>
      </c>
      <c r="F34" s="104" t="s">
        <v>56</v>
      </c>
      <c r="G34" s="104">
        <f t="shared" si="1"/>
        <v>6</v>
      </c>
      <c r="H34" s="70">
        <f t="shared" ca="1" si="3"/>
        <v>4</v>
      </c>
      <c r="I34" s="104">
        <f t="shared" ca="1" si="2"/>
        <v>10</v>
      </c>
      <c r="J34" s="105"/>
    </row>
    <row r="35" spans="1:10" ht="16.8" x14ac:dyDescent="0.3">
      <c r="A35" s="93" t="s">
        <v>133</v>
      </c>
      <c r="B35" s="81">
        <v>0</v>
      </c>
      <c r="C35" s="94" t="s">
        <v>24</v>
      </c>
      <c r="D35" s="95">
        <f>IF(C35="Str",'Personal File'!$C$12,IF(C35="Dex",'Personal File'!$C$13,IF(C35="Con",'Personal File'!$C$14,IF(C35="Int",'Personal File'!$C$15,IF(C35="Wis",'Personal File'!$C$16,IF(C35="Cha",'Personal File'!$C$17))))))</f>
        <v>-1</v>
      </c>
      <c r="E35" s="96" t="str">
        <f t="shared" si="0"/>
        <v>Cha (-1)</v>
      </c>
      <c r="F35" s="86" t="s">
        <v>56</v>
      </c>
      <c r="G35" s="86">
        <f t="shared" si="1"/>
        <v>-1</v>
      </c>
      <c r="H35" s="70">
        <f t="shared" ca="1" si="3"/>
        <v>14</v>
      </c>
      <c r="I35" s="86">
        <f t="shared" ca="1" si="2"/>
        <v>13</v>
      </c>
      <c r="J35" s="87"/>
    </row>
    <row r="36" spans="1:10" ht="16.8" x14ac:dyDescent="0.3">
      <c r="A36" s="93" t="s">
        <v>163</v>
      </c>
      <c r="B36" s="81">
        <v>0</v>
      </c>
      <c r="C36" s="118" t="s">
        <v>27</v>
      </c>
      <c r="D36" s="119" t="str">
        <f>IF(C36="Str",'Personal File'!$C$12,IF(C36="Dex",'Personal File'!$C$13,IF(C36="Con",'Personal File'!$C$14,IF(C36="Int",'Personal File'!$C$15,IF(C36="Wis",'Personal File'!$C$16,IF(C36="Cha",'Personal File'!$C$17))))))</f>
        <v>+2</v>
      </c>
      <c r="E36" s="120" t="str">
        <f t="shared" si="0"/>
        <v>Wis (+2)</v>
      </c>
      <c r="F36" s="86" t="s">
        <v>56</v>
      </c>
      <c r="G36" s="86">
        <f t="shared" si="1"/>
        <v>2</v>
      </c>
      <c r="H36" s="70">
        <f t="shared" ca="1" si="3"/>
        <v>15</v>
      </c>
      <c r="I36" s="86">
        <f t="shared" ca="1" si="2"/>
        <v>17</v>
      </c>
      <c r="J36" s="87"/>
    </row>
    <row r="37" spans="1:10" ht="16.8" x14ac:dyDescent="0.3">
      <c r="A37" s="89" t="s">
        <v>12</v>
      </c>
      <c r="B37" s="81">
        <v>0</v>
      </c>
      <c r="C37" s="90" t="s">
        <v>28</v>
      </c>
      <c r="D37" s="91" t="str">
        <f>IF(C37="Str",'Personal File'!$C$12,IF(C37="Dex",'Personal File'!$C$13,IF(C37="Con",'Personal File'!$C$14,IF(C37="Int",'Personal File'!$C$15,IF(C37="Wis",'Personal File'!$C$16,IF(C37="Cha",'Personal File'!$C$17))))))</f>
        <v>+6</v>
      </c>
      <c r="E37" s="73" t="str">
        <f t="shared" si="0"/>
        <v>Dex (+6)</v>
      </c>
      <c r="F37" s="86" t="s">
        <v>56</v>
      </c>
      <c r="G37" s="86">
        <f t="shared" si="1"/>
        <v>6</v>
      </c>
      <c r="H37" s="70">
        <f t="shared" ca="1" si="3"/>
        <v>19</v>
      </c>
      <c r="I37" s="86">
        <f t="shared" ca="1" si="2"/>
        <v>25</v>
      </c>
      <c r="J37" s="87"/>
    </row>
    <row r="38" spans="1:10" ht="16.8" x14ac:dyDescent="0.3">
      <c r="A38" s="449" t="s">
        <v>13</v>
      </c>
      <c r="B38" s="107">
        <v>10</v>
      </c>
      <c r="C38" s="450" t="s">
        <v>26</v>
      </c>
      <c r="D38" s="451" t="str">
        <f>IF(C38="Str",'Personal File'!$C$12,IF(C38="Dex",'Personal File'!$C$13,IF(C38="Con",'Personal File'!$C$14,IF(C38="Int",'Personal File'!$C$15,IF(C38="Wis",'Personal File'!$C$16,IF(C38="Cha",'Personal File'!$C$17))))))</f>
        <v>+0</v>
      </c>
      <c r="E38" s="452" t="str">
        <f t="shared" si="0"/>
        <v>Int (+0)</v>
      </c>
      <c r="F38" s="108" t="s">
        <v>56</v>
      </c>
      <c r="G38" s="108">
        <f t="shared" si="1"/>
        <v>10</v>
      </c>
      <c r="H38" s="70">
        <f t="shared" ca="1" si="3"/>
        <v>8</v>
      </c>
      <c r="I38" s="108">
        <f t="shared" ca="1" si="2"/>
        <v>18</v>
      </c>
      <c r="J38" s="424"/>
    </row>
    <row r="39" spans="1:10" ht="16.8" x14ac:dyDescent="0.3">
      <c r="A39" s="117" t="s">
        <v>49</v>
      </c>
      <c r="B39" s="81">
        <v>0</v>
      </c>
      <c r="C39" s="118" t="s">
        <v>27</v>
      </c>
      <c r="D39" s="119" t="str">
        <f>IF(C39="Str",'Personal File'!$C$12,IF(C39="Dex",'Personal File'!$C$13,IF(C39="Con",'Personal File'!$C$14,IF(C39="Int",'Personal File'!$C$15,IF(C39="Wis",'Personal File'!$C$16,IF(C39="Cha",'Personal File'!$C$17))))))</f>
        <v>+2</v>
      </c>
      <c r="E39" s="120" t="str">
        <f t="shared" si="0"/>
        <v>Wis (+2)</v>
      </c>
      <c r="F39" s="86" t="s">
        <v>56</v>
      </c>
      <c r="G39" s="86">
        <f t="shared" si="1"/>
        <v>2</v>
      </c>
      <c r="H39" s="70">
        <f t="shared" ca="1" si="3"/>
        <v>14</v>
      </c>
      <c r="I39" s="86">
        <f t="shared" ca="1" si="2"/>
        <v>16</v>
      </c>
      <c r="J39" s="87"/>
    </row>
    <row r="40" spans="1:10" ht="16.8" x14ac:dyDescent="0.3">
      <c r="A40" s="121" t="s">
        <v>95</v>
      </c>
      <c r="B40" s="100">
        <v>0</v>
      </c>
      <c r="C40" s="122" t="s">
        <v>28</v>
      </c>
      <c r="D40" s="123" t="str">
        <f>IF(C40="Str",'Personal File'!$C$12,IF(C40="Dex",'Personal File'!$C$13,IF(C40="Con",'Personal File'!$C$14,IF(C40="Int",'Personal File'!$C$15,IF(C40="Wis",'Personal File'!$C$16,IF(C40="Cha",'Personal File'!$C$17))))))</f>
        <v>+6</v>
      </c>
      <c r="E40" s="124" t="str">
        <f t="shared" si="0"/>
        <v>Dex (+6)</v>
      </c>
      <c r="F40" s="104" t="s">
        <v>56</v>
      </c>
      <c r="G40" s="104">
        <f t="shared" si="1"/>
        <v>6</v>
      </c>
      <c r="H40" s="70">
        <f t="shared" ca="1" si="3"/>
        <v>15</v>
      </c>
      <c r="I40" s="104">
        <f t="shared" ca="1" si="2"/>
        <v>21</v>
      </c>
      <c r="J40" s="105"/>
    </row>
    <row r="41" spans="1:10" ht="16.8" x14ac:dyDescent="0.3">
      <c r="A41" s="434" t="s">
        <v>298</v>
      </c>
      <c r="B41" s="435">
        <v>0</v>
      </c>
      <c r="C41" s="436" t="s">
        <v>26</v>
      </c>
      <c r="D41" s="437" t="str">
        <f>IF(C41="Str",'Personal File'!$C$12,IF(C41="Dex",'Personal File'!$C$13,IF(C41="Con",'Personal File'!$C$14,IF(C41="Int",'Personal File'!$C$15,IF(C41="Wis",'Personal File'!$C$16,IF(C41="Cha",'Personal File'!$C$17))))))</f>
        <v>+0</v>
      </c>
      <c r="E41" s="438" t="str">
        <f t="shared" ref="E41" si="4">CONCATENATE(C41," (",D41,")")</f>
        <v>Int (+0)</v>
      </c>
      <c r="F41" s="439" t="s">
        <v>56</v>
      </c>
      <c r="G41" s="440">
        <f t="shared" ref="G41" si="5">B41+D41+F41</f>
        <v>0</v>
      </c>
      <c r="H41" s="70">
        <f t="shared" ca="1" si="3"/>
        <v>13</v>
      </c>
      <c r="I41" s="440">
        <f t="shared" ref="I41" ca="1" si="6">SUM(G41:H41)</f>
        <v>13</v>
      </c>
      <c r="J41" s="441"/>
    </row>
    <row r="42" spans="1:10" ht="16.8" x14ac:dyDescent="0.3">
      <c r="A42" s="434" t="s">
        <v>50</v>
      </c>
      <c r="B42" s="435">
        <v>0</v>
      </c>
      <c r="C42" s="436" t="s">
        <v>26</v>
      </c>
      <c r="D42" s="437" t="str">
        <f>IF(C42="Str",'Personal File'!$C$12,IF(C42="Dex",'Personal File'!$C$13,IF(C42="Con",'Personal File'!$C$14,IF(C42="Int",'Personal File'!$C$15,IF(C42="Wis",'Personal File'!$C$16,IF(C42="Cha",'Personal File'!$C$17))))))</f>
        <v>+0</v>
      </c>
      <c r="E42" s="438" t="str">
        <f t="shared" ref="E42:E48" si="7">CONCATENATE(C42," (",D42,")")</f>
        <v>Int (+0)</v>
      </c>
      <c r="F42" s="439" t="s">
        <v>56</v>
      </c>
      <c r="G42" s="439">
        <f t="shared" ref="G42:G48" si="8">B42+D42+F42</f>
        <v>0</v>
      </c>
      <c r="H42" s="70">
        <f t="shared" ca="1" si="3"/>
        <v>4</v>
      </c>
      <c r="I42" s="439">
        <f t="shared" ref="I42:I48" ca="1" si="9">SUM(G42:H42)</f>
        <v>4</v>
      </c>
      <c r="J42" s="441"/>
    </row>
    <row r="43" spans="1:10" ht="16.8" x14ac:dyDescent="0.3">
      <c r="A43" s="429" t="s">
        <v>51</v>
      </c>
      <c r="B43" s="107">
        <v>12</v>
      </c>
      <c r="C43" s="430" t="s">
        <v>27</v>
      </c>
      <c r="D43" s="431" t="str">
        <f>IF(C43="Str",'Personal File'!$C$12,IF(C43="Dex",'Personal File'!$C$13,IF(C43="Con",'Personal File'!$C$14,IF(C43="Int",'Personal File'!$C$15,IF(C43="Wis",'Personal File'!$C$16,IF(C43="Cha",'Personal File'!$C$17))))))</f>
        <v>+2</v>
      </c>
      <c r="E43" s="432" t="str">
        <f t="shared" si="7"/>
        <v>Wis (+2)</v>
      </c>
      <c r="F43" s="433">
        <f>2+2</f>
        <v>4</v>
      </c>
      <c r="G43" s="108">
        <f t="shared" si="8"/>
        <v>18</v>
      </c>
      <c r="H43" s="70">
        <f t="shared" ca="1" si="3"/>
        <v>12</v>
      </c>
      <c r="I43" s="108">
        <f t="shared" ca="1" si="9"/>
        <v>30</v>
      </c>
      <c r="J43" s="424"/>
    </row>
    <row r="44" spans="1:10" ht="16.8" x14ac:dyDescent="0.3">
      <c r="A44" s="429" t="s">
        <v>96</v>
      </c>
      <c r="B44" s="107">
        <v>10</v>
      </c>
      <c r="C44" s="430" t="s">
        <v>27</v>
      </c>
      <c r="D44" s="431" t="str">
        <f>IF(C44="Str",'Personal File'!$C$12,IF(C44="Dex",'Personal File'!$C$13,IF(C44="Con",'Personal File'!$C$14,IF(C44="Int",'Personal File'!$C$15,IF(C44="Wis",'Personal File'!$C$16,IF(C44="Cha",'Personal File'!$C$17))))))</f>
        <v>+2</v>
      </c>
      <c r="E44" s="432" t="str">
        <f t="shared" si="7"/>
        <v>Wis (+2)</v>
      </c>
      <c r="F44" s="108" t="s">
        <v>56</v>
      </c>
      <c r="G44" s="108">
        <f t="shared" si="8"/>
        <v>12</v>
      </c>
      <c r="H44" s="70">
        <f t="shared" ca="1" si="3"/>
        <v>3</v>
      </c>
      <c r="I44" s="108">
        <f t="shared" ca="1" si="9"/>
        <v>15</v>
      </c>
      <c r="J44" s="424"/>
    </row>
    <row r="45" spans="1:10" ht="16.8" x14ac:dyDescent="0.3">
      <c r="A45" s="425" t="s">
        <v>14</v>
      </c>
      <c r="B45" s="107">
        <v>5</v>
      </c>
      <c r="C45" s="426" t="s">
        <v>29</v>
      </c>
      <c r="D45" s="427" t="str">
        <f>IF(C45="Str",'Personal File'!$C$12,IF(C45="Dex",'Personal File'!$C$13,IF(C45="Con",'Personal File'!$C$14,IF(C45="Int",'Personal File'!$C$15,IF(C45="Wis",'Personal File'!$C$16,IF(C45="Cha",'Personal File'!$C$17))))))</f>
        <v>+2</v>
      </c>
      <c r="E45" s="428" t="str">
        <f t="shared" si="7"/>
        <v>Str (+2)</v>
      </c>
      <c r="F45" s="108" t="s">
        <v>56</v>
      </c>
      <c r="G45" s="108">
        <f t="shared" si="8"/>
        <v>7</v>
      </c>
      <c r="H45" s="70">
        <f t="shared" ca="1" si="3"/>
        <v>15</v>
      </c>
      <c r="I45" s="108">
        <f t="shared" ca="1" si="9"/>
        <v>22</v>
      </c>
      <c r="J45" s="109"/>
    </row>
    <row r="46" spans="1:10" ht="16.8" x14ac:dyDescent="0.3">
      <c r="A46" s="125" t="s">
        <v>52</v>
      </c>
      <c r="B46" s="126">
        <v>0</v>
      </c>
      <c r="C46" s="127" t="s">
        <v>28</v>
      </c>
      <c r="D46" s="128" t="str">
        <f>IF(C46="Str",'Personal File'!$C$12,IF(C46="Dex",'Personal File'!$C$13,IF(C46="Con",'Personal File'!$C$14,IF(C46="Int",'Personal File'!$C$15,IF(C46="Wis",'Personal File'!$C$16,IF(C46="Cha",'Personal File'!$C$17))))))</f>
        <v>+6</v>
      </c>
      <c r="E46" s="129" t="str">
        <f t="shared" si="7"/>
        <v>Dex (+6)</v>
      </c>
      <c r="F46" s="104" t="s">
        <v>56</v>
      </c>
      <c r="G46" s="104">
        <f t="shared" si="8"/>
        <v>6</v>
      </c>
      <c r="H46" s="70">
        <f t="shared" ca="1" si="3"/>
        <v>11</v>
      </c>
      <c r="I46" s="104">
        <f t="shared" ca="1" si="9"/>
        <v>17</v>
      </c>
      <c r="J46" s="130"/>
    </row>
    <row r="47" spans="1:10" ht="16.8" x14ac:dyDescent="0.3">
      <c r="A47" s="131" t="s">
        <v>53</v>
      </c>
      <c r="B47" s="100">
        <v>0</v>
      </c>
      <c r="C47" s="132" t="s">
        <v>24</v>
      </c>
      <c r="D47" s="133">
        <f>IF(C47="Str",'Personal File'!$C$12,IF(C47="Dex",'Personal File'!$C$13,IF(C47="Con",'Personal File'!$C$14,IF(C47="Int",'Personal File'!$C$15,IF(C47="Wis",'Personal File'!$C$16,IF(C47="Cha",'Personal File'!$C$17))))))</f>
        <v>-1</v>
      </c>
      <c r="E47" s="134" t="str">
        <f t="shared" si="7"/>
        <v>Cha (-1)</v>
      </c>
      <c r="F47" s="104" t="s">
        <v>56</v>
      </c>
      <c r="G47" s="104">
        <f t="shared" si="8"/>
        <v>-1</v>
      </c>
      <c r="H47" s="70">
        <f t="shared" ca="1" si="3"/>
        <v>13</v>
      </c>
      <c r="I47" s="104">
        <f t="shared" ca="1" si="9"/>
        <v>12</v>
      </c>
      <c r="J47" s="105"/>
    </row>
    <row r="48" spans="1:10" ht="17.399999999999999" thickBot="1" x14ac:dyDescent="0.35">
      <c r="A48" s="135" t="s">
        <v>54</v>
      </c>
      <c r="B48" s="136">
        <v>0</v>
      </c>
      <c r="C48" s="137" t="s">
        <v>28</v>
      </c>
      <c r="D48" s="138" t="str">
        <f>IF(C48="Str",'Personal File'!$C$12,IF(C48="Dex",'Personal File'!$C$13,IF(C48="Con",'Personal File'!$C$14,IF(C48="Int",'Personal File'!$C$15,IF(C48="Wis",'Personal File'!$C$16,IF(C48="Cha",'Personal File'!$C$17))))))</f>
        <v>+6</v>
      </c>
      <c r="E48" s="139" t="str">
        <f t="shared" si="7"/>
        <v>Dex (+6)</v>
      </c>
      <c r="F48" s="140" t="s">
        <v>56</v>
      </c>
      <c r="G48" s="140">
        <f t="shared" si="8"/>
        <v>6</v>
      </c>
      <c r="H48" s="141">
        <f ca="1">RANDBETWEEN(1,20)</f>
        <v>17</v>
      </c>
      <c r="I48" s="140">
        <f t="shared" ca="1" si="9"/>
        <v>23</v>
      </c>
      <c r="J48" s="142"/>
    </row>
    <row r="49" spans="2:6" ht="16.2" thickTop="1" x14ac:dyDescent="0.3">
      <c r="B49" s="143">
        <f>SUM(B6:B48)</f>
        <v>92</v>
      </c>
      <c r="E49" s="264">
        <f>SUM(E50:E62)</f>
        <v>92</v>
      </c>
      <c r="F49" s="144" t="s">
        <v>57</v>
      </c>
    </row>
    <row r="50" spans="2:6" x14ac:dyDescent="0.3">
      <c r="B50" s="143"/>
      <c r="E50" s="363">
        <f>4*(6+'Personal File'!$C$15+1)</f>
        <v>28</v>
      </c>
      <c r="F50" s="146" t="s">
        <v>261</v>
      </c>
    </row>
    <row r="51" spans="2:6" x14ac:dyDescent="0.3">
      <c r="E51" s="363">
        <f>6+'Personal File'!$C$15+1</f>
        <v>7</v>
      </c>
      <c r="F51" s="146" t="s">
        <v>262</v>
      </c>
    </row>
    <row r="52" spans="2:6" x14ac:dyDescent="0.3">
      <c r="E52" s="363">
        <f>6+'Personal File'!$C$15+1</f>
        <v>7</v>
      </c>
      <c r="F52" s="146" t="s">
        <v>201</v>
      </c>
    </row>
    <row r="53" spans="2:6" x14ac:dyDescent="0.3">
      <c r="E53" s="363">
        <f>6+'Personal File'!$C$15+1</f>
        <v>7</v>
      </c>
      <c r="F53" s="146" t="s">
        <v>202</v>
      </c>
    </row>
    <row r="54" spans="2:6" x14ac:dyDescent="0.3">
      <c r="E54" s="363">
        <f>6+'Personal File'!$C$15+1</f>
        <v>7</v>
      </c>
      <c r="F54" s="146" t="s">
        <v>263</v>
      </c>
    </row>
    <row r="55" spans="2:6" x14ac:dyDescent="0.3">
      <c r="E55" s="363">
        <f>2+'Personal File'!$C$15+1</f>
        <v>3</v>
      </c>
      <c r="F55" s="146" t="s">
        <v>203</v>
      </c>
    </row>
    <row r="56" spans="2:6" x14ac:dyDescent="0.3">
      <c r="E56" s="363">
        <f>2+'Personal File'!$C$15+1</f>
        <v>3</v>
      </c>
      <c r="F56" s="146" t="s">
        <v>204</v>
      </c>
    </row>
    <row r="57" spans="2:6" x14ac:dyDescent="0.3">
      <c r="E57" s="363">
        <f>2+'Personal File'!$C$15+1</f>
        <v>3</v>
      </c>
      <c r="F57" s="146" t="s">
        <v>205</v>
      </c>
    </row>
    <row r="58" spans="2:6" x14ac:dyDescent="0.3">
      <c r="E58" s="363">
        <f>2+'Personal File'!$C$15+1</f>
        <v>3</v>
      </c>
      <c r="F58" s="146" t="s">
        <v>206</v>
      </c>
    </row>
    <row r="59" spans="2:6" x14ac:dyDescent="0.3">
      <c r="E59" s="363">
        <f>4+'Personal File'!$C$15+1</f>
        <v>5</v>
      </c>
      <c r="F59" s="146" t="s">
        <v>335</v>
      </c>
    </row>
    <row r="60" spans="2:6" x14ac:dyDescent="0.3">
      <c r="E60" s="363">
        <f>4+'Personal File'!$C$15+1</f>
        <v>5</v>
      </c>
      <c r="F60" s="146" t="s">
        <v>336</v>
      </c>
    </row>
    <row r="61" spans="2:6" x14ac:dyDescent="0.3">
      <c r="E61" s="363">
        <f>3+SUM('Personal File'!E3:E6)</f>
        <v>14</v>
      </c>
      <c r="F61" s="146" t="s">
        <v>199</v>
      </c>
    </row>
  </sheetData>
  <sortState xmlns:xlrd2="http://schemas.microsoft.com/office/spreadsheetml/2017/richdata2" ref="A3:J48">
    <sortCondition ref="A3:A4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6"/>
  <sheetViews>
    <sheetView showGridLines="0" zoomScaleNormal="100" workbookViewId="0"/>
  </sheetViews>
  <sheetFormatPr defaultColWidth="13" defaultRowHeight="15.6" x14ac:dyDescent="0.3"/>
  <cols>
    <col min="1" max="1" width="22.69921875" style="301" bestFit="1" customWidth="1"/>
    <col min="2" max="2" width="6.19921875" style="301" bestFit="1" customWidth="1"/>
    <col min="3" max="3" width="13.59765625" style="302" bestFit="1" customWidth="1"/>
    <col min="4" max="4" width="12.69921875" style="303" bestFit="1" customWidth="1"/>
    <col min="5" max="5" width="10" style="302" bestFit="1" customWidth="1"/>
    <col min="6" max="6" width="13.19921875" style="302" bestFit="1" customWidth="1"/>
    <col min="7" max="7" width="9.796875" style="301" bestFit="1" customWidth="1"/>
    <col min="8" max="8" width="22.296875" style="293" bestFit="1" customWidth="1"/>
    <col min="9" max="9" width="5.5" style="293" bestFit="1" customWidth="1"/>
    <col min="10" max="16384" width="13" style="293"/>
  </cols>
  <sheetData>
    <row r="1" spans="1:9" ht="23.4" thickBot="1" x14ac:dyDescent="0.35">
      <c r="A1" s="398" t="s">
        <v>158</v>
      </c>
      <c r="B1" s="291"/>
      <c r="C1" s="291"/>
      <c r="D1" s="292"/>
      <c r="E1" s="291"/>
      <c r="F1" s="291"/>
      <c r="G1" s="291"/>
      <c r="H1" s="291"/>
    </row>
    <row r="2" spans="1:9" ht="16.8" x14ac:dyDescent="0.3">
      <c r="A2" s="401" t="s">
        <v>74</v>
      </c>
      <c r="B2" s="402" t="s">
        <v>0</v>
      </c>
      <c r="C2" s="403" t="s">
        <v>77</v>
      </c>
      <c r="D2" s="404" t="s">
        <v>101</v>
      </c>
      <c r="E2" s="403" t="s">
        <v>102</v>
      </c>
      <c r="F2" s="403" t="s">
        <v>59</v>
      </c>
      <c r="G2" s="403" t="s">
        <v>17</v>
      </c>
      <c r="H2" s="403" t="s">
        <v>165</v>
      </c>
      <c r="I2" s="405" t="s">
        <v>166</v>
      </c>
    </row>
    <row r="3" spans="1:9" s="294" customFormat="1" ht="16.8" x14ac:dyDescent="0.3">
      <c r="A3" s="399" t="s">
        <v>240</v>
      </c>
      <c r="B3" s="355">
        <v>1</v>
      </c>
      <c r="C3" s="356" t="s">
        <v>129</v>
      </c>
      <c r="D3" s="391" t="s">
        <v>107</v>
      </c>
      <c r="E3" s="387" t="s">
        <v>168</v>
      </c>
      <c r="F3" s="394" t="s">
        <v>70</v>
      </c>
      <c r="G3" s="357" t="s">
        <v>73</v>
      </c>
      <c r="H3" s="11" t="s">
        <v>176</v>
      </c>
      <c r="I3" s="396">
        <v>142</v>
      </c>
    </row>
    <row r="4" spans="1:9" s="294" customFormat="1" ht="16.8" x14ac:dyDescent="0.3">
      <c r="A4" s="399" t="s">
        <v>218</v>
      </c>
      <c r="B4" s="355">
        <v>1</v>
      </c>
      <c r="C4" s="14" t="s">
        <v>65</v>
      </c>
      <c r="D4" s="1" t="s">
        <v>108</v>
      </c>
      <c r="E4" s="311" t="s">
        <v>104</v>
      </c>
      <c r="F4" s="11" t="s">
        <v>87</v>
      </c>
      <c r="G4" s="11" t="s">
        <v>110</v>
      </c>
      <c r="H4" s="11" t="s">
        <v>167</v>
      </c>
      <c r="I4" s="312">
        <v>197</v>
      </c>
    </row>
    <row r="5" spans="1:9" s="294" customFormat="1" ht="16.8" x14ac:dyDescent="0.3">
      <c r="A5" s="399" t="s">
        <v>234</v>
      </c>
      <c r="B5" s="355">
        <v>1</v>
      </c>
      <c r="C5" s="14" t="s">
        <v>130</v>
      </c>
      <c r="D5" s="1" t="s">
        <v>107</v>
      </c>
      <c r="E5" s="311" t="s">
        <v>104</v>
      </c>
      <c r="F5" s="11" t="s">
        <v>87</v>
      </c>
      <c r="G5" s="11" t="s">
        <v>92</v>
      </c>
      <c r="H5" s="11" t="s">
        <v>167</v>
      </c>
      <c r="I5" s="312">
        <v>198</v>
      </c>
    </row>
    <row r="6" spans="1:9" s="294" customFormat="1" ht="16.8" x14ac:dyDescent="0.3">
      <c r="A6" s="399" t="s">
        <v>223</v>
      </c>
      <c r="B6" s="355">
        <v>1</v>
      </c>
      <c r="C6" s="14" t="s">
        <v>89</v>
      </c>
      <c r="D6" s="1" t="s">
        <v>107</v>
      </c>
      <c r="E6" s="11" t="s">
        <v>168</v>
      </c>
      <c r="F6" s="11" t="s">
        <v>70</v>
      </c>
      <c r="G6" s="13" t="s">
        <v>68</v>
      </c>
      <c r="H6" s="13" t="s">
        <v>176</v>
      </c>
      <c r="I6" s="312">
        <v>142</v>
      </c>
    </row>
    <row r="7" spans="1:9" s="294" customFormat="1" ht="16.8" x14ac:dyDescent="0.3">
      <c r="A7" s="399" t="s">
        <v>224</v>
      </c>
      <c r="B7" s="355">
        <v>1</v>
      </c>
      <c r="C7" s="14" t="s">
        <v>89</v>
      </c>
      <c r="D7" s="295" t="s">
        <v>103</v>
      </c>
      <c r="E7" s="311" t="s">
        <v>104</v>
      </c>
      <c r="F7" s="297" t="s">
        <v>70</v>
      </c>
      <c r="G7" s="11" t="s">
        <v>91</v>
      </c>
      <c r="H7" s="11" t="s">
        <v>176</v>
      </c>
      <c r="I7" s="87">
        <v>144</v>
      </c>
    </row>
    <row r="8" spans="1:9" s="294" customFormat="1" ht="16.8" x14ac:dyDescent="0.3">
      <c r="A8" s="399" t="s">
        <v>235</v>
      </c>
      <c r="B8" s="355">
        <v>1</v>
      </c>
      <c r="C8" s="14" t="s">
        <v>130</v>
      </c>
      <c r="D8" s="1" t="s">
        <v>103</v>
      </c>
      <c r="E8" s="311" t="s">
        <v>104</v>
      </c>
      <c r="F8" s="11" t="s">
        <v>87</v>
      </c>
      <c r="G8" s="11" t="s">
        <v>68</v>
      </c>
      <c r="H8" s="11" t="s">
        <v>167</v>
      </c>
      <c r="I8" s="312">
        <v>207</v>
      </c>
    </row>
    <row r="9" spans="1:9" s="294" customFormat="1" ht="16.8" x14ac:dyDescent="0.3">
      <c r="A9" s="399" t="s">
        <v>236</v>
      </c>
      <c r="B9" s="355">
        <v>1</v>
      </c>
      <c r="C9" s="14" t="s">
        <v>130</v>
      </c>
      <c r="D9" s="1" t="s">
        <v>103</v>
      </c>
      <c r="E9" s="311" t="s">
        <v>104</v>
      </c>
      <c r="F9" s="11" t="s">
        <v>87</v>
      </c>
      <c r="G9" s="11" t="s">
        <v>105</v>
      </c>
      <c r="H9" s="11" t="s">
        <v>167</v>
      </c>
      <c r="I9" s="312">
        <v>208</v>
      </c>
    </row>
    <row r="10" spans="1:9" s="294" customFormat="1" ht="16.8" x14ac:dyDescent="0.3">
      <c r="A10" s="399" t="s">
        <v>221</v>
      </c>
      <c r="B10" s="355">
        <v>1</v>
      </c>
      <c r="C10" s="14" t="s">
        <v>72</v>
      </c>
      <c r="D10" s="1" t="s">
        <v>112</v>
      </c>
      <c r="E10" s="300" t="s">
        <v>168</v>
      </c>
      <c r="F10" s="11" t="s">
        <v>70</v>
      </c>
      <c r="G10" s="13" t="s">
        <v>73</v>
      </c>
      <c r="H10" s="13" t="s">
        <v>164</v>
      </c>
      <c r="I10" s="312">
        <v>61</v>
      </c>
    </row>
    <row r="11" spans="1:9" s="294" customFormat="1" ht="16.8" x14ac:dyDescent="0.3">
      <c r="A11" s="399" t="s">
        <v>109</v>
      </c>
      <c r="B11" s="355">
        <v>1</v>
      </c>
      <c r="C11" s="14" t="s">
        <v>72</v>
      </c>
      <c r="D11" s="1" t="s">
        <v>106</v>
      </c>
      <c r="E11" s="311" t="s">
        <v>104</v>
      </c>
      <c r="F11" s="11" t="s">
        <v>66</v>
      </c>
      <c r="G11" s="11" t="s">
        <v>105</v>
      </c>
      <c r="H11" s="11" t="s">
        <v>167</v>
      </c>
      <c r="I11" s="312">
        <v>217</v>
      </c>
    </row>
    <row r="12" spans="1:9" s="294" customFormat="1" ht="16.8" x14ac:dyDescent="0.3">
      <c r="A12" s="399" t="s">
        <v>170</v>
      </c>
      <c r="B12" s="355">
        <v>1</v>
      </c>
      <c r="C12" s="14" t="s">
        <v>89</v>
      </c>
      <c r="D12" s="1" t="s">
        <v>106</v>
      </c>
      <c r="E12" s="311" t="s">
        <v>104</v>
      </c>
      <c r="F12" s="11" t="s">
        <v>93</v>
      </c>
      <c r="G12" s="11" t="s">
        <v>71</v>
      </c>
      <c r="H12" s="11" t="s">
        <v>167</v>
      </c>
      <c r="I12" s="312">
        <v>218</v>
      </c>
    </row>
    <row r="13" spans="1:9" s="294" customFormat="1" ht="16.8" x14ac:dyDescent="0.3">
      <c r="A13" s="399" t="s">
        <v>114</v>
      </c>
      <c r="B13" s="355">
        <v>1</v>
      </c>
      <c r="C13" s="14" t="s">
        <v>89</v>
      </c>
      <c r="D13" s="1" t="s">
        <v>103</v>
      </c>
      <c r="E13" s="311" t="s">
        <v>104</v>
      </c>
      <c r="F13" s="11" t="s">
        <v>87</v>
      </c>
      <c r="G13" s="11" t="s">
        <v>69</v>
      </c>
      <c r="H13" s="11" t="s">
        <v>167</v>
      </c>
      <c r="I13" s="312">
        <v>219</v>
      </c>
    </row>
    <row r="14" spans="1:9" s="294" customFormat="1" ht="16.8" x14ac:dyDescent="0.3">
      <c r="A14" s="399" t="s">
        <v>225</v>
      </c>
      <c r="B14" s="355">
        <v>1</v>
      </c>
      <c r="C14" s="14" t="s">
        <v>89</v>
      </c>
      <c r="D14" s="1" t="s">
        <v>103</v>
      </c>
      <c r="E14" s="311" t="s">
        <v>104</v>
      </c>
      <c r="F14" s="11" t="s">
        <v>78</v>
      </c>
      <c r="G14" s="11" t="s">
        <v>71</v>
      </c>
      <c r="H14" s="11" t="s">
        <v>167</v>
      </c>
      <c r="I14" s="312">
        <v>220</v>
      </c>
    </row>
    <row r="15" spans="1:9" s="294" customFormat="1" ht="16.8" x14ac:dyDescent="0.3">
      <c r="A15" s="399" t="s">
        <v>238</v>
      </c>
      <c r="B15" s="355">
        <v>1</v>
      </c>
      <c r="C15" s="14" t="s">
        <v>128</v>
      </c>
      <c r="D15" s="1" t="s">
        <v>106</v>
      </c>
      <c r="E15" s="311" t="s">
        <v>104</v>
      </c>
      <c r="F15" s="297" t="s">
        <v>66</v>
      </c>
      <c r="G15" s="11" t="s">
        <v>105</v>
      </c>
      <c r="H15" s="11" t="s">
        <v>169</v>
      </c>
      <c r="I15" s="312">
        <v>93</v>
      </c>
    </row>
    <row r="16" spans="1:9" s="294" customFormat="1" ht="16.8" x14ac:dyDescent="0.3">
      <c r="A16" s="399" t="s">
        <v>219</v>
      </c>
      <c r="B16" s="355">
        <v>1</v>
      </c>
      <c r="C16" s="14" t="s">
        <v>65</v>
      </c>
      <c r="D16" s="295" t="s">
        <v>103</v>
      </c>
      <c r="E16" s="311" t="s">
        <v>104</v>
      </c>
      <c r="F16" s="297" t="s">
        <v>171</v>
      </c>
      <c r="G16" s="11" t="s">
        <v>105</v>
      </c>
      <c r="H16" s="11" t="s">
        <v>176</v>
      </c>
      <c r="I16" s="87">
        <v>147</v>
      </c>
    </row>
    <row r="17" spans="1:9" s="294" customFormat="1" ht="16.8" x14ac:dyDescent="0.3">
      <c r="A17" s="399" t="s">
        <v>144</v>
      </c>
      <c r="B17" s="355">
        <v>1</v>
      </c>
      <c r="C17" s="14" t="s">
        <v>129</v>
      </c>
      <c r="D17" s="12" t="s">
        <v>107</v>
      </c>
      <c r="E17" s="12" t="s">
        <v>104</v>
      </c>
      <c r="F17" s="11" t="s">
        <v>66</v>
      </c>
      <c r="G17" s="11" t="s">
        <v>71</v>
      </c>
      <c r="H17" s="11" t="s">
        <v>164</v>
      </c>
      <c r="I17" s="312">
        <v>77</v>
      </c>
    </row>
    <row r="18" spans="1:9" ht="16.8" x14ac:dyDescent="0.3">
      <c r="A18" s="399" t="s">
        <v>241</v>
      </c>
      <c r="B18" s="355">
        <v>1</v>
      </c>
      <c r="C18" s="14" t="s">
        <v>129</v>
      </c>
      <c r="D18" s="295" t="s">
        <v>112</v>
      </c>
      <c r="E18" s="311" t="s">
        <v>104</v>
      </c>
      <c r="F18" s="297" t="s">
        <v>70</v>
      </c>
      <c r="G18" s="11" t="s">
        <v>71</v>
      </c>
      <c r="H18" s="11" t="s">
        <v>176</v>
      </c>
      <c r="I18" s="87">
        <v>147</v>
      </c>
    </row>
    <row r="19" spans="1:9" ht="16.8" x14ac:dyDescent="0.3">
      <c r="A19" s="399" t="s">
        <v>90</v>
      </c>
      <c r="B19" s="355">
        <v>1</v>
      </c>
      <c r="C19" s="14" t="s">
        <v>65</v>
      </c>
      <c r="D19" s="1" t="s">
        <v>103</v>
      </c>
      <c r="E19" s="311" t="s">
        <v>104</v>
      </c>
      <c r="F19" s="11" t="s">
        <v>66</v>
      </c>
      <c r="G19" s="11" t="s">
        <v>91</v>
      </c>
      <c r="H19" s="11" t="s">
        <v>167</v>
      </c>
      <c r="I19" s="312">
        <v>226</v>
      </c>
    </row>
    <row r="20" spans="1:9" ht="16.8" x14ac:dyDescent="0.3">
      <c r="A20" s="399" t="s">
        <v>237</v>
      </c>
      <c r="B20" s="355">
        <v>1</v>
      </c>
      <c r="C20" s="296" t="s">
        <v>130</v>
      </c>
      <c r="D20" s="295" t="s">
        <v>103</v>
      </c>
      <c r="E20" s="299" t="s">
        <v>104</v>
      </c>
      <c r="F20" s="297" t="s">
        <v>87</v>
      </c>
      <c r="G20" s="297" t="s">
        <v>68</v>
      </c>
      <c r="H20" s="297" t="s">
        <v>186</v>
      </c>
      <c r="I20" s="298">
        <v>31</v>
      </c>
    </row>
    <row r="21" spans="1:9" ht="16.8" x14ac:dyDescent="0.3">
      <c r="A21" s="399" t="s">
        <v>242</v>
      </c>
      <c r="B21" s="355">
        <v>1</v>
      </c>
      <c r="C21" s="14" t="s">
        <v>129</v>
      </c>
      <c r="D21" s="1" t="s">
        <v>106</v>
      </c>
      <c r="E21" s="311" t="s">
        <v>104</v>
      </c>
      <c r="F21" s="11" t="s">
        <v>93</v>
      </c>
      <c r="G21" s="11" t="s">
        <v>68</v>
      </c>
      <c r="H21" s="11" t="s">
        <v>167</v>
      </c>
      <c r="I21" s="312">
        <v>227</v>
      </c>
    </row>
    <row r="22" spans="1:9" ht="16.8" x14ac:dyDescent="0.3">
      <c r="A22" s="399" t="s">
        <v>243</v>
      </c>
      <c r="B22" s="355">
        <v>1</v>
      </c>
      <c r="C22" s="14" t="s">
        <v>129</v>
      </c>
      <c r="D22" s="295" t="s">
        <v>103</v>
      </c>
      <c r="E22" s="311" t="s">
        <v>104</v>
      </c>
      <c r="F22" s="297" t="s">
        <v>66</v>
      </c>
      <c r="G22" s="11" t="s">
        <v>68</v>
      </c>
      <c r="H22" s="11" t="s">
        <v>176</v>
      </c>
      <c r="I22" s="87">
        <v>148</v>
      </c>
    </row>
    <row r="23" spans="1:9" ht="16.8" x14ac:dyDescent="0.3">
      <c r="A23" s="399" t="s">
        <v>173</v>
      </c>
      <c r="B23" s="355">
        <v>1</v>
      </c>
      <c r="C23" s="14" t="s">
        <v>65</v>
      </c>
      <c r="D23" s="1" t="s">
        <v>174</v>
      </c>
      <c r="E23" s="11" t="s">
        <v>104</v>
      </c>
      <c r="F23" s="11" t="s">
        <v>87</v>
      </c>
      <c r="G23" s="11" t="s">
        <v>105</v>
      </c>
      <c r="H23" s="11" t="s">
        <v>172</v>
      </c>
      <c r="I23" s="312">
        <v>99</v>
      </c>
    </row>
    <row r="24" spans="1:9" ht="16.8" x14ac:dyDescent="0.3">
      <c r="A24" s="399" t="s">
        <v>226</v>
      </c>
      <c r="B24" s="355">
        <v>1</v>
      </c>
      <c r="C24" s="14" t="s">
        <v>89</v>
      </c>
      <c r="D24" s="1" t="s">
        <v>112</v>
      </c>
      <c r="E24" s="11" t="s">
        <v>168</v>
      </c>
      <c r="F24" s="11" t="s">
        <v>70</v>
      </c>
      <c r="G24" s="13" t="s">
        <v>113</v>
      </c>
      <c r="H24" s="13" t="s">
        <v>176</v>
      </c>
      <c r="I24" s="312">
        <v>150</v>
      </c>
    </row>
    <row r="25" spans="1:9" ht="16.8" x14ac:dyDescent="0.3">
      <c r="A25" s="399" t="s">
        <v>244</v>
      </c>
      <c r="B25" s="355">
        <v>1</v>
      </c>
      <c r="C25" s="14" t="s">
        <v>129</v>
      </c>
      <c r="D25" s="295" t="s">
        <v>112</v>
      </c>
      <c r="E25" s="311" t="s">
        <v>104</v>
      </c>
      <c r="F25" s="297" t="s">
        <v>70</v>
      </c>
      <c r="G25" s="11" t="s">
        <v>71</v>
      </c>
      <c r="H25" s="11" t="s">
        <v>176</v>
      </c>
      <c r="I25" s="87">
        <v>151</v>
      </c>
    </row>
    <row r="26" spans="1:9" ht="16.8" x14ac:dyDescent="0.3">
      <c r="A26" s="399" t="s">
        <v>181</v>
      </c>
      <c r="B26" s="355">
        <v>1</v>
      </c>
      <c r="C26" s="14" t="s">
        <v>89</v>
      </c>
      <c r="D26" s="295" t="s">
        <v>107</v>
      </c>
      <c r="E26" s="311" t="s">
        <v>104</v>
      </c>
      <c r="F26" s="297" t="s">
        <v>70</v>
      </c>
      <c r="G26" s="11" t="s">
        <v>68</v>
      </c>
      <c r="H26" s="11" t="s">
        <v>176</v>
      </c>
      <c r="I26" s="87">
        <v>151</v>
      </c>
    </row>
    <row r="27" spans="1:9" ht="16.8" x14ac:dyDescent="0.3">
      <c r="A27" s="399" t="s">
        <v>220</v>
      </c>
      <c r="B27" s="355">
        <v>1</v>
      </c>
      <c r="C27" s="14" t="s">
        <v>65</v>
      </c>
      <c r="D27" s="1" t="s">
        <v>180</v>
      </c>
      <c r="E27" s="311" t="s">
        <v>104</v>
      </c>
      <c r="F27" s="11" t="s">
        <v>66</v>
      </c>
      <c r="G27" s="11" t="s">
        <v>71</v>
      </c>
      <c r="H27" s="11" t="s">
        <v>167</v>
      </c>
      <c r="I27" s="312">
        <v>241</v>
      </c>
    </row>
    <row r="28" spans="1:9" ht="16.8" x14ac:dyDescent="0.3">
      <c r="A28" s="399" t="s">
        <v>245</v>
      </c>
      <c r="B28" s="355">
        <v>1</v>
      </c>
      <c r="C28" s="296" t="s">
        <v>129</v>
      </c>
      <c r="D28" s="295" t="s">
        <v>103</v>
      </c>
      <c r="E28" s="299" t="s">
        <v>258</v>
      </c>
      <c r="F28" s="297" t="s">
        <v>70</v>
      </c>
      <c r="G28" s="297" t="s">
        <v>73</v>
      </c>
      <c r="H28" s="297" t="s">
        <v>182</v>
      </c>
      <c r="I28" s="298">
        <v>56</v>
      </c>
    </row>
    <row r="29" spans="1:9" ht="16.8" x14ac:dyDescent="0.3">
      <c r="A29" s="399" t="s">
        <v>299</v>
      </c>
      <c r="B29" s="355">
        <v>1</v>
      </c>
      <c r="C29" s="296" t="s">
        <v>129</v>
      </c>
      <c r="D29" s="295" t="s">
        <v>103</v>
      </c>
      <c r="E29" s="311" t="s">
        <v>104</v>
      </c>
      <c r="F29" s="297" t="s">
        <v>70</v>
      </c>
      <c r="G29" s="297" t="s">
        <v>301</v>
      </c>
      <c r="H29" s="297" t="s">
        <v>300</v>
      </c>
      <c r="I29" s="298">
        <v>143</v>
      </c>
    </row>
    <row r="30" spans="1:9" ht="16.8" x14ac:dyDescent="0.3">
      <c r="A30" s="399" t="s">
        <v>227</v>
      </c>
      <c r="B30" s="355">
        <v>1</v>
      </c>
      <c r="C30" s="14" t="s">
        <v>89</v>
      </c>
      <c r="D30" s="295" t="s">
        <v>112</v>
      </c>
      <c r="E30" s="311" t="s">
        <v>168</v>
      </c>
      <c r="F30" s="297" t="s">
        <v>70</v>
      </c>
      <c r="G30" s="11" t="s">
        <v>113</v>
      </c>
      <c r="H30" s="11" t="s">
        <v>176</v>
      </c>
      <c r="I30" s="87">
        <v>153</v>
      </c>
    </row>
    <row r="31" spans="1:9" ht="16.8" x14ac:dyDescent="0.3">
      <c r="A31" s="399" t="s">
        <v>228</v>
      </c>
      <c r="B31" s="355">
        <v>1</v>
      </c>
      <c r="C31" s="14" t="s">
        <v>89</v>
      </c>
      <c r="D31" s="295" t="s">
        <v>103</v>
      </c>
      <c r="E31" s="311" t="s">
        <v>168</v>
      </c>
      <c r="F31" s="297" t="s">
        <v>70</v>
      </c>
      <c r="G31" s="11" t="s">
        <v>113</v>
      </c>
      <c r="H31" s="11" t="s">
        <v>176</v>
      </c>
      <c r="I31" s="87">
        <v>153</v>
      </c>
    </row>
    <row r="32" spans="1:9" ht="16.8" x14ac:dyDescent="0.3">
      <c r="A32" s="399" t="s">
        <v>229</v>
      </c>
      <c r="B32" s="355">
        <v>1</v>
      </c>
      <c r="C32" s="14" t="s">
        <v>89</v>
      </c>
      <c r="D32" s="12" t="s">
        <v>103</v>
      </c>
      <c r="E32" s="311" t="s">
        <v>168</v>
      </c>
      <c r="F32" s="11" t="s">
        <v>70</v>
      </c>
      <c r="G32" s="11" t="s">
        <v>113</v>
      </c>
      <c r="H32" s="11" t="s">
        <v>176</v>
      </c>
      <c r="I32" s="312">
        <v>153</v>
      </c>
    </row>
    <row r="33" spans="1:9" ht="16.8" x14ac:dyDescent="0.3">
      <c r="A33" s="399" t="s">
        <v>46</v>
      </c>
      <c r="B33" s="355">
        <v>1</v>
      </c>
      <c r="C33" s="14" t="s">
        <v>129</v>
      </c>
      <c r="D33" s="1" t="s">
        <v>107</v>
      </c>
      <c r="E33" s="311" t="s">
        <v>104</v>
      </c>
      <c r="F33" s="11" t="s">
        <v>66</v>
      </c>
      <c r="G33" s="11" t="s">
        <v>68</v>
      </c>
      <c r="H33" s="11" t="s">
        <v>167</v>
      </c>
      <c r="I33" s="312">
        <v>246</v>
      </c>
    </row>
    <row r="34" spans="1:9" ht="16.8" x14ac:dyDescent="0.3">
      <c r="A34" s="399" t="s">
        <v>246</v>
      </c>
      <c r="B34" s="355">
        <v>1</v>
      </c>
      <c r="C34" s="388" t="s">
        <v>129</v>
      </c>
      <c r="D34" s="1" t="s">
        <v>108</v>
      </c>
      <c r="E34" s="13" t="s">
        <v>104</v>
      </c>
      <c r="F34" s="13" t="s">
        <v>66</v>
      </c>
      <c r="G34" s="13" t="s">
        <v>105</v>
      </c>
      <c r="H34" s="13" t="s">
        <v>184</v>
      </c>
      <c r="I34" s="389">
        <v>118</v>
      </c>
    </row>
    <row r="35" spans="1:9" ht="16.8" x14ac:dyDescent="0.3">
      <c r="A35" s="399" t="s">
        <v>230</v>
      </c>
      <c r="B35" s="355">
        <v>1</v>
      </c>
      <c r="C35" s="14" t="s">
        <v>89</v>
      </c>
      <c r="D35" s="295" t="s">
        <v>111</v>
      </c>
      <c r="E35" s="11" t="s">
        <v>257</v>
      </c>
      <c r="F35" s="11" t="s">
        <v>70</v>
      </c>
      <c r="G35" s="11" t="s">
        <v>69</v>
      </c>
      <c r="H35" s="11" t="s">
        <v>177</v>
      </c>
      <c r="I35" s="87">
        <v>100</v>
      </c>
    </row>
    <row r="36" spans="1:9" ht="16.8" x14ac:dyDescent="0.3">
      <c r="A36" s="399" t="s">
        <v>94</v>
      </c>
      <c r="B36" s="355">
        <v>1</v>
      </c>
      <c r="C36" s="14" t="s">
        <v>129</v>
      </c>
      <c r="D36" s="1" t="s">
        <v>107</v>
      </c>
      <c r="E36" s="311" t="s">
        <v>104</v>
      </c>
      <c r="F36" s="11" t="s">
        <v>70</v>
      </c>
      <c r="G36" s="11" t="s">
        <v>105</v>
      </c>
      <c r="H36" s="11" t="s">
        <v>167</v>
      </c>
      <c r="I36" s="312">
        <v>249</v>
      </c>
    </row>
    <row r="37" spans="1:9" ht="16.8" x14ac:dyDescent="0.3">
      <c r="A37" s="399" t="s">
        <v>156</v>
      </c>
      <c r="B37" s="355">
        <v>1</v>
      </c>
      <c r="C37" s="14" t="s">
        <v>129</v>
      </c>
      <c r="D37" s="295" t="s">
        <v>103</v>
      </c>
      <c r="E37" s="299" t="s">
        <v>104</v>
      </c>
      <c r="F37" s="297" t="s">
        <v>66</v>
      </c>
      <c r="G37" s="297" t="s">
        <v>105</v>
      </c>
      <c r="H37" s="11" t="s">
        <v>187</v>
      </c>
      <c r="I37" s="87">
        <v>113</v>
      </c>
    </row>
    <row r="38" spans="1:9" ht="16.8" x14ac:dyDescent="0.3">
      <c r="A38" s="399" t="s">
        <v>247</v>
      </c>
      <c r="B38" s="355">
        <v>1</v>
      </c>
      <c r="C38" s="14" t="s">
        <v>129</v>
      </c>
      <c r="D38" s="1" t="s">
        <v>106</v>
      </c>
      <c r="E38" s="311" t="s">
        <v>104</v>
      </c>
      <c r="F38" s="11" t="s">
        <v>66</v>
      </c>
      <c r="G38" s="11" t="s">
        <v>68</v>
      </c>
      <c r="H38" s="11" t="s">
        <v>167</v>
      </c>
      <c r="I38" s="312">
        <v>250</v>
      </c>
    </row>
    <row r="39" spans="1:9" ht="16.8" x14ac:dyDescent="0.3">
      <c r="A39" s="399" t="s">
        <v>239</v>
      </c>
      <c r="B39" s="355">
        <v>1</v>
      </c>
      <c r="C39" s="14" t="s">
        <v>128</v>
      </c>
      <c r="D39" s="1" t="s">
        <v>185</v>
      </c>
      <c r="E39" s="311" t="s">
        <v>104</v>
      </c>
      <c r="F39" s="11" t="s">
        <v>87</v>
      </c>
      <c r="G39" s="11" t="s">
        <v>71</v>
      </c>
      <c r="H39" s="11" t="s">
        <v>178</v>
      </c>
      <c r="I39" s="312">
        <v>170</v>
      </c>
    </row>
    <row r="40" spans="1:9" ht="16.8" x14ac:dyDescent="0.3">
      <c r="A40" s="399" t="s">
        <v>248</v>
      </c>
      <c r="B40" s="355">
        <v>1</v>
      </c>
      <c r="C40" s="14" t="s">
        <v>129</v>
      </c>
      <c r="D40" s="1" t="s">
        <v>106</v>
      </c>
      <c r="E40" s="311" t="s">
        <v>104</v>
      </c>
      <c r="F40" s="11" t="s">
        <v>66</v>
      </c>
      <c r="G40" s="11" t="s">
        <v>105</v>
      </c>
      <c r="H40" s="11" t="s">
        <v>167</v>
      </c>
      <c r="I40" s="312">
        <v>259</v>
      </c>
    </row>
    <row r="41" spans="1:9" ht="16.8" x14ac:dyDescent="0.3">
      <c r="A41" s="399" t="s">
        <v>249</v>
      </c>
      <c r="B41" s="355">
        <v>1</v>
      </c>
      <c r="C41" s="388" t="s">
        <v>129</v>
      </c>
      <c r="D41" s="1" t="s">
        <v>108</v>
      </c>
      <c r="E41" s="13" t="s">
        <v>104</v>
      </c>
      <c r="F41" s="13" t="s">
        <v>70</v>
      </c>
      <c r="G41" s="13" t="s">
        <v>105</v>
      </c>
      <c r="H41" s="13" t="s">
        <v>184</v>
      </c>
      <c r="I41" s="389">
        <v>120</v>
      </c>
    </row>
    <row r="42" spans="1:9" ht="16.8" x14ac:dyDescent="0.3">
      <c r="A42" s="399" t="s">
        <v>250</v>
      </c>
      <c r="B42" s="355">
        <v>1</v>
      </c>
      <c r="C42" s="388" t="s">
        <v>129</v>
      </c>
      <c r="D42" s="1" t="s">
        <v>106</v>
      </c>
      <c r="E42" s="13" t="s">
        <v>104</v>
      </c>
      <c r="F42" s="13" t="s">
        <v>70</v>
      </c>
      <c r="G42" s="13" t="s">
        <v>105</v>
      </c>
      <c r="H42" s="13" t="s">
        <v>188</v>
      </c>
      <c r="I42" s="389">
        <v>175</v>
      </c>
    </row>
    <row r="43" spans="1:9" ht="16.8" x14ac:dyDescent="0.3">
      <c r="A43" s="399" t="s">
        <v>115</v>
      </c>
      <c r="B43" s="355">
        <v>1</v>
      </c>
      <c r="C43" s="14" t="s">
        <v>67</v>
      </c>
      <c r="D43" s="1" t="s">
        <v>111</v>
      </c>
      <c r="E43" s="311" t="s">
        <v>104</v>
      </c>
      <c r="F43" s="11" t="s">
        <v>70</v>
      </c>
      <c r="G43" s="11" t="s">
        <v>71</v>
      </c>
      <c r="H43" s="11" t="s">
        <v>167</v>
      </c>
      <c r="I43" s="312">
        <v>269</v>
      </c>
    </row>
    <row r="44" spans="1:9" ht="16.8" x14ac:dyDescent="0.3">
      <c r="A44" s="399" t="s">
        <v>183</v>
      </c>
      <c r="B44" s="355">
        <v>1</v>
      </c>
      <c r="C44" s="14" t="s">
        <v>65</v>
      </c>
      <c r="D44" s="1" t="s">
        <v>106</v>
      </c>
      <c r="E44" s="311" t="s">
        <v>104</v>
      </c>
      <c r="F44" s="11" t="s">
        <v>66</v>
      </c>
      <c r="G44" s="11" t="s">
        <v>71</v>
      </c>
      <c r="H44" s="11" t="s">
        <v>167</v>
      </c>
      <c r="I44" s="312">
        <v>272</v>
      </c>
    </row>
    <row r="45" spans="1:9" ht="16.8" x14ac:dyDescent="0.3">
      <c r="A45" s="399" t="s">
        <v>179</v>
      </c>
      <c r="B45" s="355">
        <v>1</v>
      </c>
      <c r="C45" s="296" t="s">
        <v>65</v>
      </c>
      <c r="D45" s="295" t="s">
        <v>106</v>
      </c>
      <c r="E45" s="311" t="s">
        <v>104</v>
      </c>
      <c r="F45" s="297" t="s">
        <v>66</v>
      </c>
      <c r="G45" s="297" t="s">
        <v>71</v>
      </c>
      <c r="H45" s="297" t="s">
        <v>177</v>
      </c>
      <c r="I45" s="312">
        <v>104</v>
      </c>
    </row>
    <row r="46" spans="1:9" ht="16.8" x14ac:dyDescent="0.3">
      <c r="A46" s="399" t="s">
        <v>251</v>
      </c>
      <c r="B46" s="355">
        <v>1</v>
      </c>
      <c r="C46" s="14" t="s">
        <v>129</v>
      </c>
      <c r="D46" s="1" t="s">
        <v>106</v>
      </c>
      <c r="E46" s="311" t="s">
        <v>104</v>
      </c>
      <c r="F46" s="11" t="s">
        <v>66</v>
      </c>
      <c r="G46" s="11" t="s">
        <v>68</v>
      </c>
      <c r="H46" s="11" t="s">
        <v>259</v>
      </c>
      <c r="I46" s="312">
        <v>107</v>
      </c>
    </row>
    <row r="47" spans="1:9" ht="16.8" x14ac:dyDescent="0.3">
      <c r="A47" s="399" t="s">
        <v>231</v>
      </c>
      <c r="B47" s="355">
        <v>1</v>
      </c>
      <c r="C47" s="14" t="s">
        <v>89</v>
      </c>
      <c r="D47" s="12" t="s">
        <v>103</v>
      </c>
      <c r="E47" s="13" t="s">
        <v>168</v>
      </c>
      <c r="F47" s="11" t="s">
        <v>70</v>
      </c>
      <c r="G47" s="11" t="s">
        <v>113</v>
      </c>
      <c r="H47" s="13" t="s">
        <v>176</v>
      </c>
      <c r="I47" s="312">
        <v>157</v>
      </c>
    </row>
    <row r="48" spans="1:9" ht="16.8" x14ac:dyDescent="0.3">
      <c r="A48" s="399" t="s">
        <v>232</v>
      </c>
      <c r="B48" s="355">
        <v>1</v>
      </c>
      <c r="C48" s="14" t="s">
        <v>89</v>
      </c>
      <c r="D48" s="1" t="s">
        <v>103</v>
      </c>
      <c r="E48" s="311" t="s">
        <v>104</v>
      </c>
      <c r="F48" s="11" t="s">
        <v>70</v>
      </c>
      <c r="G48" s="11" t="s">
        <v>68</v>
      </c>
      <c r="H48" s="11" t="s">
        <v>167</v>
      </c>
      <c r="I48" s="312">
        <v>281</v>
      </c>
    </row>
    <row r="49" spans="1:9" ht="16.8" x14ac:dyDescent="0.3">
      <c r="A49" s="399" t="s">
        <v>222</v>
      </c>
      <c r="B49" s="355">
        <v>1</v>
      </c>
      <c r="C49" s="14" t="s">
        <v>72</v>
      </c>
      <c r="D49" s="1" t="s">
        <v>106</v>
      </c>
      <c r="E49" s="311" t="s">
        <v>104</v>
      </c>
      <c r="F49" s="11" t="s">
        <v>87</v>
      </c>
      <c r="G49" s="11" t="s">
        <v>73</v>
      </c>
      <c r="H49" s="11" t="s">
        <v>167</v>
      </c>
      <c r="I49" s="312">
        <v>288</v>
      </c>
    </row>
    <row r="50" spans="1:9" ht="16.8" x14ac:dyDescent="0.3">
      <c r="A50" s="399" t="s">
        <v>252</v>
      </c>
      <c r="B50" s="355">
        <v>1</v>
      </c>
      <c r="C50" s="388" t="s">
        <v>129</v>
      </c>
      <c r="D50" s="1" t="s">
        <v>108</v>
      </c>
      <c r="E50" s="13" t="s">
        <v>104</v>
      </c>
      <c r="F50" s="13" t="s">
        <v>66</v>
      </c>
      <c r="G50" s="13" t="s">
        <v>91</v>
      </c>
      <c r="H50" s="13" t="s">
        <v>184</v>
      </c>
      <c r="I50" s="389">
        <v>123</v>
      </c>
    </row>
    <row r="51" spans="1:9" ht="16.8" x14ac:dyDescent="0.3">
      <c r="A51" s="399" t="s">
        <v>253</v>
      </c>
      <c r="B51" s="355">
        <v>1</v>
      </c>
      <c r="C51" s="14" t="s">
        <v>129</v>
      </c>
      <c r="D51" s="1" t="s">
        <v>103</v>
      </c>
      <c r="E51" s="311" t="s">
        <v>104</v>
      </c>
      <c r="F51" s="11" t="s">
        <v>66</v>
      </c>
      <c r="G51" s="11" t="s">
        <v>105</v>
      </c>
      <c r="H51" s="11" t="s">
        <v>178</v>
      </c>
      <c r="I51" s="312">
        <v>184</v>
      </c>
    </row>
    <row r="52" spans="1:9" ht="16.8" x14ac:dyDescent="0.3">
      <c r="A52" s="399" t="s">
        <v>254</v>
      </c>
      <c r="B52" s="355">
        <v>1</v>
      </c>
      <c r="C52" s="388" t="s">
        <v>129</v>
      </c>
      <c r="D52" s="1" t="s">
        <v>108</v>
      </c>
      <c r="E52" s="13" t="s">
        <v>104</v>
      </c>
      <c r="F52" s="13" t="s">
        <v>66</v>
      </c>
      <c r="G52" s="13" t="s">
        <v>68</v>
      </c>
      <c r="H52" s="13" t="s">
        <v>184</v>
      </c>
      <c r="I52" s="389">
        <v>124</v>
      </c>
    </row>
    <row r="53" spans="1:9" ht="16.8" x14ac:dyDescent="0.3">
      <c r="A53" s="399" t="s">
        <v>233</v>
      </c>
      <c r="B53" s="355">
        <v>1</v>
      </c>
      <c r="C53" s="14" t="s">
        <v>89</v>
      </c>
      <c r="D53" s="1" t="s">
        <v>175</v>
      </c>
      <c r="E53" s="311" t="s">
        <v>168</v>
      </c>
      <c r="F53" s="297" t="s">
        <v>70</v>
      </c>
      <c r="G53" s="11" t="s">
        <v>113</v>
      </c>
      <c r="H53" s="11" t="s">
        <v>176</v>
      </c>
      <c r="I53" s="87">
        <v>158</v>
      </c>
    </row>
    <row r="54" spans="1:9" ht="16.8" x14ac:dyDescent="0.3">
      <c r="A54" s="399" t="s">
        <v>255</v>
      </c>
      <c r="B54" s="355">
        <v>1</v>
      </c>
      <c r="C54" s="388" t="s">
        <v>129</v>
      </c>
      <c r="D54" s="1" t="s">
        <v>106</v>
      </c>
      <c r="E54" s="13" t="s">
        <v>104</v>
      </c>
      <c r="F54" s="13" t="s">
        <v>66</v>
      </c>
      <c r="G54" s="13" t="s">
        <v>71</v>
      </c>
      <c r="H54" s="13" t="s">
        <v>184</v>
      </c>
      <c r="I54" s="389">
        <v>125</v>
      </c>
    </row>
    <row r="55" spans="1:9" ht="17.399999999999999" thickBot="1" x14ac:dyDescent="0.35">
      <c r="A55" s="400" t="s">
        <v>256</v>
      </c>
      <c r="B55" s="358">
        <v>1</v>
      </c>
      <c r="C55" s="390" t="s">
        <v>129</v>
      </c>
      <c r="D55" s="392" t="s">
        <v>107</v>
      </c>
      <c r="E55" s="393" t="s">
        <v>104</v>
      </c>
      <c r="F55" s="395" t="s">
        <v>66</v>
      </c>
      <c r="G55" s="395" t="s">
        <v>68</v>
      </c>
      <c r="H55" s="395" t="s">
        <v>186</v>
      </c>
      <c r="I55" s="397">
        <v>37</v>
      </c>
    </row>
    <row r="56" spans="1:9" ht="16.2" thickTop="1" x14ac:dyDescent="0.3">
      <c r="A56" s="293"/>
      <c r="B56" s="293"/>
      <c r="C56" s="293"/>
      <c r="D56" s="293"/>
      <c r="E56" s="293"/>
      <c r="F56" s="293"/>
      <c r="G56" s="293"/>
    </row>
  </sheetData>
  <sortState xmlns:xlrd2="http://schemas.microsoft.com/office/spreadsheetml/2017/richdata2" ref="A3:J54">
    <sortCondition ref="B3:B54"/>
    <sortCondition ref="A3:A54"/>
  </sortState>
  <conditionalFormatting sqref="B2:B55">
    <cfRule type="cellIs" dxfId="34" priority="1" operator="equal">
      <formula>9</formula>
    </cfRule>
    <cfRule type="cellIs" dxfId="33" priority="2" operator="equal">
      <formula>8</formula>
    </cfRule>
    <cfRule type="cellIs" dxfId="32" priority="3" operator="equal">
      <formula>7</formula>
    </cfRule>
    <cfRule type="cellIs" dxfId="31" priority="4" operator="equal">
      <formula>6</formula>
    </cfRule>
    <cfRule type="cellIs" dxfId="30" priority="5" operator="equal">
      <formula>5</formula>
    </cfRule>
    <cfRule type="cellIs" dxfId="29" priority="6" operator="equal">
      <formula>4</formula>
    </cfRule>
    <cfRule type="cellIs" dxfId="28" priority="7" operator="equal">
      <formula>3</formula>
    </cfRule>
    <cfRule type="cellIs" dxfId="27" priority="8" operator="equal">
      <formula>2</formula>
    </cfRule>
    <cfRule type="cellIs" dxfId="26" priority="9" operator="equal">
      <formula>1</formula>
    </cfRule>
    <cfRule type="containsBlanks" dxfId="25" priority="10">
      <formula>LEN(TRIM(B2))=0</formula>
    </cfRule>
    <cfRule type="cellIs" dxfId="24"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showGridLines="0" workbookViewId="0"/>
  </sheetViews>
  <sheetFormatPr defaultColWidth="13" defaultRowHeight="16.8" x14ac:dyDescent="0.3"/>
  <cols>
    <col min="1" max="1" width="24.19921875" style="172" bestFit="1" customWidth="1"/>
    <col min="2" max="2" width="6.19921875" style="172" bestFit="1" customWidth="1"/>
    <col min="3" max="3" width="4.09765625" style="172" bestFit="1" customWidth="1"/>
    <col min="4" max="4" width="7.8984375" style="171" bestFit="1" customWidth="1"/>
    <col min="5" max="5" width="2.19921875" style="171" bestFit="1" customWidth="1"/>
    <col min="6" max="6" width="14.3984375" style="149" customWidth="1"/>
    <col min="7" max="10" width="4.296875" style="149" customWidth="1"/>
    <col min="11" max="11" width="2.3984375" style="149" customWidth="1"/>
    <col min="12" max="12" width="3.09765625" style="149" customWidth="1"/>
    <col min="13" max="13" width="20.19921875" style="149" bestFit="1" customWidth="1"/>
    <col min="14" max="14" width="6.19921875" style="149" bestFit="1" customWidth="1"/>
    <col min="15" max="15" width="11.296875" style="149" bestFit="1" customWidth="1"/>
    <col min="16" max="16" width="7.8984375" style="149" bestFit="1" customWidth="1"/>
    <col min="17" max="16384" width="13" style="149"/>
  </cols>
  <sheetData>
    <row r="1" spans="1:16" ht="24" thickTop="1" thickBot="1" x14ac:dyDescent="0.35">
      <c r="A1" s="376" t="s">
        <v>88</v>
      </c>
      <c r="B1" s="147"/>
      <c r="C1" s="147"/>
      <c r="D1" s="148"/>
      <c r="E1" s="149"/>
      <c r="F1" s="380" t="s">
        <v>120</v>
      </c>
      <c r="G1" s="380"/>
      <c r="H1" s="151"/>
      <c r="I1" s="152"/>
      <c r="J1" s="152"/>
      <c r="M1" s="376" t="s">
        <v>152</v>
      </c>
      <c r="N1" s="147"/>
      <c r="O1" s="147"/>
      <c r="P1" s="148"/>
    </row>
    <row r="2" spans="1:16" s="56" customFormat="1" ht="17.399999999999999" thickTop="1" x14ac:dyDescent="0.3">
      <c r="A2" s="377" t="s">
        <v>74</v>
      </c>
      <c r="B2" s="378" t="s">
        <v>0</v>
      </c>
      <c r="C2" s="378" t="s">
        <v>98</v>
      </c>
      <c r="D2" s="379" t="s">
        <v>75</v>
      </c>
      <c r="E2" s="30"/>
      <c r="F2" s="267"/>
      <c r="G2" s="153" t="s">
        <v>121</v>
      </c>
      <c r="H2" s="309"/>
      <c r="I2" s="309"/>
      <c r="J2" s="310"/>
      <c r="M2" s="377" t="s">
        <v>74</v>
      </c>
      <c r="N2" s="378" t="s">
        <v>0</v>
      </c>
      <c r="O2" s="378" t="s">
        <v>98</v>
      </c>
      <c r="P2" s="379" t="s">
        <v>75</v>
      </c>
    </row>
    <row r="3" spans="1:16" ht="17.399999999999999" thickBot="1" x14ac:dyDescent="0.35">
      <c r="A3" s="406" t="s">
        <v>223</v>
      </c>
      <c r="B3" s="407">
        <v>1</v>
      </c>
      <c r="C3" s="408">
        <f>10+B3+'Personal File'!$C$16</f>
        <v>13</v>
      </c>
      <c r="D3" s="409" t="s">
        <v>197</v>
      </c>
      <c r="E3" s="30"/>
      <c r="F3" s="150"/>
      <c r="G3" s="154" t="s">
        <v>116</v>
      </c>
      <c r="H3" s="155" t="s">
        <v>117</v>
      </c>
      <c r="I3" s="155" t="s">
        <v>118</v>
      </c>
      <c r="J3" s="156" t="s">
        <v>119</v>
      </c>
      <c r="M3" s="406" t="s">
        <v>223</v>
      </c>
      <c r="N3" s="407">
        <v>1</v>
      </c>
      <c r="O3" s="408">
        <f>10+N3+'Personal File'!$C$16</f>
        <v>13</v>
      </c>
      <c r="P3" s="409" t="s">
        <v>197</v>
      </c>
    </row>
    <row r="4" spans="1:16" ht="18" thickTop="1" thickBot="1" x14ac:dyDescent="0.35">
      <c r="A4" s="386" t="s">
        <v>299</v>
      </c>
      <c r="B4" s="168">
        <v>1</v>
      </c>
      <c r="C4" s="169">
        <f>10+B4+'Personal File'!$C$16</f>
        <v>13</v>
      </c>
      <c r="D4" s="170" t="s">
        <v>197</v>
      </c>
      <c r="E4" s="30"/>
      <c r="F4" s="157" t="s">
        <v>127</v>
      </c>
      <c r="G4" s="158">
        <v>0</v>
      </c>
      <c r="H4" s="159">
        <v>0</v>
      </c>
      <c r="I4" s="159">
        <v>0</v>
      </c>
      <c r="J4" s="160">
        <v>0</v>
      </c>
      <c r="M4" s="386" t="s">
        <v>299</v>
      </c>
      <c r="N4" s="168">
        <v>1</v>
      </c>
      <c r="O4" s="169">
        <f>10+N4+'Personal File'!$C$16</f>
        <v>13</v>
      </c>
      <c r="P4" s="170" t="s">
        <v>197</v>
      </c>
    </row>
    <row r="5" spans="1:16" ht="17.399999999999999" thickTop="1" x14ac:dyDescent="0.3">
      <c r="E5" s="30"/>
      <c r="F5" s="161" t="s">
        <v>122</v>
      </c>
      <c r="G5" s="162">
        <v>0</v>
      </c>
      <c r="H5" s="163">
        <v>0</v>
      </c>
      <c r="I5" s="163">
        <v>0</v>
      </c>
      <c r="J5" s="164">
        <v>0</v>
      </c>
    </row>
    <row r="6" spans="1:16" x14ac:dyDescent="0.3">
      <c r="E6" s="30"/>
      <c r="F6" s="161" t="s">
        <v>265</v>
      </c>
      <c r="G6" s="162">
        <v>1</v>
      </c>
      <c r="H6" s="163">
        <v>0</v>
      </c>
      <c r="I6" s="163">
        <v>0</v>
      </c>
      <c r="J6" s="164">
        <v>0</v>
      </c>
    </row>
    <row r="7" spans="1:16" x14ac:dyDescent="0.3">
      <c r="E7" s="30"/>
      <c r="F7" s="161" t="s">
        <v>132</v>
      </c>
      <c r="G7" s="162">
        <v>1</v>
      </c>
      <c r="H7" s="163">
        <v>1</v>
      </c>
      <c r="I7" s="163">
        <v>0</v>
      </c>
      <c r="J7" s="164">
        <v>0</v>
      </c>
    </row>
    <row r="8" spans="1:16" ht="17.399999999999999" thickBot="1" x14ac:dyDescent="0.35">
      <c r="E8" s="30"/>
      <c r="F8" s="165" t="s">
        <v>190</v>
      </c>
      <c r="G8" s="381">
        <f t="shared" ref="G8" si="0">SUM(G4:G7)</f>
        <v>2</v>
      </c>
      <c r="H8" s="166">
        <v>0</v>
      </c>
      <c r="I8" s="166">
        <f>SUM(I5:I7)</f>
        <v>0</v>
      </c>
      <c r="J8" s="167">
        <f>SUM(J5:J7)</f>
        <v>0</v>
      </c>
    </row>
    <row r="9" spans="1:16" ht="17.399999999999999" thickTop="1" x14ac:dyDescent="0.3">
      <c r="E9" s="30"/>
    </row>
    <row r="10" spans="1:16" x14ac:dyDescent="0.3">
      <c r="I10" s="321" t="s">
        <v>192</v>
      </c>
      <c r="J10" s="175">
        <f>ROUNDDOWN(0.5*'Personal File'!E3,0)+2</f>
        <v>3</v>
      </c>
    </row>
    <row r="11" spans="1:16" x14ac:dyDescent="0.3">
      <c r="E11" s="30"/>
    </row>
    <row r="12" spans="1:16" x14ac:dyDescent="0.3">
      <c r="E12" s="30"/>
    </row>
    <row r="13" spans="1:16" x14ac:dyDescent="0.3">
      <c r="E13" s="30"/>
    </row>
    <row r="14" spans="1:16" x14ac:dyDescent="0.3">
      <c r="E14" s="30"/>
    </row>
    <row r="15" spans="1:16" x14ac:dyDescent="0.3">
      <c r="E15" s="30"/>
    </row>
    <row r="16" spans="1:16" x14ac:dyDescent="0.3">
      <c r="E16" s="30"/>
    </row>
    <row r="20" spans="6:6" x14ac:dyDescent="0.3">
      <c r="F20" s="171"/>
    </row>
    <row r="21" spans="6:6" x14ac:dyDescent="0.3">
      <c r="F21" s="171"/>
    </row>
  </sheetData>
  <conditionalFormatting sqref="D3">
    <cfRule type="cellIs" dxfId="23" priority="11" operator="equal">
      <formula>"þ"</formula>
    </cfRule>
  </conditionalFormatting>
  <conditionalFormatting sqref="P3">
    <cfRule type="cellIs" dxfId="22" priority="2" operator="equal">
      <formula>"þ"</formula>
    </cfRule>
  </conditionalFormatting>
  <conditionalFormatting sqref="D4">
    <cfRule type="cellIs" dxfId="21" priority="3" operator="equal">
      <formula>"þ"</formula>
    </cfRule>
  </conditionalFormatting>
  <conditionalFormatting sqref="P4">
    <cfRule type="cellIs" dxfId="20"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2"/>
  <sheetViews>
    <sheetView showGridLines="0" workbookViewId="0"/>
  </sheetViews>
  <sheetFormatPr defaultColWidth="13" defaultRowHeight="16.8" x14ac:dyDescent="0.3"/>
  <cols>
    <col min="1" max="1" width="37" style="171" bestFit="1" customWidth="1"/>
    <col min="2" max="2" width="3" style="172" customWidth="1"/>
    <col min="3" max="3" width="39.19921875" style="149" bestFit="1" customWidth="1"/>
    <col min="4" max="4" width="17.69921875" style="175" bestFit="1" customWidth="1"/>
    <col min="5" max="16384" width="13" style="149"/>
  </cols>
  <sheetData>
    <row r="1" spans="1:4" ht="24" thickTop="1" thickBot="1" x14ac:dyDescent="0.45">
      <c r="A1" s="174" t="s">
        <v>123</v>
      </c>
      <c r="B1" s="149"/>
      <c r="C1" s="382" t="s">
        <v>215</v>
      </c>
      <c r="D1" s="149"/>
    </row>
    <row r="2" spans="1:4" x14ac:dyDescent="0.3">
      <c r="A2" s="306" t="s">
        <v>274</v>
      </c>
      <c r="B2" s="149"/>
      <c r="C2" s="413" t="s">
        <v>286</v>
      </c>
      <c r="D2" s="149"/>
    </row>
    <row r="3" spans="1:4" x14ac:dyDescent="0.3">
      <c r="A3" s="306" t="s">
        <v>275</v>
      </c>
      <c r="B3" s="149"/>
      <c r="C3" s="383" t="s">
        <v>287</v>
      </c>
      <c r="D3" s="149"/>
    </row>
    <row r="4" spans="1:4" x14ac:dyDescent="0.3">
      <c r="A4" s="307" t="s">
        <v>276</v>
      </c>
      <c r="B4" s="149"/>
      <c r="C4" s="383" t="s">
        <v>295</v>
      </c>
      <c r="D4" s="149"/>
    </row>
    <row r="5" spans="1:4" x14ac:dyDescent="0.3">
      <c r="A5" s="415" t="s">
        <v>277</v>
      </c>
      <c r="B5" s="149"/>
      <c r="C5" s="414" t="s">
        <v>288</v>
      </c>
      <c r="D5" s="149"/>
    </row>
    <row r="6" spans="1:4" x14ac:dyDescent="0.3">
      <c r="A6" s="415" t="s">
        <v>278</v>
      </c>
      <c r="B6" s="149"/>
      <c r="C6" s="414" t="s">
        <v>289</v>
      </c>
      <c r="D6" s="149"/>
    </row>
    <row r="7" spans="1:4" x14ac:dyDescent="0.3">
      <c r="A7" s="306" t="s">
        <v>279</v>
      </c>
      <c r="B7" s="149"/>
      <c r="C7" s="385" t="s">
        <v>290</v>
      </c>
      <c r="D7" s="149"/>
    </row>
    <row r="8" spans="1:4" ht="17.399999999999999" thickBot="1" x14ac:dyDescent="0.35">
      <c r="A8" s="308" t="s">
        <v>280</v>
      </c>
      <c r="B8" s="149"/>
      <c r="C8" s="384" t="s">
        <v>291</v>
      </c>
      <c r="D8" s="149"/>
    </row>
    <row r="9" spans="1:4" ht="18" thickTop="1" thickBot="1" x14ac:dyDescent="0.35">
      <c r="B9" s="149"/>
      <c r="D9" s="149"/>
    </row>
    <row r="10" spans="1:4" ht="24" thickTop="1" thickBot="1" x14ac:dyDescent="0.45">
      <c r="A10" s="10" t="s">
        <v>99</v>
      </c>
      <c r="B10" s="149"/>
      <c r="C10" s="410" t="s">
        <v>267</v>
      </c>
      <c r="D10" s="149"/>
    </row>
    <row r="11" spans="1:4" ht="17.399999999999999" thickBot="1" x14ac:dyDescent="0.35">
      <c r="A11" s="176" t="s">
        <v>217</v>
      </c>
      <c r="B11" s="149"/>
      <c r="C11" s="383" t="s">
        <v>284</v>
      </c>
    </row>
    <row r="12" spans="1:4" ht="18" thickTop="1" thickBot="1" x14ac:dyDescent="0.35">
      <c r="C12" s="383" t="s">
        <v>285</v>
      </c>
    </row>
    <row r="13" spans="1:4" ht="24" thickTop="1" thickBot="1" x14ac:dyDescent="0.35">
      <c r="A13" s="305" t="s">
        <v>76</v>
      </c>
      <c r="C13" s="418" t="s">
        <v>292</v>
      </c>
    </row>
    <row r="14" spans="1:4" ht="17.399999999999999" thickBot="1" x14ac:dyDescent="0.35">
      <c r="A14" s="176" t="s">
        <v>216</v>
      </c>
      <c r="C14" s="419" t="s">
        <v>293</v>
      </c>
    </row>
    <row r="15" spans="1:4" ht="18" thickTop="1" thickBot="1" x14ac:dyDescent="0.35"/>
    <row r="16" spans="1:4" ht="24" thickTop="1" thickBot="1" x14ac:dyDescent="0.45">
      <c r="A16" s="304" t="s">
        <v>157</v>
      </c>
      <c r="C16" s="382" t="s">
        <v>268</v>
      </c>
    </row>
    <row r="17" spans="1:3" ht="17.399999999999999" thickBot="1" x14ac:dyDescent="0.35">
      <c r="A17" s="176" t="s">
        <v>189</v>
      </c>
      <c r="C17" s="383" t="s">
        <v>270</v>
      </c>
    </row>
    <row r="18" spans="1:3" ht="17.399999999999999" thickTop="1" x14ac:dyDescent="0.3">
      <c r="C18" s="383" t="str">
        <f>CONCATENATE("Range Increment Bonus +",10*'Personal File'!$E$6,"’")</f>
        <v>Range Increment Bonus +20’</v>
      </c>
    </row>
    <row r="19" spans="1:3" x14ac:dyDescent="0.3">
      <c r="C19" s="411" t="s">
        <v>271</v>
      </c>
    </row>
    <row r="20" spans="1:3" x14ac:dyDescent="0.3">
      <c r="C20" s="411" t="s">
        <v>272</v>
      </c>
    </row>
    <row r="21" spans="1:3" ht="17.399999999999999" thickBot="1" x14ac:dyDescent="0.35">
      <c r="C21" s="412" t="s">
        <v>273</v>
      </c>
    </row>
    <row r="22" spans="1:3" ht="17.399999999999999" thickTop="1" x14ac:dyDescent="0.3"/>
  </sheetData>
  <sortState xmlns:xlrd2="http://schemas.microsoft.com/office/spreadsheetml/2017/richdata2" ref="A2:A7">
    <sortCondition ref="A2:A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showGridLines="0" workbookViewId="0"/>
  </sheetViews>
  <sheetFormatPr defaultColWidth="13" defaultRowHeight="15.6" x14ac:dyDescent="0.3"/>
  <cols>
    <col min="1" max="1" width="45.3984375" style="178" bestFit="1" customWidth="1"/>
    <col min="2" max="2" width="8.5" style="178" bestFit="1" customWidth="1"/>
    <col min="3" max="3" width="11.3984375" style="178" bestFit="1" customWidth="1"/>
    <col min="4" max="4" width="6.296875" style="178" bestFit="1" customWidth="1"/>
    <col min="5" max="5" width="8.5" style="178" bestFit="1" customWidth="1"/>
    <col min="6" max="6" width="12.19921875" style="178" bestFit="1" customWidth="1"/>
    <col min="7" max="7" width="4.3984375" style="178" bestFit="1" customWidth="1"/>
    <col min="8" max="8" width="4.69921875" style="178" bestFit="1" customWidth="1"/>
    <col min="9" max="9" width="5.69921875" style="178" bestFit="1" customWidth="1"/>
    <col min="10" max="10" width="6.296875" style="178" bestFit="1" customWidth="1"/>
    <col min="11" max="11" width="11.69921875" style="178" bestFit="1" customWidth="1"/>
    <col min="12" max="12" width="1.3984375" style="21" customWidth="1"/>
    <col min="13" max="13" width="5.8984375" style="21" bestFit="1" customWidth="1"/>
    <col min="14" max="16384" width="13" style="21"/>
  </cols>
  <sheetData>
    <row r="1" spans="1:13" ht="23.4" thickBot="1" x14ac:dyDescent="0.35">
      <c r="A1" s="173" t="s">
        <v>15</v>
      </c>
      <c r="B1" s="173"/>
      <c r="C1" s="173"/>
      <c r="D1" s="173"/>
      <c r="E1" s="173"/>
      <c r="F1" s="173"/>
      <c r="G1" s="173"/>
      <c r="H1" s="173"/>
      <c r="I1" s="173"/>
      <c r="J1" s="173"/>
      <c r="K1" s="173"/>
    </row>
    <row r="2" spans="1:13" ht="16.8" thickTop="1" thickBot="1" x14ac:dyDescent="0.35">
      <c r="A2" s="211" t="s">
        <v>1</v>
      </c>
      <c r="B2" s="212" t="s">
        <v>2</v>
      </c>
      <c r="C2" s="212" t="s">
        <v>19</v>
      </c>
      <c r="D2" s="212" t="s">
        <v>20</v>
      </c>
      <c r="E2" s="213" t="s">
        <v>58</v>
      </c>
      <c r="F2" s="212" t="s">
        <v>16</v>
      </c>
      <c r="G2" s="212" t="s">
        <v>21</v>
      </c>
      <c r="H2" s="214" t="s">
        <v>100</v>
      </c>
      <c r="I2" s="215" t="s">
        <v>124</v>
      </c>
      <c r="J2" s="214" t="s">
        <v>84</v>
      </c>
      <c r="K2" s="216" t="s">
        <v>82</v>
      </c>
      <c r="M2" s="289" t="s">
        <v>136</v>
      </c>
    </row>
    <row r="3" spans="1:13" x14ac:dyDescent="0.3">
      <c r="A3" s="183" t="s">
        <v>193</v>
      </c>
      <c r="B3" s="226" t="s">
        <v>194</v>
      </c>
      <c r="C3" s="226">
        <v>0</v>
      </c>
      <c r="D3" s="226">
        <v>0</v>
      </c>
      <c r="E3" s="227" t="s">
        <v>195</v>
      </c>
      <c r="F3" s="287" t="s">
        <v>196</v>
      </c>
      <c r="G3" s="255">
        <v>1</v>
      </c>
      <c r="H3" s="226" t="str">
        <f>CONCATENATE("+",'Personal File'!$B$10+'Personal File'!$C$12+D3)</f>
        <v>+11</v>
      </c>
      <c r="I3" s="225">
        <f t="shared" ref="I3:I5" ca="1" si="0">RANDBETWEEN(1,20)</f>
        <v>20</v>
      </c>
      <c r="J3" s="253">
        <f t="shared" ref="J3:J5" ca="1" si="1">I3+H3</f>
        <v>31</v>
      </c>
      <c r="K3" s="228"/>
      <c r="M3" s="277">
        <v>2</v>
      </c>
    </row>
    <row r="4" spans="1:13" x14ac:dyDescent="0.3">
      <c r="A4" s="371" t="s">
        <v>266</v>
      </c>
      <c r="B4" s="340" t="s">
        <v>160</v>
      </c>
      <c r="C4" s="340">
        <v>0</v>
      </c>
      <c r="D4" s="340">
        <v>1</v>
      </c>
      <c r="E4" s="341" t="s">
        <v>195</v>
      </c>
      <c r="F4" s="416" t="s">
        <v>281</v>
      </c>
      <c r="G4" s="334">
        <v>4</v>
      </c>
      <c r="H4" s="340" t="str">
        <f>CONCATENATE("+",'Personal File'!$B$10+'Personal File'!$C$12+D4)</f>
        <v>+12</v>
      </c>
      <c r="I4" s="372">
        <f t="shared" ca="1" si="0"/>
        <v>4</v>
      </c>
      <c r="J4" s="336">
        <f t="shared" ref="J4" ca="1" si="2">I4+H4</f>
        <v>16</v>
      </c>
      <c r="K4" s="373"/>
      <c r="M4" s="290">
        <v>315</v>
      </c>
    </row>
    <row r="5" spans="1:13" ht="16.2" thickBot="1" x14ac:dyDescent="0.35">
      <c r="A5" s="229" t="s">
        <v>141</v>
      </c>
      <c r="B5" s="230" t="s">
        <v>142</v>
      </c>
      <c r="C5" s="231">
        <v>0</v>
      </c>
      <c r="D5" s="232" t="s">
        <v>56</v>
      </c>
      <c r="E5" s="232" t="s">
        <v>138</v>
      </c>
      <c r="F5" s="198" t="s">
        <v>143</v>
      </c>
      <c r="G5" s="233">
        <v>0</v>
      </c>
      <c r="H5" s="234" t="str">
        <f>CONCATENATE("+",'Personal File'!$B$10+'Personal File'!$C$12+D5)</f>
        <v>+11</v>
      </c>
      <c r="I5" s="235">
        <f t="shared" ca="1" si="0"/>
        <v>2</v>
      </c>
      <c r="J5" s="236">
        <f t="shared" ca="1" si="1"/>
        <v>13</v>
      </c>
      <c r="K5" s="237"/>
      <c r="M5" s="281" t="s">
        <v>162</v>
      </c>
    </row>
    <row r="6" spans="1:13" ht="6" customHeight="1" thickTop="1" thickBot="1" x14ac:dyDescent="0.35">
      <c r="M6" s="260"/>
    </row>
    <row r="7" spans="1:13" ht="16.8" thickTop="1" thickBot="1" x14ac:dyDescent="0.35">
      <c r="A7" s="211" t="s">
        <v>4</v>
      </c>
      <c r="B7" s="212" t="s">
        <v>5</v>
      </c>
      <c r="C7" s="212" t="s">
        <v>19</v>
      </c>
      <c r="D7" s="212" t="s">
        <v>20</v>
      </c>
      <c r="E7" s="213" t="s">
        <v>58</v>
      </c>
      <c r="F7" s="212" t="s">
        <v>6</v>
      </c>
      <c r="G7" s="212" t="s">
        <v>21</v>
      </c>
      <c r="H7" s="214" t="s">
        <v>100</v>
      </c>
      <c r="I7" s="215" t="s">
        <v>124</v>
      </c>
      <c r="J7" s="214" t="s">
        <v>84</v>
      </c>
      <c r="K7" s="216" t="s">
        <v>82</v>
      </c>
      <c r="M7" s="289" t="s">
        <v>136</v>
      </c>
    </row>
    <row r="8" spans="1:13" x14ac:dyDescent="0.3">
      <c r="A8" s="322" t="s">
        <v>296</v>
      </c>
      <c r="B8" s="323" t="s">
        <v>160</v>
      </c>
      <c r="C8" s="456" t="str">
        <f>CONCATENATE("+1+2+2",'Personal File'!$C$12,"+3")</f>
        <v>+1+2+2+2+3</v>
      </c>
      <c r="D8" s="453">
        <f t="shared" ref="D8:D15" si="3">1+2+3</f>
        <v>6</v>
      </c>
      <c r="E8" s="323" t="s">
        <v>337</v>
      </c>
      <c r="F8" s="324" t="str">
        <f>CONCATENATE(110*1.5,"’+20’",RIGHT(Feats!$C$18,4))</f>
        <v>165’+20’+20’</v>
      </c>
      <c r="G8" s="325">
        <v>3</v>
      </c>
      <c r="H8" s="326" t="str">
        <f>CONCATENATE("+",'Personal File'!$B$10+'Personal File'!$C$13+D8+1)</f>
        <v>+22</v>
      </c>
      <c r="I8" s="327">
        <f t="shared" ref="I8:I12" ca="1" si="4">RANDBETWEEN(1,20)</f>
        <v>12</v>
      </c>
      <c r="J8" s="328">
        <f t="shared" ref="J8:J11" ca="1" si="5">I8+H8</f>
        <v>34</v>
      </c>
      <c r="K8" s="329" t="s">
        <v>191</v>
      </c>
      <c r="M8" s="290">
        <v>18800</v>
      </c>
    </row>
    <row r="9" spans="1:13" x14ac:dyDescent="0.3">
      <c r="A9" s="330" t="s">
        <v>212</v>
      </c>
      <c r="B9" s="331" t="s">
        <v>160</v>
      </c>
      <c r="C9" s="457" t="str">
        <f>CONCATENATE("+1+2+2",'Personal File'!$C$12,"+3")</f>
        <v>+1+2+2+2+3</v>
      </c>
      <c r="D9" s="454">
        <f t="shared" si="3"/>
        <v>6</v>
      </c>
      <c r="E9" s="331" t="s">
        <v>337</v>
      </c>
      <c r="F9" s="332" t="str">
        <f>CONCATENATE(110*1.5,"’+20’",RIGHT(Feats!$C$18,4))</f>
        <v>165’+20’+20’</v>
      </c>
      <c r="G9" s="333" t="s">
        <v>162</v>
      </c>
      <c r="H9" s="334" t="str">
        <f>CONCATENATE("+",'Personal File'!$B$10+'Personal File'!$C$13+D9-5+1)</f>
        <v>+17</v>
      </c>
      <c r="I9" s="335">
        <f t="shared" ca="1" si="4"/>
        <v>12</v>
      </c>
      <c r="J9" s="336">
        <f t="shared" ref="J9" ca="1" si="6">I9+H9</f>
        <v>29</v>
      </c>
      <c r="K9" s="337" t="s">
        <v>191</v>
      </c>
      <c r="M9" s="338" t="s">
        <v>162</v>
      </c>
    </row>
    <row r="10" spans="1:13" x14ac:dyDescent="0.3">
      <c r="A10" s="330" t="s">
        <v>306</v>
      </c>
      <c r="B10" s="331" t="s">
        <v>160</v>
      </c>
      <c r="C10" s="457" t="str">
        <f>CONCATENATE("+1+2+2",'Personal File'!$C$12,"+3")</f>
        <v>+1+2+2+2+3</v>
      </c>
      <c r="D10" s="454">
        <f t="shared" si="3"/>
        <v>6</v>
      </c>
      <c r="E10" s="331" t="s">
        <v>337</v>
      </c>
      <c r="F10" s="332" t="str">
        <f>CONCATENATE(110*1.5,"’+20’",RIGHT(Feats!$C$18,4))</f>
        <v>165’+20’+20’</v>
      </c>
      <c r="G10" s="333" t="s">
        <v>162</v>
      </c>
      <c r="H10" s="334" t="str">
        <f>CONCATENATE("+",'Personal File'!$B$10+'Personal File'!$C$13+D10-10+1)</f>
        <v>+12</v>
      </c>
      <c r="I10" s="335">
        <f t="shared" ca="1" si="4"/>
        <v>9</v>
      </c>
      <c r="J10" s="336">
        <f t="shared" ref="J10" ca="1" si="7">I10+H10</f>
        <v>21</v>
      </c>
      <c r="K10" s="337" t="s">
        <v>191</v>
      </c>
      <c r="M10" s="338" t="s">
        <v>162</v>
      </c>
    </row>
    <row r="11" spans="1:13" x14ac:dyDescent="0.3">
      <c r="A11" s="330" t="s">
        <v>213</v>
      </c>
      <c r="B11" s="331" t="s">
        <v>160</v>
      </c>
      <c r="C11" s="457" t="str">
        <f>CONCATENATE("+1+2+2",'Personal File'!$C$12,"+3")</f>
        <v>+1+2+2+2+3</v>
      </c>
      <c r="D11" s="454">
        <f t="shared" si="3"/>
        <v>6</v>
      </c>
      <c r="E11" s="331" t="s">
        <v>337</v>
      </c>
      <c r="F11" s="332" t="str">
        <f>CONCATENATE(110*1.5,"’+20’",RIGHT(Feats!$C$18,4))</f>
        <v>165’+20’+20’</v>
      </c>
      <c r="G11" s="333" t="s">
        <v>162</v>
      </c>
      <c r="H11" s="334" t="str">
        <f>CONCATENATE("+",'Personal File'!$B$10+'Personal File'!$C$13+D11+1)</f>
        <v>+22</v>
      </c>
      <c r="I11" s="335">
        <f t="shared" ca="1" si="4"/>
        <v>9</v>
      </c>
      <c r="J11" s="336">
        <f t="shared" ca="1" si="5"/>
        <v>31</v>
      </c>
      <c r="K11" s="337" t="s">
        <v>191</v>
      </c>
      <c r="M11" s="338" t="s">
        <v>162</v>
      </c>
    </row>
    <row r="12" spans="1:13" x14ac:dyDescent="0.3">
      <c r="A12" s="330" t="s">
        <v>305</v>
      </c>
      <c r="B12" s="331" t="s">
        <v>160</v>
      </c>
      <c r="C12" s="457" t="str">
        <f>CONCATENATE("+1+2+2",'Personal File'!$C$12,"+3")</f>
        <v>+1+2+2+2+3</v>
      </c>
      <c r="D12" s="454">
        <f t="shared" si="3"/>
        <v>6</v>
      </c>
      <c r="E12" s="331" t="s">
        <v>337</v>
      </c>
      <c r="F12" s="332" t="str">
        <f>CONCATENATE(110*1.5,"’+20’",RIGHT(Feats!$C$18,4))</f>
        <v>165’+20’+20’</v>
      </c>
      <c r="G12" s="333" t="s">
        <v>162</v>
      </c>
      <c r="H12" s="334" t="str">
        <f>CONCATENATE("+",'Personal File'!$B$10+'Personal File'!$C$13+D12+1)</f>
        <v>+22</v>
      </c>
      <c r="I12" s="335">
        <f t="shared" ca="1" si="4"/>
        <v>4</v>
      </c>
      <c r="J12" s="336">
        <f t="shared" ref="J12" ca="1" si="8">I12+H12</f>
        <v>26</v>
      </c>
      <c r="K12" s="337" t="s">
        <v>191</v>
      </c>
      <c r="M12" s="338" t="s">
        <v>162</v>
      </c>
    </row>
    <row r="13" spans="1:13" x14ac:dyDescent="0.3">
      <c r="A13" s="339" t="s">
        <v>297</v>
      </c>
      <c r="B13" s="340" t="s">
        <v>160</v>
      </c>
      <c r="C13" s="457" t="str">
        <f>CONCATENATE("+1+2+2",'Personal File'!$C$12,"+3")</f>
        <v>+1+2+2+2+3</v>
      </c>
      <c r="D13" s="455">
        <f t="shared" si="3"/>
        <v>6</v>
      </c>
      <c r="E13" s="341" t="s">
        <v>337</v>
      </c>
      <c r="F13" s="342" t="str">
        <f>CONCATENATE(110*1.5,"’+20’",RIGHT(Feats!$C$18,4))</f>
        <v>165’+20’+20’</v>
      </c>
      <c r="G13" s="334" t="s">
        <v>162</v>
      </c>
      <c r="H13" s="340" t="str">
        <f>CONCATENATE("+",'Personal File'!$B$10+'Personal File'!$C$13+D13+1)</f>
        <v>+22</v>
      </c>
      <c r="I13" s="335">
        <f ca="1">RANDBETWEEN(1,20)</f>
        <v>5</v>
      </c>
      <c r="J13" s="336">
        <f t="shared" ref="J13" ca="1" si="9">I13+H13</f>
        <v>27</v>
      </c>
      <c r="K13" s="337" t="s">
        <v>191</v>
      </c>
      <c r="M13" s="338" t="s">
        <v>162</v>
      </c>
    </row>
    <row r="14" spans="1:13" x14ac:dyDescent="0.3">
      <c r="A14" s="339" t="s">
        <v>302</v>
      </c>
      <c r="B14" s="340" t="s">
        <v>160</v>
      </c>
      <c r="C14" s="457" t="str">
        <f>CONCATENATE("+1+2+2",'Personal File'!$C$12,"+3")</f>
        <v>+1+2+2+2+3</v>
      </c>
      <c r="D14" s="455">
        <f t="shared" si="3"/>
        <v>6</v>
      </c>
      <c r="E14" s="341" t="s">
        <v>337</v>
      </c>
      <c r="F14" s="342" t="str">
        <f>CONCATENATE(110*1.5,"’+20’",RIGHT(Feats!$C$18,4))</f>
        <v>165’+20’+20’</v>
      </c>
      <c r="G14" s="334" t="s">
        <v>162</v>
      </c>
      <c r="H14" s="340" t="str">
        <f>CONCATENATE("+",'Personal File'!$B$10+'Personal File'!$C$13+D14+1-4)</f>
        <v>+18</v>
      </c>
      <c r="I14" s="335">
        <f ca="1">RANDBETWEEN(1,20)</f>
        <v>11</v>
      </c>
      <c r="J14" s="336">
        <f t="shared" ref="J14" ca="1" si="10">I14+H14</f>
        <v>29</v>
      </c>
      <c r="K14" s="337" t="s">
        <v>191</v>
      </c>
      <c r="M14" s="338" t="s">
        <v>162</v>
      </c>
    </row>
    <row r="15" spans="1:13" x14ac:dyDescent="0.3">
      <c r="A15" s="339" t="s">
        <v>303</v>
      </c>
      <c r="B15" s="340" t="s">
        <v>160</v>
      </c>
      <c r="C15" s="457" t="str">
        <f>CONCATENATE("+1+2+2",'Personal File'!$C$12,"+3")</f>
        <v>+1+2+2+2+3</v>
      </c>
      <c r="D15" s="455">
        <f t="shared" si="3"/>
        <v>6</v>
      </c>
      <c r="E15" s="341" t="s">
        <v>337</v>
      </c>
      <c r="F15" s="342" t="str">
        <f>CONCATENATE(110*1.5,"’+20’",RIGHT(Feats!$C$18,4))</f>
        <v>165’+20’+20’</v>
      </c>
      <c r="G15" s="334" t="s">
        <v>162</v>
      </c>
      <c r="H15" s="340" t="str">
        <f>CONCATENATE("+",'Personal File'!$B$10+'Personal File'!$C$13+D15+1-4-2)</f>
        <v>+16</v>
      </c>
      <c r="I15" s="335">
        <f ca="1">RANDBETWEEN(1,20)</f>
        <v>7</v>
      </c>
      <c r="J15" s="336">
        <f t="shared" ref="J15" ca="1" si="11">I15+H15</f>
        <v>23</v>
      </c>
      <c r="K15" s="337" t="s">
        <v>191</v>
      </c>
      <c r="M15" s="338" t="s">
        <v>162</v>
      </c>
    </row>
    <row r="16" spans="1:13" ht="16.2" thickBot="1" x14ac:dyDescent="0.35">
      <c r="A16" s="313"/>
      <c r="B16" s="314"/>
      <c r="C16" s="316"/>
      <c r="D16" s="316"/>
      <c r="E16" s="314"/>
      <c r="F16" s="315"/>
      <c r="G16" s="317"/>
      <c r="H16" s="317"/>
      <c r="I16" s="235"/>
      <c r="J16" s="318"/>
      <c r="K16" s="320"/>
      <c r="M16" s="319"/>
    </row>
    <row r="17" spans="1:13" ht="6" customHeight="1" thickTop="1" thickBot="1" x14ac:dyDescent="0.35">
      <c r="D17" s="217"/>
      <c r="E17" s="217"/>
      <c r="G17" s="209"/>
      <c r="H17" s="209"/>
      <c r="I17" s="209"/>
      <c r="J17" s="209"/>
      <c r="M17" s="260"/>
    </row>
    <row r="18" spans="1:13" ht="16.8" thickTop="1" thickBot="1" x14ac:dyDescent="0.35">
      <c r="A18" s="211" t="s">
        <v>63</v>
      </c>
      <c r="B18" s="212" t="s">
        <v>9</v>
      </c>
      <c r="C18" s="212" t="s">
        <v>28</v>
      </c>
      <c r="D18" s="212" t="s">
        <v>84</v>
      </c>
      <c r="E18" s="212" t="s">
        <v>85</v>
      </c>
      <c r="F18" s="212" t="s">
        <v>86</v>
      </c>
      <c r="G18" s="212" t="s">
        <v>21</v>
      </c>
      <c r="H18" s="218" t="s">
        <v>82</v>
      </c>
      <c r="I18" s="219"/>
      <c r="J18" s="219"/>
      <c r="K18" s="220"/>
      <c r="M18" s="289" t="s">
        <v>136</v>
      </c>
    </row>
    <row r="19" spans="1:13" x14ac:dyDescent="0.3">
      <c r="A19" s="188" t="s">
        <v>283</v>
      </c>
      <c r="B19" s="249">
        <f>4+2</f>
        <v>6</v>
      </c>
      <c r="C19" s="248">
        <v>6</v>
      </c>
      <c r="D19" s="249">
        <v>-1</v>
      </c>
      <c r="E19" s="250">
        <v>0.1</v>
      </c>
      <c r="F19" s="248" t="s">
        <v>126</v>
      </c>
      <c r="G19" s="254">
        <v>12.5</v>
      </c>
      <c r="H19" s="251"/>
      <c r="I19" s="246"/>
      <c r="J19" s="246"/>
      <c r="K19" s="247"/>
      <c r="M19" s="290">
        <v>3400</v>
      </c>
    </row>
    <row r="20" spans="1:13" ht="16.2" thickBot="1" x14ac:dyDescent="0.35">
      <c r="A20" s="245"/>
      <c r="B20" s="241"/>
      <c r="C20" s="241"/>
      <c r="D20" s="240"/>
      <c r="E20" s="242"/>
      <c r="F20" s="240"/>
      <c r="G20" s="238"/>
      <c r="H20" s="243"/>
      <c r="I20" s="221"/>
      <c r="J20" s="221"/>
      <c r="K20" s="222"/>
      <c r="M20" s="281"/>
    </row>
    <row r="21" spans="1:13" ht="6.75" customHeight="1" thickTop="1" thickBot="1" x14ac:dyDescent="0.35">
      <c r="M21" s="260"/>
    </row>
    <row r="22" spans="1:13" ht="16.8" thickTop="1" thickBot="1" x14ac:dyDescent="0.35">
      <c r="D22" s="223" t="s">
        <v>64</v>
      </c>
      <c r="E22" s="224"/>
      <c r="F22" s="218" t="s">
        <v>3</v>
      </c>
      <c r="G22" s="212" t="s">
        <v>21</v>
      </c>
      <c r="H22" s="214" t="s">
        <v>100</v>
      </c>
      <c r="I22" s="218" t="s">
        <v>82</v>
      </c>
      <c r="J22" s="219"/>
      <c r="K22" s="220"/>
      <c r="M22" s="289" t="s">
        <v>136</v>
      </c>
    </row>
    <row r="23" spans="1:13" x14ac:dyDescent="0.3">
      <c r="D23" s="359" t="s">
        <v>161</v>
      </c>
      <c r="E23" s="343"/>
      <c r="F23" s="344">
        <v>1</v>
      </c>
      <c r="G23" s="239">
        <v>2</v>
      </c>
      <c r="H23" s="227" t="s">
        <v>56</v>
      </c>
      <c r="I23" s="345"/>
      <c r="J23" s="360"/>
      <c r="K23" s="361"/>
      <c r="M23" s="277">
        <v>1800</v>
      </c>
    </row>
    <row r="24" spans="1:13" ht="16.2" thickBot="1" x14ac:dyDescent="0.35">
      <c r="D24" s="346" t="s">
        <v>282</v>
      </c>
      <c r="E24" s="347"/>
      <c r="F24" s="348">
        <v>45</v>
      </c>
      <c r="G24" s="234">
        <f t="shared" ref="G24" si="12">F24/10</f>
        <v>4.5</v>
      </c>
      <c r="H24" s="349" t="s">
        <v>56</v>
      </c>
      <c r="I24" s="350"/>
      <c r="J24" s="351"/>
      <c r="K24" s="352"/>
      <c r="M24" s="281">
        <v>0</v>
      </c>
    </row>
    <row r="25" spans="1:13" ht="16.8" thickTop="1" thickBot="1" x14ac:dyDescent="0.35">
      <c r="M25" s="260"/>
    </row>
    <row r="26" spans="1:13" ht="16.8" thickTop="1" thickBot="1" x14ac:dyDescent="0.35">
      <c r="D26" s="223" t="s">
        <v>150</v>
      </c>
      <c r="E26" s="219"/>
      <c r="F26" s="219"/>
      <c r="G26" s="219"/>
      <c r="H26" s="266" t="s">
        <v>3</v>
      </c>
      <c r="I26" s="266" t="s">
        <v>0</v>
      </c>
      <c r="J26" s="266" t="s">
        <v>151</v>
      </c>
      <c r="K26" s="220" t="s">
        <v>82</v>
      </c>
      <c r="L26" s="267"/>
      <c r="M26" s="289" t="s">
        <v>136</v>
      </c>
    </row>
    <row r="27" spans="1:13" x14ac:dyDescent="0.3">
      <c r="D27" s="268"/>
      <c r="E27" s="269"/>
      <c r="F27" s="269"/>
      <c r="G27" s="269"/>
      <c r="H27" s="270"/>
      <c r="I27" s="270"/>
      <c r="J27" s="270"/>
      <c r="K27" s="271"/>
      <c r="L27" s="267"/>
      <c r="M27" s="272"/>
    </row>
    <row r="28" spans="1:13" x14ac:dyDescent="0.3">
      <c r="D28" s="273"/>
      <c r="E28" s="274"/>
      <c r="F28" s="274"/>
      <c r="G28" s="274"/>
      <c r="H28" s="275"/>
      <c r="I28" s="275"/>
      <c r="J28" s="275"/>
      <c r="K28" s="276"/>
      <c r="L28" s="267"/>
      <c r="M28" s="277"/>
    </row>
    <row r="29" spans="1:13" x14ac:dyDescent="0.3">
      <c r="D29" s="273"/>
      <c r="E29" s="274"/>
      <c r="F29" s="274"/>
      <c r="G29" s="274"/>
      <c r="H29" s="275"/>
      <c r="I29" s="275"/>
      <c r="J29" s="275"/>
      <c r="K29" s="276"/>
      <c r="L29" s="267"/>
      <c r="M29" s="277"/>
    </row>
    <row r="30" spans="1:13" ht="16.2" thickBot="1" x14ac:dyDescent="0.35">
      <c r="D30" s="278"/>
      <c r="E30" s="279"/>
      <c r="F30" s="279"/>
      <c r="G30" s="279"/>
      <c r="H30" s="280"/>
      <c r="I30" s="280"/>
      <c r="J30" s="280"/>
      <c r="K30" s="222"/>
      <c r="L30" s="267"/>
      <c r="M30" s="281"/>
    </row>
    <row r="31" spans="1:13" ht="16.2" thickTop="1" x14ac:dyDescent="0.3"/>
  </sheetData>
  <phoneticPr fontId="0" type="noConversion"/>
  <conditionalFormatting sqref="I5">
    <cfRule type="cellIs" dxfId="19" priority="22" operator="equal">
      <formula>20</formula>
    </cfRule>
    <cfRule type="cellIs" dxfId="18" priority="23" operator="equal">
      <formula>1</formula>
    </cfRule>
  </conditionalFormatting>
  <conditionalFormatting sqref="I16">
    <cfRule type="cellIs" dxfId="17" priority="20" operator="equal">
      <formula>20</formula>
    </cfRule>
    <cfRule type="cellIs" dxfId="16" priority="21" operator="equal">
      <formula>1</formula>
    </cfRule>
  </conditionalFormatting>
  <conditionalFormatting sqref="I8 I11">
    <cfRule type="cellIs" dxfId="15" priority="18" operator="equal">
      <formula>20</formula>
    </cfRule>
    <cfRule type="cellIs" dxfId="14" priority="19" operator="equal">
      <formula>1</formula>
    </cfRule>
  </conditionalFormatting>
  <conditionalFormatting sqref="I9">
    <cfRule type="cellIs" dxfId="13" priority="12" operator="equal">
      <formula>20</formula>
    </cfRule>
    <cfRule type="cellIs" dxfId="12" priority="13" operator="equal">
      <formula>1</formula>
    </cfRule>
  </conditionalFormatting>
  <conditionalFormatting sqref="H27:H30">
    <cfRule type="cellIs" dxfId="11" priority="11" operator="equal">
      <formula>0</formula>
    </cfRule>
  </conditionalFormatting>
  <conditionalFormatting sqref="I13">
    <cfRule type="cellIs" dxfId="10" priority="9" operator="equal">
      <formula>20</formula>
    </cfRule>
    <cfRule type="cellIs" dxfId="9" priority="10" operator="equal">
      <formula>1</formula>
    </cfRule>
  </conditionalFormatting>
  <conditionalFormatting sqref="I12">
    <cfRule type="cellIs" dxfId="8" priority="7" operator="equal">
      <formula>20</formula>
    </cfRule>
    <cfRule type="cellIs" dxfId="7" priority="8" operator="equal">
      <formula>1</formula>
    </cfRule>
  </conditionalFormatting>
  <conditionalFormatting sqref="I14">
    <cfRule type="cellIs" dxfId="6" priority="5" operator="equal">
      <formula>20</formula>
    </cfRule>
    <cfRule type="cellIs" dxfId="5" priority="6" operator="equal">
      <formula>1</formula>
    </cfRule>
  </conditionalFormatting>
  <conditionalFormatting sqref="I15">
    <cfRule type="cellIs" dxfId="4" priority="3" operator="equal">
      <formula>20</formula>
    </cfRule>
    <cfRule type="cellIs" dxfId="3" priority="4" operator="equal">
      <formula>1</formula>
    </cfRule>
  </conditionalFormatting>
  <conditionalFormatting sqref="I10">
    <cfRule type="cellIs" dxfId="2" priority="1" operator="equal">
      <formula>20</formula>
    </cfRule>
    <cfRule type="cellIs" dxfId="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4"/>
  <sheetViews>
    <sheetView showGridLines="0" workbookViewId="0"/>
  </sheetViews>
  <sheetFormatPr defaultColWidth="7.8984375" defaultRowHeight="15.6" x14ac:dyDescent="0.3"/>
  <cols>
    <col min="1" max="1" width="20.69921875" style="178" bestFit="1" customWidth="1"/>
    <col min="2" max="2" width="4.5" style="178" bestFit="1" customWidth="1"/>
    <col min="3" max="3" width="4.3984375" style="209" bestFit="1" customWidth="1"/>
    <col min="4" max="5" width="22.8984375" style="21" customWidth="1"/>
    <col min="6" max="6" width="1.19921875" style="178" customWidth="1"/>
    <col min="7" max="7" width="9" style="21" bestFit="1" customWidth="1"/>
    <col min="8" max="16384" width="7.8984375" style="21"/>
  </cols>
  <sheetData>
    <row r="1" spans="1:7" ht="23.4" thickBot="1" x14ac:dyDescent="0.35">
      <c r="A1" s="173" t="s">
        <v>79</v>
      </c>
      <c r="B1" s="173"/>
      <c r="C1" s="177"/>
      <c r="D1" s="173"/>
      <c r="E1" s="173"/>
    </row>
    <row r="2" spans="1:7" s="178" customFormat="1" ht="16.8" thickTop="1" thickBot="1" x14ac:dyDescent="0.35">
      <c r="A2" s="179" t="s">
        <v>80</v>
      </c>
      <c r="B2" s="179" t="s">
        <v>3</v>
      </c>
      <c r="C2" s="180" t="s">
        <v>21</v>
      </c>
      <c r="D2" s="181" t="s">
        <v>81</v>
      </c>
      <c r="E2" s="182" t="s">
        <v>82</v>
      </c>
      <c r="G2" s="244" t="s">
        <v>136</v>
      </c>
    </row>
    <row r="3" spans="1:7" x14ac:dyDescent="0.3">
      <c r="A3" s="364" t="s">
        <v>210</v>
      </c>
      <c r="B3" s="365">
        <v>1</v>
      </c>
      <c r="C3" s="366">
        <v>0</v>
      </c>
      <c r="D3" s="367"/>
      <c r="E3" s="368"/>
      <c r="F3" s="369"/>
      <c r="G3" s="370">
        <v>3400</v>
      </c>
    </row>
    <row r="4" spans="1:7" x14ac:dyDescent="0.3">
      <c r="A4" s="191" t="s">
        <v>209</v>
      </c>
      <c r="B4" s="192">
        <v>1</v>
      </c>
      <c r="C4" s="193">
        <v>1</v>
      </c>
      <c r="D4" s="265"/>
      <c r="E4" s="195"/>
      <c r="G4" s="258">
        <v>9000</v>
      </c>
    </row>
    <row r="5" spans="1:7" x14ac:dyDescent="0.3">
      <c r="A5" s="191" t="s">
        <v>139</v>
      </c>
      <c r="B5" s="192">
        <v>1</v>
      </c>
      <c r="C5" s="193" t="s">
        <v>140</v>
      </c>
      <c r="D5" s="194"/>
      <c r="E5" s="195"/>
      <c r="G5" s="258">
        <v>0</v>
      </c>
    </row>
    <row r="6" spans="1:7" x14ac:dyDescent="0.3">
      <c r="A6" s="191" t="s">
        <v>211</v>
      </c>
      <c r="B6" s="192">
        <v>1</v>
      </c>
      <c r="C6" s="193">
        <v>1</v>
      </c>
      <c r="D6" s="265"/>
      <c r="E6" s="195"/>
      <c r="G6" s="258">
        <v>9000</v>
      </c>
    </row>
    <row r="7" spans="1:7" x14ac:dyDescent="0.3">
      <c r="A7" s="191" t="s">
        <v>208</v>
      </c>
      <c r="B7" s="192">
        <v>1</v>
      </c>
      <c r="C7" s="193">
        <v>0</v>
      </c>
      <c r="D7" s="194"/>
      <c r="E7" s="195"/>
      <c r="G7" s="258">
        <v>16000</v>
      </c>
    </row>
    <row r="8" spans="1:7" ht="16.2" thickBot="1" x14ac:dyDescent="0.35">
      <c r="A8" s="197" t="s">
        <v>207</v>
      </c>
      <c r="B8" s="198">
        <v>1</v>
      </c>
      <c r="C8" s="199">
        <v>0</v>
      </c>
      <c r="D8" s="200"/>
      <c r="E8" s="201"/>
      <c r="G8" s="259">
        <v>4000</v>
      </c>
    </row>
    <row r="9" spans="1:7" ht="24" thickTop="1" thickBot="1" x14ac:dyDescent="0.35">
      <c r="A9" s="173" t="s">
        <v>83</v>
      </c>
      <c r="B9" s="173"/>
      <c r="C9" s="202"/>
      <c r="D9" s="173"/>
      <c r="E9" s="203"/>
      <c r="G9" s="260"/>
    </row>
    <row r="10" spans="1:7" ht="16.8" thickTop="1" thickBot="1" x14ac:dyDescent="0.35">
      <c r="A10" s="179" t="s">
        <v>80</v>
      </c>
      <c r="B10" s="179" t="s">
        <v>3</v>
      </c>
      <c r="C10" s="180" t="s">
        <v>21</v>
      </c>
      <c r="D10" s="181" t="s">
        <v>81</v>
      </c>
      <c r="E10" s="182" t="s">
        <v>82</v>
      </c>
      <c r="G10" s="261" t="s">
        <v>136</v>
      </c>
    </row>
    <row r="11" spans="1:7" x14ac:dyDescent="0.3">
      <c r="A11" s="188"/>
      <c r="B11" s="205"/>
      <c r="C11" s="206"/>
      <c r="D11" s="189"/>
      <c r="E11" s="190"/>
      <c r="F11" s="187"/>
      <c r="G11" s="258"/>
    </row>
    <row r="12" spans="1:7" x14ac:dyDescent="0.3">
      <c r="A12" s="191"/>
      <c r="B12" s="252"/>
      <c r="C12" s="196"/>
      <c r="D12" s="194"/>
      <c r="E12" s="195"/>
      <c r="F12" s="187"/>
      <c r="G12" s="258"/>
    </row>
    <row r="13" spans="1:7" x14ac:dyDescent="0.3">
      <c r="A13" s="191"/>
      <c r="B13" s="252"/>
      <c r="C13" s="196"/>
      <c r="D13" s="194"/>
      <c r="E13" s="195"/>
      <c r="F13" s="187"/>
      <c r="G13" s="258"/>
    </row>
    <row r="14" spans="1:7" x14ac:dyDescent="0.3">
      <c r="A14" s="191"/>
      <c r="B14" s="252"/>
      <c r="C14" s="196"/>
      <c r="D14" s="194"/>
      <c r="E14" s="195"/>
      <c r="F14" s="187"/>
      <c r="G14" s="258"/>
    </row>
    <row r="15" spans="1:7" x14ac:dyDescent="0.3">
      <c r="A15" s="191"/>
      <c r="B15" s="252"/>
      <c r="C15" s="196"/>
      <c r="D15" s="194"/>
      <c r="E15" s="195"/>
      <c r="F15" s="187"/>
      <c r="G15" s="258"/>
    </row>
    <row r="16" spans="1:7" x14ac:dyDescent="0.3">
      <c r="A16" s="191"/>
      <c r="B16" s="252"/>
      <c r="C16" s="196"/>
      <c r="D16" s="194"/>
      <c r="E16" s="195"/>
      <c r="F16" s="187"/>
      <c r="G16" s="282"/>
    </row>
    <row r="17" spans="1:7" ht="16.2" thickBot="1" x14ac:dyDescent="0.35">
      <c r="A17" s="197"/>
      <c r="B17" s="198"/>
      <c r="C17" s="207"/>
      <c r="D17" s="208"/>
      <c r="E17" s="201"/>
      <c r="F17" s="187"/>
      <c r="G17" s="259"/>
    </row>
    <row r="18" spans="1:7" ht="24" thickTop="1" thickBot="1" x14ac:dyDescent="0.35">
      <c r="A18" s="61"/>
      <c r="B18" s="61"/>
      <c r="D18" s="210" t="s">
        <v>159</v>
      </c>
      <c r="E18" s="203"/>
      <c r="G18" s="260"/>
    </row>
    <row r="19" spans="1:7" s="178" customFormat="1" ht="16.8" thickTop="1" thickBot="1" x14ac:dyDescent="0.35">
      <c r="A19" s="179" t="s">
        <v>80</v>
      </c>
      <c r="B19" s="179" t="s">
        <v>3</v>
      </c>
      <c r="C19" s="180" t="s">
        <v>21</v>
      </c>
      <c r="D19" s="181" t="s">
        <v>81</v>
      </c>
      <c r="E19" s="182" t="s">
        <v>82</v>
      </c>
      <c r="G19" s="261" t="s">
        <v>136</v>
      </c>
    </row>
    <row r="20" spans="1:7" x14ac:dyDescent="0.3">
      <c r="A20" s="183"/>
      <c r="B20" s="204"/>
      <c r="C20" s="184"/>
      <c r="D20" s="185"/>
      <c r="E20" s="186"/>
      <c r="G20" s="258"/>
    </row>
    <row r="21" spans="1:7" x14ac:dyDescent="0.3">
      <c r="A21" s="188"/>
      <c r="B21" s="205"/>
      <c r="C21" s="206"/>
      <c r="D21" s="189"/>
      <c r="E21" s="190"/>
      <c r="G21" s="258"/>
    </row>
    <row r="22" spans="1:7" ht="16.2" thickBot="1" x14ac:dyDescent="0.35">
      <c r="A22" s="197"/>
      <c r="B22" s="198"/>
      <c r="C22" s="207"/>
      <c r="D22" s="208"/>
      <c r="E22" s="201"/>
      <c r="G22" s="259"/>
    </row>
    <row r="23" spans="1:7" ht="16.2" thickTop="1" x14ac:dyDescent="0.3">
      <c r="G23" s="262"/>
    </row>
    <row r="24" spans="1:7" x14ac:dyDescent="0.3">
      <c r="E24" s="61" t="s">
        <v>137</v>
      </c>
      <c r="G24" s="288">
        <f>SUM(G3:G22,Martial!M3:M30)</f>
        <v>65717</v>
      </c>
    </row>
  </sheetData>
  <sortState xmlns:xlrd2="http://schemas.microsoft.com/office/spreadsheetml/2017/richdata2" ref="A3:D6">
    <sortCondition ref="A3:A6"/>
  </sortState>
  <phoneticPr fontId="0" type="noConversion"/>
  <conditionalFormatting sqref="G24">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Mystra</vt:lpstr>
      <vt:lpstr>Spells</vt:lpstr>
      <vt:lpstr>Feats</vt:lpstr>
      <vt:lpstr>Martial</vt:lpstr>
      <vt:lpstr>Equipment</vt:lpstr>
      <vt:lpstr>Mystra!Print_Area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2022-03-06T12:37:28Z</dcterms:modified>
</cp:coreProperties>
</file>