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B6896C2C-6F38-4C3E-AC71-5619FEED4D8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3" r:id="rId3"/>
    <sheet name="Martial" sheetId="6" r:id="rId4"/>
    <sheet name="Equipment" sheetId="19" r:id="rId5"/>
    <sheet name="XP Awards" sheetId="24" r:id="rId6"/>
  </sheets>
  <externalReferences>
    <externalReference r:id="rId7"/>
  </externalReferences>
  <definedNames>
    <definedName name="NoShade">'[1]Spell Sheet'!$FH$1</definedName>
    <definedName name="OLE_LINK1" localSheetId="2">Feats!$A$2</definedName>
    <definedName name="_xlnm.Print_Area" localSheetId="4">Equipment!#REF!</definedName>
    <definedName name="_xlnm.Print_Area" localSheetId="2">Feats!#REF!</definedName>
    <definedName name="_xlnm.Print_Area" localSheetId="3">Martial!#REF!</definedName>
    <definedName name="_xlnm.Print_Area" localSheetId="0">'Personal File'!$A$1:$H$16</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6" l="1"/>
  <c r="H23" i="6"/>
  <c r="H21" i="6"/>
  <c r="H19" i="6"/>
  <c r="H17" i="6"/>
  <c r="H15" i="6"/>
  <c r="H13" i="6"/>
  <c r="H11" i="6"/>
  <c r="H9" i="6"/>
  <c r="H7" i="6"/>
  <c r="D21" i="6"/>
  <c r="D20" i="6"/>
  <c r="D15" i="6"/>
  <c r="D14" i="6"/>
  <c r="D11" i="6"/>
  <c r="D10" i="6"/>
  <c r="D9" i="6"/>
  <c r="D8" i="6"/>
  <c r="D7" i="6"/>
  <c r="D6" i="6"/>
  <c r="B9" i="4" l="1"/>
  <c r="G28" i="19" l="1"/>
  <c r="C28" i="19"/>
  <c r="C8" i="6" l="1"/>
  <c r="I9" i="6"/>
  <c r="I8" i="6"/>
  <c r="H8" i="6"/>
  <c r="J8" i="6" l="1"/>
  <c r="J9" i="6"/>
  <c r="I21" i="6" l="1"/>
  <c r="I20" i="6"/>
  <c r="H20" i="6"/>
  <c r="B12" i="4"/>
  <c r="B11" i="4"/>
  <c r="J20" i="6" l="1"/>
  <c r="J21" i="6"/>
  <c r="M30" i="6"/>
  <c r="I30" i="6"/>
  <c r="G35" i="19"/>
  <c r="C35" i="19"/>
  <c r="G26" i="19"/>
  <c r="C26" i="19"/>
  <c r="G24" i="19"/>
  <c r="C24" i="19"/>
  <c r="G20" i="19"/>
  <c r="C20" i="19"/>
  <c r="G19" i="19"/>
  <c r="G18" i="19"/>
  <c r="C18" i="19"/>
  <c r="G17" i="19"/>
  <c r="C17" i="19"/>
  <c r="C39" i="19" l="1"/>
  <c r="B39" i="19" s="1"/>
  <c r="M32" i="6"/>
  <c r="I25" i="6"/>
  <c r="I23" i="6"/>
  <c r="I19" i="6"/>
  <c r="I17" i="6"/>
  <c r="I15" i="6"/>
  <c r="I13" i="6"/>
  <c r="I11" i="6"/>
  <c r="I7" i="6"/>
  <c r="I12" i="6"/>
  <c r="I10" i="6"/>
  <c r="I32" i="6"/>
  <c r="I31" i="6"/>
  <c r="B46" i="15" l="1"/>
  <c r="H25" i="15"/>
  <c r="D25" i="15"/>
  <c r="G25" i="15" s="1"/>
  <c r="E54" i="15"/>
  <c r="B5" i="15"/>
  <c r="B4" i="15"/>
  <c r="B3" i="15"/>
  <c r="E13" i="4"/>
  <c r="I25" i="15" l="1"/>
  <c r="E25" i="15"/>
  <c r="I14" i="6" l="1"/>
  <c r="I6" i="6" l="1"/>
  <c r="I33" i="6"/>
  <c r="I29" i="6"/>
  <c r="I34" i="6"/>
  <c r="I26" i="6"/>
  <c r="I24" i="6"/>
  <c r="I22" i="6"/>
  <c r="I18" i="6"/>
  <c r="I16" i="6"/>
  <c r="I5" i="6"/>
  <c r="I4" i="6"/>
  <c r="I3" i="6"/>
  <c r="A3" i="23"/>
  <c r="G10" i="19" l="1"/>
  <c r="G12" i="19" l="1"/>
  <c r="C12" i="19"/>
  <c r="C10" i="19"/>
  <c r="H36" i="15" l="1"/>
  <c r="H35" i="15"/>
  <c r="H34" i="15"/>
  <c r="H33" i="15"/>
  <c r="H32" i="15"/>
  <c r="H31" i="15"/>
  <c r="H30" i="15"/>
  <c r="H29" i="15"/>
  <c r="H28" i="15"/>
  <c r="H27" i="15"/>
  <c r="H26" i="15"/>
  <c r="H24" i="15"/>
  <c r="H23" i="15"/>
  <c r="H22" i="15"/>
  <c r="H21" i="15"/>
  <c r="H20" i="15"/>
  <c r="H19" i="15"/>
  <c r="H18" i="15"/>
  <c r="H17" i="15"/>
  <c r="H16" i="15"/>
  <c r="H15" i="15"/>
  <c r="H14" i="15"/>
  <c r="H13" i="15"/>
  <c r="H12" i="15"/>
  <c r="H11" i="15"/>
  <c r="H10" i="15"/>
  <c r="H9" i="15"/>
  <c r="H8" i="15"/>
  <c r="H7" i="15"/>
  <c r="E53" i="15"/>
  <c r="E5" i="4"/>
  <c r="E8" i="23" l="1"/>
  <c r="M42" i="6" l="1"/>
  <c r="E12" i="4"/>
  <c r="M29" i="6" l="1"/>
  <c r="A6" i="23" l="1"/>
  <c r="B1" i="24" l="1"/>
  <c r="C7" i="24"/>
  <c r="B11" i="24" s="1"/>
  <c r="B13" i="24" s="1"/>
  <c r="B15" i="24" s="1"/>
  <c r="G40" i="19" l="1"/>
  <c r="F20" i="15"/>
  <c r="H44" i="15"/>
  <c r="H43" i="15"/>
  <c r="H42" i="15"/>
  <c r="H41" i="15"/>
  <c r="H40" i="15"/>
  <c r="H39" i="15"/>
  <c r="H38" i="15"/>
  <c r="H37" i="15"/>
  <c r="F43" i="15" l="1"/>
  <c r="F37" i="15"/>
  <c r="F28" i="15"/>
  <c r="F23" i="15"/>
  <c r="F21" i="15"/>
  <c r="F16" i="15"/>
  <c r="F7" i="15"/>
  <c r="F9" i="15" l="1"/>
  <c r="H45" i="15" l="1"/>
  <c r="H5" i="15"/>
  <c r="H4" i="15"/>
  <c r="H3" i="15"/>
  <c r="H6" i="15"/>
  <c r="C16" i="4" l="1"/>
  <c r="C15" i="4"/>
  <c r="C14" i="4"/>
  <c r="C13" i="4"/>
  <c r="C12" i="4"/>
  <c r="C11" i="4"/>
  <c r="H30" i="6" l="1"/>
  <c r="J30" i="6" s="1"/>
  <c r="H32" i="6"/>
  <c r="J32" i="6" s="1"/>
  <c r="H31" i="6"/>
  <c r="J31" i="6" s="1"/>
  <c r="E14" i="4"/>
  <c r="B10" i="4"/>
  <c r="C30" i="6"/>
  <c r="C32" i="6"/>
  <c r="J25" i="6"/>
  <c r="C13" i="6"/>
  <c r="C31" i="6"/>
  <c r="H10" i="6"/>
  <c r="J10" i="6" s="1"/>
  <c r="C19" i="6"/>
  <c r="C25" i="6"/>
  <c r="J17" i="6"/>
  <c r="C14" i="6"/>
  <c r="C17" i="6"/>
  <c r="J11" i="6"/>
  <c r="C29" i="6"/>
  <c r="C10" i="6"/>
  <c r="C15" i="6"/>
  <c r="C7" i="6"/>
  <c r="J15" i="6"/>
  <c r="J23" i="6"/>
  <c r="C11" i="6"/>
  <c r="C23" i="6"/>
  <c r="C12" i="6"/>
  <c r="J7" i="6"/>
  <c r="J19" i="6"/>
  <c r="H12" i="6"/>
  <c r="J12" i="6" s="1"/>
  <c r="J13" i="6"/>
  <c r="C6" i="6"/>
  <c r="H14" i="6"/>
  <c r="J14" i="6" s="1"/>
  <c r="C18" i="6"/>
  <c r="C3" i="6"/>
  <c r="C22" i="6"/>
  <c r="C16" i="6"/>
  <c r="H33" i="6"/>
  <c r="J33" i="6" s="1"/>
  <c r="H34" i="6"/>
  <c r="J34" i="6" s="1"/>
  <c r="C24" i="6"/>
  <c r="H24" i="6"/>
  <c r="J24" i="6" s="1"/>
  <c r="H22" i="6"/>
  <c r="J22" i="6" s="1"/>
  <c r="C5" i="6"/>
  <c r="H5" i="6"/>
  <c r="J5" i="6" s="1"/>
  <c r="H3" i="6"/>
  <c r="J3" i="6" s="1"/>
  <c r="H6" i="6"/>
  <c r="J6" i="6" s="1"/>
  <c r="C4" i="6"/>
  <c r="H4" i="6"/>
  <c r="J4" i="6" s="1"/>
  <c r="D26" i="15"/>
  <c r="E51" i="15"/>
  <c r="D32" i="15"/>
  <c r="D33" i="15"/>
  <c r="E6" i="23"/>
  <c r="E3" i="23"/>
  <c r="E4" i="23"/>
  <c r="E5" i="23"/>
  <c r="E49" i="15"/>
  <c r="E48" i="15"/>
  <c r="E47" i="15"/>
  <c r="D38" i="15"/>
  <c r="H18" i="6"/>
  <c r="J18" i="6" s="1"/>
  <c r="E16" i="4"/>
  <c r="E15" i="4" s="1"/>
  <c r="H29" i="6"/>
  <c r="H26" i="6"/>
  <c r="J26" i="6" s="1"/>
  <c r="H16" i="6"/>
  <c r="D24" i="15"/>
  <c r="D6" i="15"/>
  <c r="G6" i="15" s="1"/>
  <c r="D4" i="15"/>
  <c r="G4" i="15" s="1"/>
  <c r="D5" i="15"/>
  <c r="G5" i="15" s="1"/>
  <c r="D3" i="15"/>
  <c r="G3" i="15" s="1"/>
  <c r="D39" i="15"/>
  <c r="D41" i="15"/>
  <c r="D31" i="15"/>
  <c r="D43" i="15"/>
  <c r="D40" i="15"/>
  <c r="D42" i="15"/>
  <c r="D35" i="15"/>
  <c r="D19" i="15"/>
  <c r="D44" i="15"/>
  <c r="D29" i="15"/>
  <c r="D37" i="15"/>
  <c r="D14" i="15"/>
  <c r="D12" i="15"/>
  <c r="D45" i="15"/>
  <c r="D36" i="15"/>
  <c r="D34" i="15"/>
  <c r="D30" i="15"/>
  <c r="D28" i="15"/>
  <c r="D27" i="15"/>
  <c r="D23" i="15"/>
  <c r="D22" i="15"/>
  <c r="D21" i="15"/>
  <c r="D20" i="15"/>
  <c r="D18" i="15"/>
  <c r="D17" i="15"/>
  <c r="D16" i="15"/>
  <c r="D15" i="15"/>
  <c r="D13" i="15"/>
  <c r="D11" i="15"/>
  <c r="D10" i="15"/>
  <c r="D9" i="15"/>
  <c r="D8" i="15"/>
  <c r="D7" i="15"/>
  <c r="E46" i="15" l="1"/>
  <c r="E33" i="15"/>
  <c r="G33" i="15"/>
  <c r="I33" i="15" s="1"/>
  <c r="G32" i="15"/>
  <c r="I32" i="15" s="1"/>
  <c r="E32" i="15"/>
  <c r="E26" i="15"/>
  <c r="G26" i="15"/>
  <c r="I26" i="15" s="1"/>
  <c r="E38" i="15"/>
  <c r="G38" i="15"/>
  <c r="I38" i="15" s="1"/>
  <c r="J29" i="6"/>
  <c r="J16" i="6"/>
  <c r="G24" i="15"/>
  <c r="I24" i="15" s="1"/>
  <c r="E24" i="15"/>
  <c r="E6" i="15"/>
  <c r="I6" i="15"/>
  <c r="E22" i="15"/>
  <c r="G22" i="15"/>
  <c r="E8" i="15"/>
  <c r="G8" i="15"/>
  <c r="E18" i="15"/>
  <c r="G18" i="15"/>
  <c r="E23" i="15"/>
  <c r="G23" i="15"/>
  <c r="E34" i="15"/>
  <c r="G34" i="15"/>
  <c r="E14" i="15"/>
  <c r="G14" i="15"/>
  <c r="E19" i="15"/>
  <c r="G19" i="15"/>
  <c r="E43" i="15"/>
  <c r="G43" i="15"/>
  <c r="E41" i="15"/>
  <c r="G41" i="15"/>
  <c r="E11" i="15"/>
  <c r="G11" i="15"/>
  <c r="E12" i="15"/>
  <c r="G12" i="15"/>
  <c r="E9" i="15"/>
  <c r="G9" i="15"/>
  <c r="E20" i="15"/>
  <c r="G20" i="15"/>
  <c r="E36" i="15"/>
  <c r="G36" i="15"/>
  <c r="E35" i="15"/>
  <c r="G35" i="15"/>
  <c r="E31" i="15"/>
  <c r="G31" i="15"/>
  <c r="E4" i="15"/>
  <c r="E7" i="15"/>
  <c r="G7" i="15"/>
  <c r="E30" i="15"/>
  <c r="G30" i="15"/>
  <c r="E13" i="15"/>
  <c r="G13" i="15"/>
  <c r="E15" i="15"/>
  <c r="G15" i="15"/>
  <c r="E27" i="15"/>
  <c r="G27" i="15"/>
  <c r="E37" i="15"/>
  <c r="G37" i="15"/>
  <c r="E10" i="15"/>
  <c r="G10" i="15"/>
  <c r="E16" i="15"/>
  <c r="G16" i="15"/>
  <c r="E21" i="15"/>
  <c r="G21" i="15"/>
  <c r="E28" i="15"/>
  <c r="G28" i="15"/>
  <c r="E45" i="15"/>
  <c r="G45" i="15"/>
  <c r="E29" i="15"/>
  <c r="G29" i="15"/>
  <c r="E42" i="15"/>
  <c r="G42" i="15"/>
  <c r="E39" i="15"/>
  <c r="G39" i="15"/>
  <c r="E17" i="15"/>
  <c r="G17" i="15"/>
  <c r="E44" i="15"/>
  <c r="G44" i="15"/>
  <c r="E40" i="15"/>
  <c r="G40" i="15"/>
  <c r="E3" i="15"/>
  <c r="E5" i="15"/>
  <c r="I3" i="15" l="1"/>
  <c r="I28" i="15"/>
  <c r="I16" i="15"/>
  <c r="I15" i="15"/>
  <c r="I30" i="15"/>
  <c r="I40" i="15"/>
  <c r="I17" i="15"/>
  <c r="I42" i="15"/>
  <c r="I45" i="15"/>
  <c r="I21" i="15"/>
  <c r="I10" i="15"/>
  <c r="I27" i="15"/>
  <c r="I13" i="15"/>
  <c r="I7" i="15"/>
  <c r="I31" i="15"/>
  <c r="I36" i="15"/>
  <c r="I9" i="15"/>
  <c r="I11" i="15"/>
  <c r="I41" i="15"/>
  <c r="I19" i="15"/>
  <c r="I34" i="15"/>
  <c r="I39" i="15"/>
  <c r="I29" i="15"/>
  <c r="I37" i="15"/>
  <c r="I4" i="15"/>
  <c r="I35" i="15"/>
  <c r="I20" i="15"/>
  <c r="I12" i="15"/>
  <c r="I43" i="15"/>
  <c r="I14" i="15"/>
  <c r="I23" i="15"/>
  <c r="I5" i="15"/>
  <c r="I44" i="15"/>
  <c r="I8" i="15"/>
  <c r="I18" i="15"/>
  <c r="I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
haste +1
Negative Levels -4
Crushing Despair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678AE05E-5D52-4FD4-BEA4-81B176E9158F}">
      <text>
        <r>
          <rPr>
            <sz val="12"/>
            <color indexed="81"/>
            <rFont val="Times New Roman"/>
            <family val="1"/>
          </rPr>
          <t>Next level at 36,000 XPs</t>
        </r>
      </text>
    </comment>
    <comment ref="B11" authorId="0" shapeId="0" xr:uid="{9825BF8E-DA1D-4B71-A5FC-B4CE914C7A4E}">
      <text>
        <r>
          <rPr>
            <i/>
            <sz val="12"/>
            <color indexed="81"/>
            <rFont val="Times New Roman"/>
            <family val="1"/>
          </rPr>
          <t>bull’s strength +4
Exhaustion -6</t>
        </r>
      </text>
    </comment>
    <comment ref="E11" authorId="0" shapeId="0" xr:uid="{E44BC9F8-DC49-4A57-BC57-E5D7E4EF7837}">
      <text>
        <r>
          <rPr>
            <sz val="12"/>
            <color indexed="81"/>
            <rFont val="Times New Roman"/>
            <family val="1"/>
          </rPr>
          <t>See PHB 162</t>
        </r>
      </text>
    </comment>
    <comment ref="B12" authorId="0" shapeId="0" xr:uid="{6D9AAE51-E41D-4FBD-912B-B548F272A045}">
      <text>
        <r>
          <rPr>
            <i/>
            <sz val="12"/>
            <color indexed="81"/>
            <rFont val="Times New Roman"/>
            <family val="1"/>
          </rPr>
          <t>Exhaustion -6</t>
        </r>
      </text>
    </comment>
    <comment ref="E13" authorId="0" shapeId="0" xr:uid="{00000000-0006-0000-0000-000006000000}">
      <text>
        <r>
          <rPr>
            <sz val="12"/>
            <color indexed="81"/>
            <rFont val="Times New Roman"/>
            <family val="1"/>
          </rPr>
          <t>[(5 * 8 Hound Archon) * 75%] +
[(1 * 8 Ranger) * 75%] +
(6 * 3 Con)</t>
        </r>
      </text>
    </comment>
    <comment ref="E14" authorId="0" shapeId="0" xr:uid="{FE6F6CBB-A87B-4CB4-895F-6E1DC72F244D}">
      <text>
        <r>
          <rPr>
            <i/>
            <sz val="12"/>
            <color indexed="81"/>
            <rFont val="Times New Roman"/>
            <family val="1"/>
          </rPr>
          <t>protection from evil +2
haste +1</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2FB563C-9820-4147-85B8-DEDBC7A9514F}">
      <text>
        <r>
          <rPr>
            <sz val="12"/>
            <color indexed="81"/>
            <rFont val="Times New Roman"/>
            <family val="1"/>
          </rPr>
          <t>Cloak of Resistance +1</t>
        </r>
      </text>
    </comment>
    <comment ref="G3" authorId="0" shapeId="0" xr:uid="{3458E7E1-865C-4D6A-BEC5-B52D3924129B}">
      <text>
        <r>
          <rPr>
            <sz val="12"/>
            <color indexed="81"/>
            <rFont val="Times New Roman"/>
            <family val="1"/>
          </rPr>
          <t>Shaken -2</t>
        </r>
      </text>
    </comment>
    <comment ref="F4" authorId="0" shapeId="0" xr:uid="{785F1FB2-89DE-4621-8233-A7B727FAB0BC}">
      <text>
        <r>
          <rPr>
            <sz val="12"/>
            <color indexed="81"/>
            <rFont val="Times New Roman"/>
            <family val="1"/>
          </rPr>
          <t>Cloak of Resistance +1</t>
        </r>
      </text>
    </comment>
    <comment ref="G4" authorId="0" shapeId="0" xr:uid="{E99BF798-4E81-4F1B-B37D-405EAF02BBE4}">
      <text>
        <r>
          <rPr>
            <sz val="12"/>
            <color indexed="81"/>
            <rFont val="Times New Roman"/>
            <family val="1"/>
          </rPr>
          <t>Shaken -2</t>
        </r>
      </text>
    </comment>
    <comment ref="F5" authorId="0" shapeId="0" xr:uid="{79C34A1D-3104-4FCD-82DD-EC6E3287A5CE}">
      <text>
        <r>
          <rPr>
            <sz val="12"/>
            <color indexed="81"/>
            <rFont val="Times New Roman"/>
            <family val="1"/>
          </rPr>
          <t>Cloak of Resistance +1</t>
        </r>
      </text>
    </comment>
    <comment ref="G5" authorId="0" shapeId="0" xr:uid="{30D58448-C034-418B-8165-B7E78989A934}">
      <text>
        <r>
          <rPr>
            <sz val="12"/>
            <color indexed="81"/>
            <rFont val="Times New Roman"/>
            <family val="1"/>
          </rPr>
          <t>Shaken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EF4B8D7C-7E28-4DF1-9638-79BB3D5FC93B}">
      <text>
        <r>
          <rPr>
            <sz val="12"/>
            <color indexed="81"/>
            <rFont val="Times New Roman"/>
            <family val="1"/>
          </rPr>
          <t>A hound archon of 7th level or higher is surrounded by a 20-foot aura.
Creatures within the area must succeed on a Will save (DC 10 + archon’s HD from class levels) or take a –2 morale penalty on attacks, AC, and saves for one day.
Savage Species 179</t>
        </r>
      </text>
    </comment>
    <comment ref="A9" authorId="0" shapeId="0" xr:uid="{37B23955-E429-4555-8C9A-6BE3DA812C1D}">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18" authorId="0" shapeId="0" xr:uid="{25EA40DC-139B-4E64-9FEF-B6FA32EA2A75}">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A19" authorId="0" shapeId="0" xr:uid="{C6B14F2B-5C42-4E77-AA86-2CEAEBADE35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A20" authorId="0" shapeId="0" xr:uid="{28AC85C2-A044-4E45-9E33-A206CD861CE3}">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Special:</t>
        </r>
        <r>
          <rPr>
            <sz val="12"/>
            <color indexed="81"/>
            <rFont val="Times New Roman"/>
            <family val="1"/>
          </rPr>
          <t xml:space="preserve"> A fighter may select Quick Draw as one of his fighter bonus feats (see page 38).
PHB 98</t>
        </r>
      </text>
    </comment>
    <comment ref="A21" authorId="0" shapeId="0" xr:uid="{FAD05F38-6221-4992-8F34-597D27E3100D}">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D75807C4-CEBA-424A-9A2C-AAA009BABAF7}">
      <text>
        <r>
          <rPr>
            <sz val="12"/>
            <color indexed="81"/>
            <rFont val="Times New Roman"/>
            <family val="1"/>
          </rPr>
          <t>Inspire Courage +2</t>
        </r>
      </text>
    </comment>
    <comment ref="K3" authorId="0" shapeId="0" xr:uid="{99380EA4-6247-45D4-97F2-75D36AE4D1A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D4" authorId="0" shapeId="0" xr:uid="{90DFADD0-5BF8-40B3-88E3-A910AF584D32}">
      <text>
        <r>
          <rPr>
            <sz val="12"/>
            <color indexed="81"/>
            <rFont val="Times New Roman"/>
            <family val="1"/>
          </rPr>
          <t>Inspire Courage +2</t>
        </r>
      </text>
    </comment>
    <comment ref="K4" authorId="0" shapeId="0" xr:uid="{40F94C87-2A0E-45BF-B05B-2519BD248B83}">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D5" authorId="0" shapeId="0" xr:uid="{D6413B91-9A00-40F3-B12B-07690A89BB72}">
      <text>
        <r>
          <rPr>
            <sz val="12"/>
            <color indexed="81"/>
            <rFont val="Times New Roman"/>
            <family val="1"/>
          </rPr>
          <t>Inspire Courage +2</t>
        </r>
      </text>
    </comment>
    <comment ref="K5" authorId="0" shapeId="0" xr:uid="{35099455-46D1-457F-89B4-0828BD940D91}">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D6" authorId="0" shapeId="0" xr:uid="{BCB7FB16-AA1C-42A7-9783-A1813612EFB0}">
      <text>
        <r>
          <rPr>
            <sz val="12"/>
            <color indexed="81"/>
            <rFont val="Times New Roman"/>
            <family val="1"/>
          </rPr>
          <t>Inspire Courage +2</t>
        </r>
      </text>
    </comment>
    <comment ref="D7" authorId="0" shapeId="0" xr:uid="{18643590-FF36-4E6B-A354-482AC403E96D}">
      <text>
        <r>
          <rPr>
            <sz val="12"/>
            <color indexed="81"/>
            <rFont val="Times New Roman"/>
            <family val="1"/>
          </rPr>
          <t>Inspire Courage +2</t>
        </r>
      </text>
    </comment>
    <comment ref="D8" authorId="0" shapeId="0" xr:uid="{795545F5-840D-4A4C-9273-EC9EBDD0B3BD}">
      <text>
        <r>
          <rPr>
            <sz val="12"/>
            <color indexed="81"/>
            <rFont val="Times New Roman"/>
            <family val="1"/>
          </rPr>
          <t>Inspire Courage +2</t>
        </r>
      </text>
    </comment>
    <comment ref="D9" authorId="0" shapeId="0" xr:uid="{8BE3E342-5223-4A2F-A346-C1EECDFFF4B9}">
      <text>
        <r>
          <rPr>
            <sz val="12"/>
            <color indexed="81"/>
            <rFont val="Times New Roman"/>
            <family val="1"/>
          </rPr>
          <t>Inspire Courage +2</t>
        </r>
      </text>
    </comment>
    <comment ref="D10" authorId="0" shapeId="0" xr:uid="{4693C31F-C7B3-4127-9D77-3A34F2BB3680}">
      <text>
        <r>
          <rPr>
            <sz val="12"/>
            <color indexed="81"/>
            <rFont val="Times New Roman"/>
            <family val="1"/>
          </rPr>
          <t>Inspire Courage +2</t>
        </r>
      </text>
    </comment>
    <comment ref="D11" authorId="0" shapeId="0" xr:uid="{0193B614-EE45-4849-9C0D-5F5B5A641F65}">
      <text>
        <r>
          <rPr>
            <sz val="12"/>
            <color indexed="81"/>
            <rFont val="Times New Roman"/>
            <family val="1"/>
          </rPr>
          <t>Inspire Courage +2</t>
        </r>
      </text>
    </comment>
    <comment ref="D12" authorId="0" shapeId="0" xr:uid="{F8677342-D919-4C0E-B980-4109B506DAFF}">
      <text>
        <r>
          <rPr>
            <sz val="12"/>
            <color indexed="81"/>
            <rFont val="Times New Roman"/>
            <family val="1"/>
          </rPr>
          <t>Inspire Courage +2</t>
        </r>
      </text>
    </comment>
    <comment ref="D13" authorId="0" shapeId="0" xr:uid="{178FC1C9-A5AA-4085-8CD5-27477A9C9631}">
      <text>
        <r>
          <rPr>
            <sz val="12"/>
            <color indexed="81"/>
            <rFont val="Times New Roman"/>
            <family val="1"/>
          </rPr>
          <t>Inspire Courage +2</t>
        </r>
      </text>
    </comment>
    <comment ref="D14" authorId="0" shapeId="0" xr:uid="{E91DB6EF-2C40-4E10-AA73-F5B1E3CF6DBB}">
      <text>
        <r>
          <rPr>
            <sz val="12"/>
            <color indexed="81"/>
            <rFont val="Times New Roman"/>
            <family val="1"/>
          </rPr>
          <t>Inspire Courage +2</t>
        </r>
      </text>
    </comment>
    <comment ref="D15" authorId="0" shapeId="0" xr:uid="{23FED46F-2B3A-4B5F-ACF4-8B203F11B62E}">
      <text>
        <r>
          <rPr>
            <sz val="12"/>
            <color indexed="81"/>
            <rFont val="Times New Roman"/>
            <family val="1"/>
          </rPr>
          <t>Inspire Courage +2</t>
        </r>
      </text>
    </comment>
    <comment ref="D16" authorId="0" shapeId="0" xr:uid="{0DEACBB4-E6B8-4476-B8AD-401CDA1458C9}">
      <text>
        <r>
          <rPr>
            <sz val="12"/>
            <color indexed="81"/>
            <rFont val="Times New Roman"/>
            <family val="1"/>
          </rPr>
          <t>Inspire Courage +2</t>
        </r>
      </text>
    </comment>
    <comment ref="D17" authorId="0" shapeId="0" xr:uid="{CC587806-9442-40BB-B30A-E4F237193B59}">
      <text>
        <r>
          <rPr>
            <sz val="12"/>
            <color indexed="81"/>
            <rFont val="Times New Roman"/>
            <family val="1"/>
          </rPr>
          <t>Inspire Courage +2</t>
        </r>
      </text>
    </comment>
    <comment ref="D18" authorId="0" shapeId="0" xr:uid="{E74D6AA7-7B59-4E15-821A-8C074AD0A1F5}">
      <text>
        <r>
          <rPr>
            <sz val="12"/>
            <color indexed="81"/>
            <rFont val="Times New Roman"/>
            <family val="1"/>
          </rPr>
          <t>Inspire Courage +2</t>
        </r>
      </text>
    </comment>
    <comment ref="D19" authorId="0" shapeId="0" xr:uid="{C13A881B-1760-4BE5-8A6F-643E160581F6}">
      <text>
        <r>
          <rPr>
            <sz val="12"/>
            <color indexed="81"/>
            <rFont val="Times New Roman"/>
            <family val="1"/>
          </rPr>
          <t>Inspire Courage +2</t>
        </r>
      </text>
    </comment>
    <comment ref="D20" authorId="0" shapeId="0" xr:uid="{90E35AF7-16B8-43BB-9BB8-26F737ADF451}">
      <text>
        <r>
          <rPr>
            <sz val="12"/>
            <color indexed="81"/>
            <rFont val="Times New Roman"/>
            <family val="1"/>
          </rPr>
          <t>Inspire Courage +2</t>
        </r>
      </text>
    </comment>
    <comment ref="D21" authorId="0" shapeId="0" xr:uid="{399C9B95-B4A1-457C-B1F2-601AA1CE14D3}">
      <text>
        <r>
          <rPr>
            <sz val="12"/>
            <color indexed="81"/>
            <rFont val="Times New Roman"/>
            <family val="1"/>
          </rPr>
          <t>Inspire Courage +2</t>
        </r>
      </text>
    </comment>
    <comment ref="D22" authorId="0" shapeId="0" xr:uid="{8009AED1-CFDC-4399-821D-A1F9B531B5DE}">
      <text>
        <r>
          <rPr>
            <sz val="12"/>
            <color indexed="81"/>
            <rFont val="Times New Roman"/>
            <family val="1"/>
          </rPr>
          <t>Inspire Courage +2</t>
        </r>
      </text>
    </comment>
    <comment ref="D23" authorId="0" shapeId="0" xr:uid="{39C96975-1FD5-4827-9C63-B2C4E2948FF2}">
      <text>
        <r>
          <rPr>
            <sz val="12"/>
            <color indexed="81"/>
            <rFont val="Times New Roman"/>
            <family val="1"/>
          </rPr>
          <t>Inspire Courage +2</t>
        </r>
      </text>
    </comment>
    <comment ref="D24" authorId="0" shapeId="0" xr:uid="{BF426627-DD8C-4CF6-AD1E-7DC328F5CD04}">
      <text>
        <r>
          <rPr>
            <sz val="12"/>
            <color indexed="81"/>
            <rFont val="Times New Roman"/>
            <family val="1"/>
          </rPr>
          <t>Inspire Courage +2</t>
        </r>
      </text>
    </comment>
    <comment ref="D25" authorId="0" shapeId="0" xr:uid="{7987811F-99C3-4279-B663-9B0538244EF2}">
      <text>
        <r>
          <rPr>
            <sz val="12"/>
            <color indexed="81"/>
            <rFont val="Times New Roman"/>
            <family val="1"/>
          </rPr>
          <t>Inspire Courage +2</t>
        </r>
      </text>
    </comment>
    <comment ref="D26" authorId="0" shapeId="0" xr:uid="{02881516-6F34-4FCB-8479-0042147AB4F6}">
      <text>
        <r>
          <rPr>
            <sz val="12"/>
            <color indexed="81"/>
            <rFont val="Times New Roman"/>
            <family val="1"/>
          </rPr>
          <t>Inspire Courage +2</t>
        </r>
      </text>
    </comment>
    <comment ref="D29" authorId="0" shapeId="0" xr:uid="{D25BFE17-0B1C-4569-A525-CC0F4901A8C6}">
      <text>
        <r>
          <rPr>
            <sz val="12"/>
            <color indexed="81"/>
            <rFont val="Times New Roman"/>
            <family val="1"/>
          </rPr>
          <t>Weapon +1
Inspire Courage +2</t>
        </r>
      </text>
    </comment>
    <comment ref="D31" authorId="0" shapeId="0" xr:uid="{2BF75A45-7F95-4330-9031-257BCCDDDD61}">
      <text>
        <r>
          <rPr>
            <sz val="12"/>
            <color indexed="81"/>
            <rFont val="Times New Roman"/>
            <family val="1"/>
          </rPr>
          <t>Inspire Courage +2</t>
        </r>
      </text>
    </comment>
    <comment ref="D32" authorId="0" shapeId="0" xr:uid="{A840B23A-491B-4A02-8A2C-3D24481FF246}">
      <text>
        <r>
          <rPr>
            <sz val="12"/>
            <color indexed="81"/>
            <rFont val="Times New Roman"/>
            <family val="1"/>
          </rPr>
          <t>Masterwork +1
Inspire Courage +2</t>
        </r>
      </text>
    </comment>
    <comment ref="D33" authorId="0" shapeId="0" xr:uid="{F8E435ED-6590-436C-8935-DC8E00CB6EED}">
      <text>
        <r>
          <rPr>
            <sz val="12"/>
            <color indexed="81"/>
            <rFont val="Times New Roman"/>
            <family val="1"/>
          </rPr>
          <t>Inspire Courage +2</t>
        </r>
      </text>
    </comment>
    <comment ref="D34" authorId="0" shapeId="0" xr:uid="{D7060A9C-888E-4572-B044-EC03B5C1E943}">
      <text>
        <r>
          <rPr>
            <sz val="12"/>
            <color indexed="81"/>
            <rFont val="Times New Roman"/>
            <family val="1"/>
          </rPr>
          <t>Inspire Courage +2</t>
        </r>
      </text>
    </comment>
    <comment ref="D36" authorId="0" shapeId="0" xr:uid="{00000000-0006-0000-0500-00000A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55A9CD9C-B3DE-4AA4-AA78-F06733638C67}">
      <text>
        <r>
          <rPr>
            <sz val="12"/>
            <color indexed="81"/>
            <rFont val="Times New Roman"/>
            <family val="1"/>
          </rPr>
          <t>This appears to be a typical arrow container capable of holding about twenty arrows.  It has three distinct portions, each with a nondimensional space allowing it to store far more than would normally be possible.  The first and smallest one can contain up to sixty objects of the same general size and shape as an arrow.  The second slightly longer compartment holds up to eighteen objects of the same general size and shape as a javelin.  The third and longest portion of the case contains as many as six objects of the same general size and shape as a bow (spears, staffs, or the like).  Once the owner has filled it, the quiver can produce any item she wishes, as if from a regular quiver or scabbard.  The quiver of Ehlonna weighs the same no matter what’s placed inside it.
DMG 265</t>
        </r>
      </text>
    </comment>
    <comment ref="A15" authorId="0" shapeId="0" xr:uid="{BFEBF03B-5812-42CB-A476-5F7E41F8231D}">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36" authorId="0" shapeId="0" xr:uid="{2743FB77-CFA4-4FD2-B38B-E91C0F3C79D8}">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<sst xmlns="http://schemas.openxmlformats.org/spreadsheetml/2006/main" count="544" uniqueCount="277">
  <si>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</si>
  <si>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</si>
  <si>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</si>
  <si>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</si>
  <si>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</si>
  <si>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</si>
  <si>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</si>
  <si>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</si>
  <si>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</si>
  <si>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</si>
  <si>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</si>
  <si>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</si>
  <si>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</si>
  <si>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</si>
  <si>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</si>
  <si>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</si>
  <si>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</si>
  <si>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</si>
  <si>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</si>
  <si>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</si>
  <si>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</si>
  <si>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</si>
  <si>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</si>
  <si>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</si>
  <si>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</si>
  <si>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</si>
  <si>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</si>
  <si>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</si>
  <si>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</si>
  <si>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</si>
  <si>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</si>
  <si>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</si>
  <si>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</si>
  <si>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</si>
  <si>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</si>
  <si>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</si>
  <si>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</si>
  <si>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</si>
  <si>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</si>
  <si>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</si>
  <si>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</si>
  <si>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</si>
  <si>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</si>
  <si>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</si>
  <si>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</si>
  <si>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</si>
  <si>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</si>
  <si>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</si>
  <si>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</si>
  <si>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</si>
  <si>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</si>
  <si>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</si>
  <si>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</si>
  <si>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</si>
  <si>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</si>
  <si>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</si>
  <si>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</si>
  <si>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</si>
  <si>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</si>
  <si>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</si>
  <si>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</si>
  <si>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</si>
  <si>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</si>
  <si>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</si>
  <si>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</si>
  <si>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</si>
  <si>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</si>
  <si>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</si>
  <si>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</si>
  <si>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</si>
  <si>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</si>
  <si>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</si>
  <si>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</si>
  <si>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Atk</t>
  </si>
  <si>
    <t>Roll</t>
  </si>
  <si>
    <t>Simple and Martial Weapons</t>
  </si>
  <si>
    <t>Scrolls and Potions</t>
  </si>
  <si>
    <t>CLev</t>
  </si>
  <si>
    <t>Value</t>
  </si>
  <si>
    <t>Male</t>
  </si>
  <si>
    <t>30’</t>
  </si>
  <si>
    <t>Piercing</t>
  </si>
  <si>
    <t>Total Equity:</t>
  </si>
  <si>
    <t>-</t>
  </si>
  <si>
    <t>Skill/Save</t>
  </si>
  <si>
    <t>Weapons and Armor</t>
  </si>
  <si>
    <t>Weapon Proficiency</t>
  </si>
  <si>
    <t>Bazazath</t>
  </si>
  <si>
    <t>“Barkley” Anath</t>
  </si>
  <si>
    <t>Played by Edward Kilcullen</t>
  </si>
  <si>
    <t>Hound Archon</t>
  </si>
  <si>
    <t>6’ 2”</t>
  </si>
  <si>
    <t>Flint &amp; Steel</t>
  </si>
  <si>
    <t>Healer’s Kit</t>
  </si>
  <si>
    <t>Climber’s Kit</t>
  </si>
  <si>
    <t>Rations</t>
  </si>
  <si>
    <t>Waterskin</t>
  </si>
  <si>
    <t>Dmg</t>
  </si>
  <si>
    <t>Hound Archon 1</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</si>
  <si>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</si>
  <si>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</si>
  <si>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</si>
  <si>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</si>
  <si>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</si>
  <si>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215 lbs.</t>
  </si>
  <si>
    <t>Craft:  Leatherworking</t>
  </si>
  <si>
    <t>Knowledge:  Arcana</t>
  </si>
  <si>
    <t>Profession:  Brewer</t>
  </si>
  <si>
    <t>Dagger 1</t>
  </si>
  <si>
    <t>Dagger 2</t>
  </si>
  <si>
    <t>19-20/x2</t>
  </si>
  <si>
    <t>Slashing</t>
  </si>
  <si>
    <t>Slsh/Prc</t>
  </si>
  <si>
    <t>1d4</t>
  </si>
  <si>
    <t>Tindertwig</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</si>
  <si>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</si>
  <si>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</si>
  <si>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</si>
  <si>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</si>
  <si>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</si>
  <si>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</si>
  <si>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</si>
  <si>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</si>
  <si>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</si>
  <si>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</si>
  <si>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</si>
  <si>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</si>
  <si>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</si>
  <si>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</si>
  <si>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</si>
  <si>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</si>
  <si>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</si>
  <si>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</si>
  <si>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</si>
  <si>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</si>
  <si>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</si>
  <si>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</si>
  <si>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</si>
  <si>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</si>
  <si>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</si>
  <si>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</si>
  <si>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</si>
  <si>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</si>
  <si>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</si>
  <si>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</si>
  <si>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</si>
  <si>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</si>
  <si>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</si>
  <si>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</si>
  <si>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</si>
  <si>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Good</t>
  </si>
  <si>
    <t>Thoroughness and clarity</t>
  </si>
  <si>
    <t>Consistency with other characters’ actions and setting description</t>
  </si>
  <si>
    <t>Convincing role-playing and character development</t>
  </si>
  <si>
    <t>Level-appropriate use of skills, feats, limitations, and other features</t>
  </si>
  <si>
    <t>Hound Archon 2</t>
  </si>
  <si>
    <t>Hound Archon 3</t>
  </si>
  <si>
    <t>Slam 1</t>
  </si>
  <si>
    <t>Slam 2</t>
  </si>
  <si>
    <t>Bludgeon</t>
  </si>
  <si>
    <t>Natural Armor</t>
  </si>
  <si>
    <t>DC</t>
  </si>
  <si>
    <t>Message</t>
  </si>
  <si>
    <t>Aid</t>
  </si>
  <si>
    <t>Continual Flame</t>
  </si>
  <si>
    <t>Detect Evil</t>
  </si>
  <si>
    <t>Heward’s Handy Haversack</t>
  </si>
  <si>
    <t>Celestial, Infernal, Draconic</t>
  </si>
  <si>
    <t>Iron Rations</t>
  </si>
  <si>
    <t>Silk Rope, 50’</t>
  </si>
  <si>
    <t>Spare Clothing</t>
  </si>
  <si>
    <t>Soft Equity Ceiling:</t>
  </si>
  <si>
    <t>Hound Archon 4</t>
  </si>
  <si>
    <t>Hound Archon 5</t>
  </si>
  <si>
    <t>DR 5/+1</t>
  </si>
  <si>
    <t>Hound Archon 6</t>
  </si>
  <si>
    <t>Knowledge:  Religion</t>
  </si>
  <si>
    <t>Profession:  Winemaker</t>
  </si>
  <si>
    <t>Profession:  Distiller</t>
  </si>
  <si>
    <t>Leatherworking Kit</t>
  </si>
  <si>
    <t>Platinum Tankard</t>
  </si>
  <si>
    <t>50 pages</t>
  </si>
  <si>
    <t>Brewer’s Book</t>
  </si>
  <si>
    <t>Distiller’s Book</t>
  </si>
  <si>
    <t>Winepresser’s Book</t>
  </si>
  <si>
    <t>Ring of Protection +1</t>
  </si>
  <si>
    <t>Sack</t>
  </si>
  <si>
    <t>CL:</t>
  </si>
  <si>
    <t>1d8</t>
  </si>
  <si>
    <t>Scent 30’</t>
  </si>
  <si>
    <t>6-pack Holder</t>
  </si>
  <si>
    <t>Custom-made</t>
  </si>
  <si>
    <t>Platinum Corked Bottles</t>
  </si>
  <si>
    <t>x3</t>
  </si>
  <si>
    <t>110’</t>
  </si>
  <si>
    <t>Speak Language:  [language]</t>
  </si>
  <si>
    <t>Arrows</t>
  </si>
  <si>
    <t>+0</t>
  </si>
  <si>
    <t>Thrown Item</t>
  </si>
  <si>
    <t>varies</t>
  </si>
  <si>
    <t>10’</t>
  </si>
  <si>
    <t>2nd Thrown Item</t>
  </si>
  <si>
    <t xml:space="preserve">Tongues, Common, </t>
  </si>
  <si>
    <t>Gold Coins</t>
  </si>
  <si>
    <t>Platinum Coins</t>
  </si>
  <si>
    <t>Sturdy Bowl</t>
  </si>
  <si>
    <t>MW Candles</t>
  </si>
  <si>
    <t>Belt with Pouches</t>
  </si>
  <si>
    <t>Feats</t>
  </si>
  <si>
    <t>Attention to spelling &amp; punctuation; consistent use of past tense, third person</t>
  </si>
  <si>
    <t>At-Will Abilities</t>
  </si>
  <si>
    <t>Touch/Grapple</t>
  </si>
  <si>
    <t>Arrows, Silver</t>
  </si>
  <si>
    <t>Hand Axe</t>
  </si>
  <si>
    <t>Hand Axe, Silver</t>
  </si>
  <si>
    <t>1d6</t>
  </si>
  <si>
    <t>Wish List:</t>
  </si>
  <si>
    <t>HD</t>
  </si>
  <si>
    <t>Hound Archon 7</t>
  </si>
  <si>
    <t>Electricity Resistance 15</t>
  </si>
  <si>
    <t>1st:  Two-Weapon Fighting</t>
  </si>
  <si>
    <t>3rd:  Quick Draw</t>
  </si>
  <si>
    <t>Tabard</t>
  </si>
  <si>
    <t>one</t>
  </si>
  <si>
    <t>Composite +2 Longbow +1</t>
  </si>
  <si>
    <t>CROSS-CLASS SKILL</t>
  </si>
  <si>
    <t>Cloak of Resistance +1</t>
  </si>
  <si>
    <t>Mithral Chain Shirt +1</t>
  </si>
  <si>
    <t>Longsword +1</t>
  </si>
  <si>
    <t>+4 vs. Poison</t>
  </si>
  <si>
    <t>Ranger</t>
  </si>
  <si>
    <t>MW Short Sword</t>
  </si>
  <si>
    <r>
      <t xml:space="preserve">+1 </t>
    </r>
    <r>
      <rPr>
        <i/>
        <sz val="13"/>
        <rFont val="Times New Roman"/>
        <family val="1"/>
      </rPr>
      <t>haste</t>
    </r>
  </si>
  <si>
    <t>Poor</t>
  </si>
  <si>
    <t>Ranger Features</t>
  </si>
  <si>
    <t>Track</t>
  </si>
  <si>
    <t>Wild Empathy</t>
  </si>
  <si>
    <t>Ranger 1</t>
  </si>
  <si>
    <t>Knowledge:  Nature</t>
  </si>
  <si>
    <t>Light Armor and Shields</t>
  </si>
  <si>
    <t>Favored Enemy:  Undead</t>
  </si>
  <si>
    <t>Holy Symbol of Cayden Cailean</t>
  </si>
  <si>
    <t>Filled with dragon’s breath bourbon</t>
  </si>
  <si>
    <t>Folding Boat/Ship</t>
  </si>
  <si>
    <t>Scarab Motif</t>
  </si>
  <si>
    <t>Cayden C</t>
  </si>
  <si>
    <t>6th:  Dodge</t>
  </si>
  <si>
    <t>Quiver of Ehlonna</t>
  </si>
  <si>
    <t>Longspear +1</t>
  </si>
  <si>
    <t>In Quiver</t>
  </si>
  <si>
    <t>nine</t>
  </si>
  <si>
    <t>2 ea.</t>
  </si>
  <si>
    <t>6 ea.</t>
  </si>
  <si>
    <t>Longsword, 2nd Attack</t>
  </si>
  <si>
    <t>Longspear, 2nd Attack</t>
  </si>
  <si>
    <t>Spear, 2nd Attack</t>
  </si>
  <si>
    <t>Short Sword, 2nd Attack</t>
  </si>
  <si>
    <t>Dagger, 2nd Attack</t>
  </si>
  <si>
    <t>Hand Axe, 2nd Attack</t>
  </si>
  <si>
    <t>three</t>
  </si>
  <si>
    <t>Javelins, 12</t>
  </si>
  <si>
    <t>MW Javelins, 4</t>
  </si>
  <si>
    <t>Spears, 3</t>
  </si>
  <si>
    <t>Mess Kit</t>
  </si>
  <si>
    <t>% Full:</t>
  </si>
  <si>
    <t>qvr.</t>
  </si>
  <si>
    <t>Regional:  Sanctify Natural Attack</t>
  </si>
  <si>
    <t>Sanctify Natural Attack</t>
  </si>
  <si>
    <t>Longbow, 2nd Shot</t>
  </si>
  <si>
    <t>Returning Dagger +1</t>
  </si>
  <si>
    <t>19-20, x2</t>
  </si>
  <si>
    <t>Prcg/Slsh</t>
  </si>
  <si>
    <t>Battle Axe +1</t>
  </si>
  <si>
    <t>Battle Axe, 2nd Swing</t>
  </si>
  <si>
    <t>Antitoxin</t>
  </si>
  <si>
    <t>Neutral Good</t>
  </si>
  <si>
    <t>-4 Negative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</si>
</sst>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6"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
      <i/>
      <sz val="13"/>
      <name val="Times New Roman"/>
      <family val="1"/>
    </font>
    <font>
      <i/>
      <sz val="16"/>
      <color rgb="FF00B050"/>
      <name val="Times New Roman"/>
      <family val="1"/>
    </font>
    <font>
      <b/>
      <sz val="13"/>
      <color rgb="FF00B0F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CC99FF"/>
        <bgColor indexed="64"/>
      </patternFill>
    </fill>
    <fill>
      <patternFill patternType="solid">
        <fgColor rgb="FF33CC33"/>
        <bgColor indexed="64"/>
      </patternFill>
    </fill>
  </fills>
  <borders count="12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
      <left style="medium">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4" fillId="0" borderId="0"/>
    <xf numFmtId="0" fontId="45"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54">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2" fillId="0" borderId="36"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49" fontId="20" fillId="12" borderId="12" xfId="0" applyNumberFormat="1" applyFont="1" applyFill="1" applyBorder="1" applyAlignment="1">
      <alignment horizontal="center" vertical="center"/>
    </xf>
    <xf numFmtId="0" fontId="20" fillId="12" borderId="16" xfId="0" applyFont="1" applyFill="1" applyBorder="1" applyAlignment="1">
      <alignment horizontal="center" vertical="center"/>
    </xf>
    <xf numFmtId="0" fontId="42" fillId="10" borderId="16" xfId="0" applyFont="1" applyFill="1" applyBorder="1" applyAlignment="1">
      <alignment horizontal="center" vertical="center"/>
    </xf>
    <xf numFmtId="0" fontId="20" fillId="12" borderId="13" xfId="0" applyFont="1" applyFill="1" applyBorder="1" applyAlignment="1">
      <alignment horizontal="center" vertical="center"/>
    </xf>
    <xf numFmtId="0" fontId="2" fillId="0" borderId="4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2" borderId="16" xfId="0" applyFont="1" applyFill="1" applyBorder="1" applyAlignment="1">
      <alignment horizontal="centerContinuous" vertical="center"/>
    </xf>
    <xf numFmtId="0" fontId="20" fillId="12" borderId="52" xfId="0" applyFont="1" applyFill="1" applyBorder="1" applyAlignment="1">
      <alignment horizontal="centerContinuous" vertical="center"/>
    </xf>
    <xf numFmtId="0" fontId="20" fillId="12" borderId="53" xfId="0" applyFont="1" applyFill="1" applyBorder="1" applyAlignment="1">
      <alignment horizontal="centerContinuous" vertical="center"/>
    </xf>
    <xf numFmtId="164" fontId="5" fillId="0" borderId="55"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2" borderId="14" xfId="0" applyFont="1" applyFill="1" applyBorder="1" applyAlignment="1">
      <alignment horizontal="centerContinuous" vertical="center"/>
    </xf>
    <xf numFmtId="0" fontId="20" fillId="12" borderId="15" xfId="0" applyFont="1" applyFill="1" applyBorder="1" applyAlignment="1">
      <alignment horizontal="centerContinuous" vertical="center"/>
    </xf>
    <xf numFmtId="0" fontId="5" fillId="0" borderId="55" xfId="0" applyFont="1" applyFill="1" applyBorder="1" applyAlignment="1">
      <alignment horizontal="centerContinuous" vertical="center"/>
    </xf>
    <xf numFmtId="0" fontId="5" fillId="0" borderId="69" xfId="0" applyFont="1" applyFill="1" applyBorder="1" applyAlignment="1">
      <alignment horizontal="centerContinuous" vertical="center"/>
    </xf>
    <xf numFmtId="49" fontId="2" fillId="0" borderId="69" xfId="0" applyNumberFormat="1" applyFont="1" applyFill="1" applyBorder="1" applyAlignment="1">
      <alignment horizontal="center" vertical="center"/>
    </xf>
    <xf numFmtId="0" fontId="5" fillId="0" borderId="41" xfId="0" applyFont="1" applyFill="1" applyBorder="1" applyAlignment="1">
      <alignment horizontal="centerContinuous" vertical="center"/>
    </xf>
    <xf numFmtId="0" fontId="5" fillId="0" borderId="72" xfId="0" applyFont="1" applyFill="1" applyBorder="1" applyAlignment="1">
      <alignment horizontal="centerContinuous" vertical="center"/>
    </xf>
    <xf numFmtId="0" fontId="5" fillId="0" borderId="70" xfId="0" applyFont="1" applyFill="1" applyBorder="1" applyAlignment="1">
      <alignment horizontal="centerContinuous" vertical="center"/>
    </xf>
    <xf numFmtId="164" fontId="5" fillId="0" borderId="73" xfId="0" applyNumberFormat="1" applyFont="1" applyBorder="1" applyAlignment="1">
      <alignment horizontal="centerContinuous" vertical="center"/>
    </xf>
    <xf numFmtId="164" fontId="3" fillId="0" borderId="0" xfId="0" applyNumberFormat="1" applyFont="1" applyBorder="1" applyAlignment="1">
      <alignment horizontal="centerContinuous" vertical="center"/>
    </xf>
    <xf numFmtId="0" fontId="20" fillId="3" borderId="33" xfId="0" applyFont="1" applyFill="1" applyBorder="1" applyAlignment="1">
      <alignment horizontal="center" vertical="center"/>
    </xf>
    <xf numFmtId="164" fontId="20" fillId="3" borderId="34" xfId="0" applyNumberFormat="1" applyFont="1" applyFill="1" applyBorder="1" applyAlignment="1">
      <alignment horizontal="center" vertical="center"/>
    </xf>
    <xf numFmtId="0" fontId="20" fillId="3" borderId="33" xfId="0" applyFont="1" applyFill="1" applyBorder="1" applyAlignment="1">
      <alignment horizontal="right" vertical="center"/>
    </xf>
    <xf numFmtId="0" fontId="20" fillId="3" borderId="35" xfId="0" applyFont="1" applyFill="1" applyBorder="1" applyAlignment="1">
      <alignment vertical="center"/>
    </xf>
    <xf numFmtId="0" fontId="2" fillId="0" borderId="60" xfId="0" applyFont="1" applyBorder="1" applyAlignment="1">
      <alignment horizontal="center" vertical="center" shrinkToFit="1"/>
    </xf>
    <xf numFmtId="164" fontId="5"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164" fontId="2" fillId="0" borderId="36"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1" xfId="0" applyFont="1" applyFill="1" applyBorder="1" applyAlignment="1">
      <alignment horizontal="center" vertical="center" shrinkToFit="1"/>
    </xf>
    <xf numFmtId="0" fontId="24" fillId="0" borderId="19"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1" xfId="0" applyFont="1" applyFill="1" applyBorder="1" applyAlignment="1">
      <alignment horizontal="center" vertical="center"/>
    </xf>
    <xf numFmtId="0" fontId="26" fillId="0" borderId="22"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39" fillId="10" borderId="22" xfId="0" applyNumberFormat="1" applyFont="1" applyFill="1" applyBorder="1" applyAlignment="1">
      <alignment horizontal="center" vertical="center"/>
    </xf>
    <xf numFmtId="0" fontId="40" fillId="0" borderId="1" xfId="0" applyFont="1" applyFill="1" applyBorder="1" applyAlignment="1">
      <alignment vertical="center"/>
    </xf>
    <xf numFmtId="0" fontId="23" fillId="0" borderId="22" xfId="0" applyNumberFormat="1" applyFont="1" applyFill="1" applyBorder="1" applyAlignment="1">
      <alignment horizontal="center" vertical="center"/>
    </xf>
    <xf numFmtId="0" fontId="12"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46"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6" xfId="0" applyNumberFormat="1" applyFont="1" applyFill="1" applyBorder="1" applyAlignment="1">
      <alignment horizontal="center" vertical="center"/>
    </xf>
    <xf numFmtId="0" fontId="39" fillId="10" borderId="46"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1"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1"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1" xfId="0" applyNumberFormat="1" applyFont="1" applyFill="1" applyBorder="1" applyAlignment="1">
      <alignment horizontal="center" vertical="center"/>
    </xf>
    <xf numFmtId="0" fontId="22" fillId="0" borderId="22"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7" fillId="13" borderId="21"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3" borderId="23"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1" xfId="0" applyNumberFormat="1" applyFont="1" applyFill="1" applyBorder="1" applyAlignment="1">
      <alignment horizontal="center" vertical="center"/>
    </xf>
    <xf numFmtId="49" fontId="15" fillId="5" borderId="21" xfId="0" applyNumberFormat="1" applyFont="1" applyFill="1" applyBorder="1" applyAlignment="1">
      <alignment horizontal="center" vertical="center"/>
    </xf>
    <xf numFmtId="0" fontId="15" fillId="5" borderId="22" xfId="0" applyNumberFormat="1"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NumberFormat="1" applyFont="1" applyFill="1" applyBorder="1" applyAlignment="1">
      <alignment horizontal="center" vertical="center"/>
    </xf>
    <xf numFmtId="0" fontId="13" fillId="13" borderId="1" xfId="0" applyFont="1" applyFill="1" applyBorder="1" applyAlignment="1">
      <alignment vertical="center"/>
    </xf>
    <xf numFmtId="0" fontId="10" fillId="6" borderId="1" xfId="0" applyFont="1" applyFill="1" applyBorder="1" applyAlignment="1">
      <alignment vertical="center"/>
    </xf>
    <xf numFmtId="0" fontId="7" fillId="6" borderId="21" xfId="0" applyNumberFormat="1" applyFont="1" applyFill="1" applyBorder="1" applyAlignment="1">
      <alignment horizontal="center" vertical="center"/>
    </xf>
    <xf numFmtId="49" fontId="15" fillId="6" borderId="21" xfId="0" applyNumberFormat="1" applyFont="1" applyFill="1" applyBorder="1" applyAlignment="1">
      <alignment horizontal="center" vertical="center"/>
    </xf>
    <xf numFmtId="0" fontId="15" fillId="6" borderId="22"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1" xfId="0" applyNumberFormat="1" applyFont="1" applyFill="1" applyBorder="1" applyAlignment="1">
      <alignment horizontal="center" vertical="center"/>
    </xf>
    <xf numFmtId="0" fontId="22" fillId="7" borderId="22"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1" xfId="0" applyNumberFormat="1" applyFont="1" applyFill="1" applyBorder="1" applyAlignment="1">
      <alignment horizontal="center" vertical="center"/>
    </xf>
    <xf numFmtId="0" fontId="15" fillId="13" borderId="22"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1" xfId="0" applyNumberFormat="1" applyFont="1" applyFill="1" applyBorder="1" applyAlignment="1">
      <alignment horizontal="center" vertical="center"/>
    </xf>
    <xf numFmtId="0" fontId="23" fillId="5" borderId="22"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1" xfId="0" applyNumberFormat="1" applyFont="1" applyFill="1" applyBorder="1" applyAlignment="1">
      <alignment horizontal="center" vertical="center"/>
    </xf>
    <xf numFmtId="49" fontId="15" fillId="4" borderId="21" xfId="0" applyNumberFormat="1" applyFont="1" applyFill="1" applyBorder="1" applyAlignment="1">
      <alignment horizontal="center" vertical="center"/>
    </xf>
    <xf numFmtId="0" fontId="15" fillId="4" borderId="22" xfId="0" applyNumberFormat="1" applyFont="1" applyFill="1" applyBorder="1" applyAlignment="1">
      <alignment horizontal="center" vertical="center"/>
    </xf>
    <xf numFmtId="49" fontId="7" fillId="4" borderId="22" xfId="0" applyNumberFormat="1" applyFont="1" applyFill="1" applyBorder="1" applyAlignment="1">
      <alignment horizontal="center" vertical="center"/>
    </xf>
    <xf numFmtId="0" fontId="7" fillId="4" borderId="23" xfId="0" applyNumberFormat="1" applyFont="1" applyFill="1" applyBorder="1" applyAlignment="1">
      <alignment horizontal="center" vertical="center"/>
    </xf>
    <xf numFmtId="0" fontId="7" fillId="0" borderId="23"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1" xfId="0" applyNumberFormat="1" applyFont="1" applyFill="1" applyBorder="1" applyAlignment="1">
      <alignment horizontal="center" vertical="center"/>
    </xf>
    <xf numFmtId="0" fontId="23" fillId="4" borderId="22"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1" xfId="0" applyNumberFormat="1" applyFont="1" applyFill="1" applyBorder="1" applyAlignment="1">
      <alignment horizontal="center" vertical="center"/>
    </xf>
    <xf numFmtId="0" fontId="22" fillId="5" borderId="22" xfId="0" applyNumberFormat="1" applyFont="1" applyFill="1" applyBorder="1" applyAlignment="1">
      <alignment horizontal="center" vertical="center"/>
    </xf>
    <xf numFmtId="0" fontId="39" fillId="10" borderId="48" xfId="0" applyNumberFormat="1" applyFont="1" applyFill="1" applyBorder="1" applyAlignment="1">
      <alignment horizontal="center" vertical="center"/>
    </xf>
    <xf numFmtId="0" fontId="4" fillId="0" borderId="0" xfId="0" applyFont="1" applyBorder="1" applyAlignment="1">
      <alignment horizontal="right" vertical="center"/>
    </xf>
    <xf numFmtId="0" fontId="19" fillId="2" borderId="63" xfId="0" applyFont="1" applyFill="1" applyBorder="1" applyAlignment="1">
      <alignment horizontal="left" vertical="center"/>
    </xf>
    <xf numFmtId="0" fontId="4" fillId="2" borderId="63" xfId="0" applyFont="1" applyFill="1" applyBorder="1" applyAlignment="1">
      <alignment horizontal="centerContinuous" vertical="center"/>
    </xf>
    <xf numFmtId="0" fontId="35" fillId="2" borderId="64"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9"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7" xfId="0" applyFont="1" applyFill="1" applyBorder="1" applyAlignment="1">
      <alignment horizontal="right" vertical="center"/>
    </xf>
    <xf numFmtId="164" fontId="6" fillId="8" borderId="26" xfId="0" applyNumberFormat="1" applyFont="1" applyFill="1" applyBorder="1" applyAlignment="1">
      <alignment horizontal="center" vertical="center"/>
    </xf>
    <xf numFmtId="49" fontId="25" fillId="0" borderId="3" xfId="0" applyNumberFormat="1" applyFont="1" applyBorder="1" applyAlignment="1">
      <alignment horizontal="center" vertical="center"/>
    </xf>
    <xf numFmtId="0" fontId="8" fillId="4" borderId="57" xfId="0" applyFont="1" applyFill="1" applyBorder="1" applyAlignment="1">
      <alignment horizontal="right" vertical="center"/>
    </xf>
    <xf numFmtId="0" fontId="36"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8"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6" xfId="0" applyFont="1" applyBorder="1" applyAlignment="1">
      <alignment horizontal="left" vertical="center"/>
    </xf>
    <xf numFmtId="0" fontId="6" fillId="4" borderId="76"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3" borderId="1" xfId="0" applyFont="1" applyFill="1" applyBorder="1" applyAlignment="1">
      <alignment vertical="center"/>
    </xf>
    <xf numFmtId="49" fontId="16" fillId="13" borderId="21" xfId="0" applyNumberFormat="1" applyFont="1" applyFill="1" applyBorder="1" applyAlignment="1">
      <alignment horizontal="center" vertical="center"/>
    </xf>
    <xf numFmtId="0" fontId="16" fillId="13" borderId="22" xfId="0" applyNumberFormat="1" applyFont="1" applyFill="1" applyBorder="1" applyAlignment="1">
      <alignment horizontal="center" vertical="center"/>
    </xf>
    <xf numFmtId="164" fontId="5" fillId="0" borderId="75" xfId="0" applyNumberFormat="1" applyFont="1" applyBorder="1" applyAlignment="1">
      <alignment horizontal="center" vertical="center" shrinkToFit="1"/>
    </xf>
    <xf numFmtId="0" fontId="20" fillId="12" borderId="77" xfId="0" applyFont="1" applyFill="1" applyBorder="1" applyAlignment="1">
      <alignment horizontal="center" vertical="center"/>
    </xf>
    <xf numFmtId="0" fontId="2" fillId="0" borderId="0" xfId="0" applyFont="1" applyBorder="1" applyAlignment="1">
      <alignment vertical="center"/>
    </xf>
    <xf numFmtId="1" fontId="20" fillId="12" borderId="27" xfId="0" applyNumberFormat="1" applyFont="1" applyFill="1" applyBorder="1" applyAlignment="1">
      <alignment horizontal="center" vertical="center"/>
    </xf>
    <xf numFmtId="0" fontId="2" fillId="0" borderId="54" xfId="0" applyFont="1" applyFill="1" applyBorder="1" applyAlignment="1">
      <alignment horizontal="centerContinuous" vertical="center" shrinkToFit="1"/>
    </xf>
    <xf numFmtId="0" fontId="20" fillId="0" borderId="55" xfId="0" applyFont="1" applyFill="1" applyBorder="1" applyAlignment="1">
      <alignment horizontal="centerContinuous" vertical="center"/>
    </xf>
    <xf numFmtId="0" fontId="20" fillId="0" borderId="78" xfId="0" applyFont="1" applyFill="1" applyBorder="1" applyAlignment="1">
      <alignment horizontal="centerContinuous" vertical="center"/>
    </xf>
    <xf numFmtId="0" fontId="2" fillId="0" borderId="7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6" xfId="0" applyFont="1" applyFill="1" applyBorder="1" applyAlignment="1">
      <alignment horizontal="centerContinuous" vertical="center"/>
    </xf>
    <xf numFmtId="1" fontId="2" fillId="0" borderId="80" xfId="0" applyNumberFormat="1" applyFont="1" applyFill="1" applyBorder="1" applyAlignment="1">
      <alignment horizontal="center" vertical="center"/>
    </xf>
    <xf numFmtId="0" fontId="2" fillId="0" borderId="81" xfId="0" applyFont="1" applyFill="1" applyBorder="1" applyAlignment="1">
      <alignment horizontal="centerContinuous" vertical="center" shrinkToFit="1"/>
    </xf>
    <xf numFmtId="0" fontId="20" fillId="0" borderId="82" xfId="0" applyFont="1" applyFill="1" applyBorder="1" applyAlignment="1">
      <alignment horizontal="centerContinuous" vertical="center"/>
    </xf>
    <xf numFmtId="0" fontId="20" fillId="0" borderId="83" xfId="0" applyFont="1" applyFill="1" applyBorder="1" applyAlignment="1">
      <alignment horizontal="centerContinuous" vertical="center"/>
    </xf>
    <xf numFmtId="0" fontId="2" fillId="0" borderId="37" xfId="0" applyFont="1" applyFill="1" applyBorder="1" applyAlignment="1">
      <alignment horizontal="center" vertical="center"/>
    </xf>
    <xf numFmtId="0" fontId="2" fillId="0" borderId="84" xfId="0" applyFont="1" applyFill="1" applyBorder="1" applyAlignment="1">
      <alignment horizontal="centerContinuous" vertical="center"/>
    </xf>
    <xf numFmtId="0" fontId="2" fillId="0" borderId="41" xfId="0" applyFont="1" applyFill="1" applyBorder="1" applyAlignment="1">
      <alignment horizontal="centerContinuous" vertical="center" shrinkToFit="1"/>
    </xf>
    <xf numFmtId="0" fontId="2" fillId="0" borderId="73"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43"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0" fontId="2" fillId="0" borderId="74" xfId="0" applyFont="1" applyFill="1" applyBorder="1" applyAlignment="1">
      <alignment horizontal="centerContinuous" vertical="center"/>
    </xf>
    <xf numFmtId="1" fontId="2" fillId="0" borderId="51" xfId="0" applyNumberFormat="1" applyFont="1" applyBorder="1" applyAlignment="1">
      <alignment horizontal="center" vertical="center"/>
    </xf>
    <xf numFmtId="164" fontId="20" fillId="3" borderId="27" xfId="0" applyNumberFormat="1" applyFont="1" applyFill="1" applyBorder="1" applyAlignment="1">
      <alignment horizontal="center" vertical="center"/>
    </xf>
    <xf numFmtId="1" fontId="2" fillId="0" borderId="32"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7" fillId="0" borderId="29" xfId="0" applyFont="1" applyFill="1" applyBorder="1" applyAlignment="1">
      <alignment horizontal="center" vertical="center"/>
    </xf>
    <xf numFmtId="1" fontId="43" fillId="10" borderId="42"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1" fontId="2" fillId="0" borderId="93" xfId="0" applyNumberFormat="1" applyFont="1" applyFill="1" applyBorder="1" applyAlignment="1">
      <alignment horizontal="center" vertical="center"/>
    </xf>
    <xf numFmtId="0" fontId="7" fillId="13" borderId="23" xfId="0" quotePrefix="1" applyNumberFormat="1" applyFont="1" applyFill="1" applyBorder="1" applyAlignment="1">
      <alignment horizontal="center" vertical="center"/>
    </xf>
    <xf numFmtId="0" fontId="7" fillId="6" borderId="23" xfId="0" quotePrefix="1" applyNumberFormat="1" applyFont="1" applyFill="1" applyBorder="1" applyAlignment="1">
      <alignment horizontal="center" vertical="center"/>
    </xf>
    <xf numFmtId="0" fontId="2" fillId="0" borderId="61" xfId="0" applyFont="1" applyBorder="1" applyAlignment="1">
      <alignment horizontal="center" vertical="center"/>
    </xf>
    <xf numFmtId="49" fontId="2" fillId="0" borderId="42" xfId="0"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4" xfId="0" applyFont="1" applyBorder="1" applyAlignment="1">
      <alignment horizontal="center" vertical="center"/>
    </xf>
    <xf numFmtId="0" fontId="2" fillId="0" borderId="83" xfId="0" applyFont="1" applyBorder="1" applyAlignment="1">
      <alignment horizontal="center" vertical="center" shrinkToFit="1"/>
    </xf>
    <xf numFmtId="0" fontId="5" fillId="0" borderId="83" xfId="0" applyFont="1" applyBorder="1" applyAlignment="1">
      <alignment horizontal="center" vertical="center" shrinkToFit="1"/>
    </xf>
    <xf numFmtId="0" fontId="2" fillId="0" borderId="86" xfId="0" applyFont="1" applyBorder="1" applyAlignment="1">
      <alignment horizontal="center" vertical="center" shrinkToFit="1"/>
    </xf>
    <xf numFmtId="1" fontId="7" fillId="0" borderId="22" xfId="0" applyNumberFormat="1" applyFont="1" applyFill="1" applyBorder="1" applyAlignment="1">
      <alignment horizontal="center" vertical="center"/>
    </xf>
    <xf numFmtId="0" fontId="2" fillId="0" borderId="54" xfId="0" applyFont="1" applyFill="1" applyBorder="1" applyAlignment="1">
      <alignment horizontal="centerContinuous" vertical="center"/>
    </xf>
    <xf numFmtId="0" fontId="6" fillId="4" borderId="96" xfId="0" applyFont="1" applyFill="1" applyBorder="1" applyAlignment="1">
      <alignment horizontal="right" vertical="center"/>
    </xf>
    <xf numFmtId="1" fontId="2" fillId="0" borderId="97" xfId="0" applyNumberFormat="1" applyFont="1" applyBorder="1" applyAlignment="1">
      <alignment horizontal="centerContinuous" vertical="center"/>
    </xf>
    <xf numFmtId="0" fontId="21" fillId="13" borderId="1" xfId="0" applyFont="1" applyFill="1" applyBorder="1" applyAlignment="1">
      <alignment vertical="center"/>
    </xf>
    <xf numFmtId="49" fontId="27" fillId="13" borderId="21" xfId="0" applyNumberFormat="1" applyFont="1" applyFill="1" applyBorder="1" applyAlignment="1">
      <alignment horizontal="center" vertical="center"/>
    </xf>
    <xf numFmtId="0" fontId="27" fillId="13" borderId="22" xfId="0" applyNumberFormat="1" applyFont="1" applyFill="1" applyBorder="1" applyAlignment="1">
      <alignment horizontal="center" vertical="center"/>
    </xf>
    <xf numFmtId="0" fontId="7" fillId="0" borderId="99" xfId="0" applyFont="1" applyFill="1" applyBorder="1" applyAlignment="1">
      <alignment horizontal="centerContinuous" vertical="center"/>
    </xf>
    <xf numFmtId="0" fontId="5" fillId="0" borderId="100" xfId="0" applyFont="1" applyBorder="1" applyAlignment="1">
      <alignment horizontal="center" vertical="center" shrinkToFit="1"/>
    </xf>
    <xf numFmtId="0" fontId="5" fillId="0" borderId="75" xfId="0" applyFont="1" applyBorder="1" applyAlignment="1">
      <alignment horizontal="left" vertical="center"/>
    </xf>
    <xf numFmtId="1" fontId="2" fillId="0" borderId="85" xfId="0" applyNumberFormat="1" applyFont="1" applyBorder="1" applyAlignment="1">
      <alignment horizontal="center" vertical="center" shrinkToFit="1"/>
    </xf>
    <xf numFmtId="0" fontId="2" fillId="0" borderId="91" xfId="0" applyFont="1" applyBorder="1" applyAlignment="1">
      <alignment horizontal="center" vertical="center" shrinkToFit="1"/>
    </xf>
    <xf numFmtId="0" fontId="47" fillId="0" borderId="27" xfId="0" applyFont="1" applyBorder="1" applyAlignment="1">
      <alignment horizontal="centerContinuous" vertical="center"/>
    </xf>
    <xf numFmtId="0" fontId="48" fillId="0" borderId="27" xfId="0" applyFont="1" applyBorder="1" applyAlignment="1">
      <alignment horizontal="centerContinuous" vertical="center"/>
    </xf>
    <xf numFmtId="0" fontId="49" fillId="0" borderId="27" xfId="0" applyFont="1" applyBorder="1" applyAlignment="1">
      <alignment horizontal="centerContinuous" vertical="center" wrapText="1"/>
    </xf>
    <xf numFmtId="0" fontId="13" fillId="14" borderId="1" xfId="0" applyFont="1" applyFill="1" applyBorder="1" applyAlignment="1">
      <alignment vertical="center"/>
    </xf>
    <xf numFmtId="0" fontId="7" fillId="14" borderId="21" xfId="0" applyNumberFormat="1" applyFont="1" applyFill="1" applyBorder="1" applyAlignment="1">
      <alignment horizontal="center" vertical="center"/>
    </xf>
    <xf numFmtId="49" fontId="22" fillId="14" borderId="21" xfId="0" applyNumberFormat="1" applyFont="1" applyFill="1" applyBorder="1" applyAlignment="1">
      <alignment horizontal="center" vertical="center"/>
    </xf>
    <xf numFmtId="0" fontId="22" fillId="14" borderId="22" xfId="0" applyNumberFormat="1" applyFont="1" applyFill="1" applyBorder="1" applyAlignment="1">
      <alignment horizontal="center" vertical="center"/>
    </xf>
    <xf numFmtId="0" fontId="13" fillId="14" borderId="22"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9" fillId="13" borderId="1" xfId="0" applyFont="1" applyFill="1" applyBorder="1" applyAlignment="1">
      <alignment vertical="center"/>
    </xf>
    <xf numFmtId="49" fontId="26" fillId="13" borderId="21" xfId="0" applyNumberFormat="1" applyFont="1" applyFill="1" applyBorder="1" applyAlignment="1">
      <alignment horizontal="center" vertical="center"/>
    </xf>
    <xf numFmtId="0" fontId="26" fillId="13" borderId="22" xfId="0" applyNumberFormat="1" applyFont="1" applyFill="1" applyBorder="1" applyAlignment="1">
      <alignment horizontal="center" vertical="center"/>
    </xf>
    <xf numFmtId="0" fontId="6" fillId="4" borderId="98" xfId="0" applyFont="1" applyFill="1" applyBorder="1" applyAlignment="1">
      <alignment horizontal="right" vertical="center"/>
    </xf>
    <xf numFmtId="3" fontId="7" fillId="0" borderId="25"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0" fontId="7" fillId="0" borderId="67" xfId="0" applyNumberFormat="1" applyFont="1" applyBorder="1" applyAlignment="1">
      <alignment horizontal="center" vertical="center"/>
    </xf>
    <xf numFmtId="0" fontId="50" fillId="2" borderId="65" xfId="0" applyFont="1" applyFill="1" applyBorder="1" applyAlignment="1">
      <alignment horizontal="right" vertical="center"/>
    </xf>
    <xf numFmtId="0" fontId="50" fillId="2" borderId="63" xfId="0" applyFont="1" applyFill="1" applyBorder="1" applyAlignment="1">
      <alignment horizontal="left" vertical="center"/>
    </xf>
    <xf numFmtId="0" fontId="2" fillId="0" borderId="42" xfId="0" quotePrefix="1" applyFont="1" applyFill="1" applyBorder="1" applyAlignment="1">
      <alignment horizontal="left" vertical="center"/>
    </xf>
    <xf numFmtId="1" fontId="7" fillId="0" borderId="24"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2" fillId="0" borderId="94" xfId="0" applyFont="1" applyFill="1" applyBorder="1" applyAlignment="1">
      <alignment horizontal="centerContinuous" vertical="center" shrinkToFit="1"/>
    </xf>
    <xf numFmtId="0" fontId="20" fillId="0" borderId="95" xfId="0" applyFont="1" applyFill="1" applyBorder="1" applyAlignment="1">
      <alignment horizontal="centerContinuous" vertical="center"/>
    </xf>
    <xf numFmtId="0" fontId="20" fillId="0" borderId="102" xfId="0" applyFont="1" applyFill="1" applyBorder="1" applyAlignment="1">
      <alignment horizontal="centerContinuous" vertical="center"/>
    </xf>
    <xf numFmtId="0" fontId="2" fillId="0" borderId="103" xfId="0" applyFont="1" applyFill="1" applyBorder="1" applyAlignment="1">
      <alignment horizontal="center" vertical="center"/>
    </xf>
    <xf numFmtId="0" fontId="2" fillId="0" borderId="101" xfId="0" applyFont="1" applyFill="1" applyBorder="1" applyAlignment="1">
      <alignment horizontal="centerContinuous" vertical="center"/>
    </xf>
    <xf numFmtId="1" fontId="7" fillId="0" borderId="20"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0" xfId="0" quotePrefix="1" applyFont="1" applyFill="1" applyBorder="1" applyAlignment="1">
      <alignment horizontal="center" vertical="center"/>
    </xf>
    <xf numFmtId="0" fontId="2" fillId="0" borderId="59" xfId="0" applyFont="1" applyBorder="1" applyAlignment="1">
      <alignment horizontal="center" vertical="center" shrinkToFit="1"/>
    </xf>
    <xf numFmtId="0" fontId="2" fillId="0" borderId="60" xfId="0" applyFont="1" applyFill="1" applyBorder="1" applyAlignment="1">
      <alignment horizontal="center" vertical="center"/>
    </xf>
    <xf numFmtId="0" fontId="2" fillId="0" borderId="36" xfId="0" quotePrefix="1" applyFont="1" applyFill="1" applyBorder="1" applyAlignment="1">
      <alignment horizontal="center" vertical="center" wrapText="1"/>
    </xf>
    <xf numFmtId="49" fontId="2" fillId="0" borderId="36" xfId="2" applyNumberFormat="1" applyFont="1" applyFill="1" applyBorder="1" applyAlignment="1">
      <alignment horizontal="center" vertical="center"/>
    </xf>
    <xf numFmtId="0" fontId="2" fillId="0" borderId="36" xfId="0" applyFont="1" applyFill="1" applyBorder="1" applyAlignment="1">
      <alignment horizontal="center" vertical="center" shrinkToFit="1"/>
    </xf>
    <xf numFmtId="164" fontId="5" fillId="0" borderId="36" xfId="0" applyNumberFormat="1" applyFont="1" applyFill="1" applyBorder="1" applyAlignment="1">
      <alignment horizontal="center" vertical="center"/>
    </xf>
    <xf numFmtId="164" fontId="5" fillId="0" borderId="36" xfId="0" applyNumberFormat="1" applyFont="1" applyBorder="1" applyAlignment="1">
      <alignment horizontal="center" vertical="center"/>
    </xf>
    <xf numFmtId="1" fontId="43" fillId="10" borderId="36" xfId="0" applyNumberFormat="1" applyFont="1" applyFill="1" applyBorder="1" applyAlignment="1">
      <alignment horizontal="center" vertical="center"/>
    </xf>
    <xf numFmtId="1" fontId="2" fillId="0" borderId="36" xfId="0" applyNumberFormat="1" applyFont="1" applyBorder="1" applyAlignment="1">
      <alignment horizontal="center" vertical="center"/>
    </xf>
    <xf numFmtId="0" fontId="2" fillId="0" borderId="38" xfId="0" applyFont="1" applyFill="1" applyBorder="1" applyAlignment="1">
      <alignment horizontal="center" vertical="center"/>
    </xf>
    <xf numFmtId="1" fontId="2" fillId="0" borderId="92" xfId="0" applyNumberFormat="1" applyFont="1" applyFill="1" applyBorder="1" applyAlignment="1">
      <alignment horizontal="center" vertical="center"/>
    </xf>
    <xf numFmtId="164" fontId="2" fillId="0" borderId="89" xfId="0"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0" fontId="2" fillId="0" borderId="104" xfId="0" applyFont="1" applyBorder="1" applyAlignment="1">
      <alignment horizontal="center" vertical="center"/>
    </xf>
    <xf numFmtId="0" fontId="2" fillId="0" borderId="68" xfId="0" applyFont="1" applyBorder="1" applyAlignment="1">
      <alignment horizontal="center" vertical="center"/>
    </xf>
    <xf numFmtId="0" fontId="2" fillId="0" borderId="68" xfId="0" quotePrefix="1" applyFont="1" applyBorder="1" applyAlignment="1">
      <alignment horizontal="center" vertical="center"/>
    </xf>
    <xf numFmtId="9" fontId="2" fillId="0" borderId="68" xfId="0" applyNumberFormat="1" applyFont="1" applyBorder="1" applyAlignment="1">
      <alignment horizontal="center" vertical="center"/>
    </xf>
    <xf numFmtId="164" fontId="2" fillId="0" borderId="68" xfId="0" applyNumberFormat="1" applyFont="1" applyFill="1" applyBorder="1" applyAlignment="1">
      <alignment horizontal="center" vertical="center"/>
    </xf>
    <xf numFmtId="164" fontId="2" fillId="0" borderId="69" xfId="0" applyNumberFormat="1" applyFont="1" applyFill="1" applyBorder="1" applyAlignment="1">
      <alignment horizontal="centerContinuous" vertical="center"/>
    </xf>
    <xf numFmtId="0" fontId="5" fillId="0" borderId="56" xfId="0" quotePrefix="1" applyFont="1" applyFill="1" applyBorder="1" applyAlignment="1">
      <alignment horizontal="centerContinuous" vertical="center"/>
    </xf>
    <xf numFmtId="0" fontId="2" fillId="0" borderId="105" xfId="0" applyFont="1" applyBorder="1" applyAlignment="1">
      <alignment horizontal="center" vertical="center"/>
    </xf>
    <xf numFmtId="0" fontId="5" fillId="0" borderId="71" xfId="0" applyFont="1" applyBorder="1" applyAlignment="1">
      <alignment horizontal="center" vertical="center"/>
    </xf>
    <xf numFmtId="0" fontId="2" fillId="0" borderId="71" xfId="0" applyFont="1" applyBorder="1" applyAlignment="1">
      <alignment horizontal="center" vertical="center"/>
    </xf>
    <xf numFmtId="164" fontId="2" fillId="0" borderId="70" xfId="0" applyNumberFormat="1" applyFont="1" applyBorder="1" applyAlignment="1">
      <alignment horizontal="centerContinuous" vertical="center"/>
    </xf>
    <xf numFmtId="0" fontId="5" fillId="0" borderId="74" xfId="0" applyFont="1" applyBorder="1" applyAlignment="1">
      <alignment horizontal="centerContinuous" vertical="center"/>
    </xf>
    <xf numFmtId="0" fontId="37" fillId="0" borderId="1" xfId="0" applyFont="1" applyFill="1" applyBorder="1" applyAlignment="1">
      <alignment vertical="center"/>
    </xf>
    <xf numFmtId="0" fontId="38" fillId="0" borderId="28" xfId="0" applyFont="1" applyFill="1" applyBorder="1" applyAlignment="1">
      <alignment vertical="center"/>
    </xf>
    <xf numFmtId="49" fontId="15" fillId="0" borderId="30" xfId="0" applyNumberFormat="1" applyFont="1" applyBorder="1" applyAlignment="1">
      <alignment horizontal="center" shrinkToFit="1"/>
    </xf>
    <xf numFmtId="0" fontId="12" fillId="11" borderId="1" xfId="0" applyFont="1" applyFill="1" applyBorder="1" applyAlignment="1">
      <alignment vertical="center"/>
    </xf>
    <xf numFmtId="0" fontId="7" fillId="11" borderId="21" xfId="0" applyNumberFormat="1" applyFont="1" applyFill="1" applyBorder="1" applyAlignment="1">
      <alignment horizontal="center" vertical="center"/>
    </xf>
    <xf numFmtId="49" fontId="23" fillId="11" borderId="21" xfId="0" applyNumberFormat="1" applyFont="1" applyFill="1" applyBorder="1" applyAlignment="1">
      <alignment horizontal="center" vertical="center"/>
    </xf>
    <xf numFmtId="0" fontId="23" fillId="11" borderId="22" xfId="0" applyNumberFormat="1" applyFont="1" applyFill="1" applyBorder="1" applyAlignment="1">
      <alignment horizontal="center" vertical="center"/>
    </xf>
    <xf numFmtId="0" fontId="12" fillId="11" borderId="22" xfId="0" applyNumberFormat="1" applyFont="1" applyFill="1" applyBorder="1" applyAlignment="1">
      <alignment horizontal="center" vertical="center"/>
    </xf>
    <xf numFmtId="49" fontId="7" fillId="11" borderId="22" xfId="0" applyNumberFormat="1" applyFont="1" applyFill="1" applyBorder="1" applyAlignment="1">
      <alignment horizontal="center" vertical="center"/>
    </xf>
    <xf numFmtId="0" fontId="7" fillId="11" borderId="23" xfId="0" quotePrefix="1" applyNumberFormat="1" applyFont="1" applyFill="1" applyBorder="1" applyAlignment="1">
      <alignment horizontal="center" vertical="center"/>
    </xf>
    <xf numFmtId="1" fontId="7" fillId="13" borderId="22" xfId="0" applyNumberFormat="1" applyFont="1" applyFill="1" applyBorder="1" applyAlignment="1">
      <alignment horizontal="center" vertical="center"/>
    </xf>
    <xf numFmtId="0" fontId="12" fillId="13" borderId="1" xfId="0" applyFont="1" applyFill="1" applyBorder="1" applyAlignment="1">
      <alignment vertical="center"/>
    </xf>
    <xf numFmtId="49" fontId="23" fillId="13" borderId="21" xfId="0" applyNumberFormat="1" applyFont="1" applyFill="1" applyBorder="1" applyAlignment="1">
      <alignment horizontal="center" vertical="center"/>
    </xf>
    <xf numFmtId="0" fontId="23" fillId="13" borderId="22" xfId="0" applyNumberFormat="1" applyFont="1" applyFill="1" applyBorder="1" applyAlignment="1">
      <alignment horizontal="center" vertical="center"/>
    </xf>
    <xf numFmtId="0" fontId="21" fillId="13" borderId="22" xfId="0" applyNumberFormat="1" applyFont="1" applyFill="1" applyBorder="1" applyAlignment="1">
      <alignment horizontal="center" vertical="center"/>
    </xf>
    <xf numFmtId="0" fontId="12" fillId="13" borderId="5" xfId="0" applyFont="1" applyFill="1" applyBorder="1" applyAlignment="1">
      <alignment vertical="center"/>
    </xf>
    <xf numFmtId="0" fontId="7" fillId="13" borderId="47" xfId="0" applyNumberFormat="1" applyFont="1" applyFill="1" applyBorder="1" applyAlignment="1">
      <alignment horizontal="center" vertical="center"/>
    </xf>
    <xf numFmtId="49" fontId="23" fillId="13" borderId="47" xfId="0" applyNumberFormat="1" applyFont="1" applyFill="1" applyBorder="1" applyAlignment="1">
      <alignment horizontal="center" vertical="center"/>
    </xf>
    <xf numFmtId="0" fontId="23" fillId="13" borderId="48" xfId="0" applyNumberFormat="1" applyFont="1" applyFill="1" applyBorder="1" applyAlignment="1">
      <alignment horizontal="center" vertical="center"/>
    </xf>
    <xf numFmtId="49" fontId="7" fillId="13" borderId="48" xfId="0" applyNumberFormat="1" applyFont="1" applyFill="1" applyBorder="1" applyAlignment="1">
      <alignment horizontal="center" vertical="center"/>
    </xf>
    <xf numFmtId="0" fontId="7" fillId="13" borderId="31"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1" fillId="10" borderId="33" xfId="0" applyNumberFormat="1" applyFont="1" applyFill="1" applyBorder="1" applyAlignment="1">
      <alignment horizontal="center" vertical="center"/>
    </xf>
    <xf numFmtId="0" fontId="11" fillId="3" borderId="34" xfId="0" applyNumberFormat="1" applyFont="1" applyFill="1" applyBorder="1" applyAlignment="1">
      <alignment horizontal="center" vertical="center"/>
    </xf>
    <xf numFmtId="0" fontId="11" fillId="3" borderId="66" xfId="0" applyFont="1" applyFill="1" applyBorder="1" applyAlignment="1">
      <alignment horizontal="center" vertical="center"/>
    </xf>
    <xf numFmtId="0" fontId="4" fillId="0" borderId="0" xfId="0" applyFont="1" applyBorder="1" applyAlignment="1">
      <alignment vertical="center"/>
    </xf>
    <xf numFmtId="49" fontId="7" fillId="0" borderId="46"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2" fontId="2" fillId="0" borderId="32" xfId="0" applyNumberFormat="1" applyFont="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6"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3" xfId="0" applyFont="1" applyBorder="1" applyAlignment="1">
      <alignment horizontal="centerContinuous" vertical="center"/>
    </xf>
    <xf numFmtId="0" fontId="14" fillId="0" borderId="0" xfId="0" applyFont="1" applyAlignment="1">
      <alignment horizontal="centerContinuous" vertical="center" wrapText="1"/>
    </xf>
    <xf numFmtId="0" fontId="11" fillId="9" borderId="107" xfId="0" applyFont="1" applyFill="1" applyBorder="1" applyAlignment="1">
      <alignment horizontal="centerContinuous" vertical="center" wrapText="1"/>
    </xf>
    <xf numFmtId="0" fontId="11" fillId="9" borderId="108" xfId="0" applyFont="1" applyFill="1" applyBorder="1" applyAlignment="1">
      <alignment horizontal="center"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vertical="center" wrapText="1"/>
    </xf>
    <xf numFmtId="0" fontId="51" fillId="0" borderId="0" xfId="0" applyFont="1" applyBorder="1" applyAlignment="1">
      <alignment horizontal="centerContinuous" vertical="center" wrapText="1"/>
    </xf>
    <xf numFmtId="0" fontId="52" fillId="0" borderId="0" xfId="0" applyFont="1" applyAlignment="1">
      <alignment horizontal="centerContinuous"/>
    </xf>
    <xf numFmtId="1" fontId="2" fillId="0" borderId="42" xfId="0" applyNumberFormat="1"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44"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164" fontId="5" fillId="0" borderId="45"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111"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6" xfId="0" applyFont="1" applyBorder="1" applyAlignment="1">
      <alignment horizontal="center" vertical="center" shrinkToFit="1"/>
    </xf>
    <xf numFmtId="1" fontId="2" fillId="11" borderId="0" xfId="0" applyNumberFormat="1" applyFont="1" applyFill="1" applyBorder="1" applyAlignment="1">
      <alignment horizontal="center" vertical="center"/>
    </xf>
    <xf numFmtId="0" fontId="2" fillId="0" borderId="37" xfId="0" applyFont="1" applyBorder="1" applyAlignment="1">
      <alignment horizontal="left" vertical="center"/>
    </xf>
    <xf numFmtId="9" fontId="2" fillId="0" borderId="71" xfId="0" applyNumberFormat="1" applyFont="1" applyBorder="1" applyAlignment="1">
      <alignment horizontal="center" vertical="center"/>
    </xf>
    <xf numFmtId="164" fontId="2" fillId="0" borderId="71" xfId="0" applyNumberFormat="1" applyFont="1" applyBorder="1" applyAlignment="1">
      <alignment horizontal="center" vertical="center"/>
    </xf>
    <xf numFmtId="165" fontId="2" fillId="0" borderId="0" xfId="0" applyNumberFormat="1" applyFont="1" applyAlignment="1">
      <alignment horizontal="center" vertical="center"/>
    </xf>
    <xf numFmtId="0" fontId="5" fillId="0" borderId="0" xfId="0" applyFont="1" applyBorder="1" applyAlignment="1">
      <alignment horizontal="center" vertical="center" wrapText="1"/>
    </xf>
    <xf numFmtId="0" fontId="2" fillId="0" borderId="75" xfId="0" applyFont="1" applyBorder="1" applyAlignment="1">
      <alignment horizontal="left" vertical="center"/>
    </xf>
    <xf numFmtId="0" fontId="2" fillId="0" borderId="89"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1" fillId="0" borderId="1" xfId="0" applyFont="1" applyFill="1" applyBorder="1" applyAlignment="1">
      <alignment vertical="center"/>
    </xf>
    <xf numFmtId="49" fontId="27" fillId="0" borderId="21"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164" fontId="2" fillId="0" borderId="42" xfId="0" applyNumberFormat="1" applyFont="1" applyBorder="1" applyAlignment="1">
      <alignment horizontal="center" vertical="center"/>
    </xf>
    <xf numFmtId="0" fontId="2" fillId="0" borderId="88" xfId="0" applyFont="1" applyBorder="1" applyAlignment="1">
      <alignment horizontal="center" vertical="center" shrinkToFit="1"/>
    </xf>
    <xf numFmtId="164" fontId="2" fillId="0" borderId="36" xfId="0" applyNumberFormat="1" applyFont="1" applyFill="1" applyBorder="1" applyAlignment="1">
      <alignment horizontal="center" vertical="center"/>
    </xf>
    <xf numFmtId="1" fontId="2" fillId="0" borderId="36" xfId="0" applyNumberFormat="1" applyFont="1" applyFill="1" applyBorder="1" applyAlignment="1">
      <alignment horizontal="center" vertical="center"/>
    </xf>
    <xf numFmtId="0" fontId="5" fillId="0" borderId="0" xfId="0" applyFont="1" applyFill="1" applyBorder="1" applyAlignment="1">
      <alignment vertical="center"/>
    </xf>
    <xf numFmtId="0" fontId="11" fillId="9" borderId="112" xfId="0" applyFont="1" applyFill="1" applyBorder="1" applyAlignment="1">
      <alignment horizontal="center" vertical="center" wrapText="1"/>
    </xf>
    <xf numFmtId="49" fontId="7" fillId="0" borderId="113"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2" fillId="0" borderId="70"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0" fontId="5" fillId="0" borderId="38" xfId="0" applyFont="1" applyFill="1" applyBorder="1" applyAlignment="1">
      <alignment horizontal="center" vertical="center"/>
    </xf>
    <xf numFmtId="1" fontId="2" fillId="0" borderId="32" xfId="0" applyNumberFormat="1" applyFont="1" applyFill="1" applyBorder="1" applyAlignment="1">
      <alignment horizontal="center" vertical="center"/>
    </xf>
    <xf numFmtId="0" fontId="2" fillId="0" borderId="59" xfId="0" applyFont="1" applyFill="1" applyBorder="1" applyAlignment="1">
      <alignment horizontal="center" vertical="center"/>
    </xf>
    <xf numFmtId="0" fontId="2" fillId="0" borderId="45" xfId="0" quotePrefix="1" applyFont="1" applyFill="1" applyBorder="1" applyAlignment="1">
      <alignment horizontal="center" vertical="center" wrapText="1"/>
    </xf>
    <xf numFmtId="49" fontId="2" fillId="0" borderId="45" xfId="2"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164" fontId="2" fillId="0" borderId="45"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 fontId="2" fillId="0" borderId="45" xfId="0" applyNumberFormat="1" applyFont="1" applyFill="1" applyBorder="1" applyAlignment="1">
      <alignment horizontal="center" vertical="center"/>
    </xf>
    <xf numFmtId="0" fontId="2" fillId="0" borderId="111" xfId="0" applyFont="1" applyFill="1" applyBorder="1" applyAlignment="1">
      <alignment horizontal="center" vertical="center"/>
    </xf>
    <xf numFmtId="0" fontId="2" fillId="15" borderId="36" xfId="2" applyNumberFormat="1" applyFont="1" applyFill="1" applyBorder="1" applyAlignment="1">
      <alignment horizontal="center" vertical="center"/>
    </xf>
    <xf numFmtId="0" fontId="2" fillId="15" borderId="42" xfId="0" applyNumberFormat="1" applyFont="1" applyFill="1" applyBorder="1" applyAlignment="1">
      <alignment horizontal="center" vertical="center"/>
    </xf>
    <xf numFmtId="0" fontId="5" fillId="0" borderId="89" xfId="0" applyFont="1" applyBorder="1" applyAlignment="1">
      <alignment horizontal="center" vertical="center" shrinkToFit="1"/>
    </xf>
    <xf numFmtId="164" fontId="5" fillId="0" borderId="89" xfId="0" applyNumberFormat="1" applyFont="1" applyBorder="1" applyAlignment="1">
      <alignment horizontal="center" vertical="center" shrinkToFit="1"/>
    </xf>
    <xf numFmtId="0" fontId="5" fillId="0" borderId="89" xfId="0" applyFont="1" applyBorder="1" applyAlignment="1">
      <alignment horizontal="left" vertical="center"/>
    </xf>
    <xf numFmtId="0" fontId="5" fillId="0" borderId="90" xfId="0" applyFont="1" applyBorder="1" applyAlignment="1">
      <alignment horizontal="left" vertical="center" shrinkToFit="1"/>
    </xf>
    <xf numFmtId="0" fontId="7" fillId="0" borderId="32" xfId="0" applyFont="1" applyBorder="1" applyAlignment="1">
      <alignment horizontal="centerContinuous" vertical="center"/>
    </xf>
    <xf numFmtId="0" fontId="7" fillId="0" borderId="32" xfId="0" applyFont="1" applyBorder="1" applyAlignment="1">
      <alignment horizontal="centerContinuous"/>
    </xf>
    <xf numFmtId="0" fontId="7" fillId="0" borderId="51" xfId="0" applyFont="1" applyFill="1" applyBorder="1" applyAlignment="1">
      <alignment horizontal="centerContinuous" vertical="center"/>
    </xf>
    <xf numFmtId="0" fontId="7" fillId="0" borderId="32" xfId="0" applyFont="1" applyFill="1" applyBorder="1" applyAlignment="1">
      <alignment horizontal="center" vertical="center" shrinkToFit="1"/>
    </xf>
    <xf numFmtId="0" fontId="7" fillId="0" borderId="51" xfId="0" quotePrefix="1" applyFont="1" applyFill="1" applyBorder="1" applyAlignment="1">
      <alignment horizontal="centerContinuous" vertical="center" shrinkToFit="1"/>
    </xf>
    <xf numFmtId="0" fontId="13" fillId="6" borderId="22" xfId="0" applyNumberFormat="1"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5" xfId="0" quotePrefix="1" applyFont="1" applyBorder="1" applyAlignment="1">
      <alignment horizontal="center" vertical="center"/>
    </xf>
    <xf numFmtId="9" fontId="2" fillId="0" borderId="115" xfId="0" applyNumberFormat="1" applyFont="1" applyBorder="1" applyAlignment="1">
      <alignment horizontal="center" vertical="center"/>
    </xf>
    <xf numFmtId="164" fontId="2" fillId="0" borderId="115" xfId="0" applyNumberFormat="1" applyFont="1" applyFill="1" applyBorder="1" applyAlignment="1">
      <alignment horizontal="center" vertical="center"/>
    </xf>
    <xf numFmtId="164" fontId="2" fillId="0" borderId="116" xfId="0" applyNumberFormat="1" applyFont="1" applyFill="1" applyBorder="1" applyAlignment="1">
      <alignment horizontal="centerContinuous" vertical="center"/>
    </xf>
    <xf numFmtId="164" fontId="5" fillId="0" borderId="82" xfId="0" applyNumberFormat="1" applyFont="1" applyFill="1" applyBorder="1" applyAlignment="1">
      <alignment horizontal="centerContinuous" vertical="center"/>
    </xf>
    <xf numFmtId="0" fontId="5" fillId="0" borderId="84" xfId="0" quotePrefix="1" applyFont="1" applyFill="1" applyBorder="1" applyAlignment="1">
      <alignment horizontal="centerContinuous" vertical="center"/>
    </xf>
    <xf numFmtId="164" fontId="2" fillId="0" borderId="75" xfId="0" applyNumberFormat="1" applyFont="1" applyBorder="1" applyAlignment="1">
      <alignment horizontal="center" vertical="center" shrinkToFit="1"/>
    </xf>
    <xf numFmtId="1" fontId="7" fillId="16" borderId="21" xfId="0" applyNumberFormat="1" applyFont="1" applyFill="1" applyBorder="1" applyAlignment="1">
      <alignment horizontal="center" vertical="center"/>
    </xf>
    <xf numFmtId="1" fontId="7" fillId="16" borderId="46"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5" borderId="23" xfId="0" quotePrefix="1" applyNumberFormat="1" applyFont="1" applyFill="1" applyBorder="1" applyAlignment="1">
      <alignment horizontal="center" vertical="center"/>
    </xf>
    <xf numFmtId="0" fontId="2" fillId="0" borderId="0" xfId="0" applyFont="1" applyBorder="1" applyAlignment="1">
      <alignment horizontal="center" vertical="center"/>
    </xf>
    <xf numFmtId="0" fontId="7" fillId="0" borderId="23" xfId="0" quotePrefix="1" applyFont="1" applyFill="1" applyBorder="1" applyAlignment="1">
      <alignment horizontal="center" vertical="center"/>
    </xf>
    <xf numFmtId="1" fontId="7" fillId="0" borderId="21" xfId="0" applyNumberFormat="1" applyFont="1" applyFill="1" applyBorder="1" applyAlignment="1">
      <alignment horizontal="center" vertical="center"/>
    </xf>
    <xf numFmtId="1" fontId="7" fillId="0" borderId="46" xfId="0" applyNumberFormat="1" applyFont="1" applyFill="1" applyBorder="1" applyAlignment="1">
      <alignment horizontal="center" vertical="center"/>
    </xf>
    <xf numFmtId="0" fontId="54" fillId="0" borderId="27" xfId="0" applyFont="1" applyBorder="1" applyAlignment="1">
      <alignment horizontal="centerContinuous" vertical="center"/>
    </xf>
    <xf numFmtId="0" fontId="7" fillId="0" borderId="85" xfId="0" applyFont="1" applyBorder="1" applyAlignment="1">
      <alignment horizontal="centerContinuous" vertical="center"/>
    </xf>
    <xf numFmtId="0" fontId="7" fillId="0" borderId="85" xfId="0" applyFont="1" applyFill="1" applyBorder="1" applyAlignment="1">
      <alignment horizontal="center" vertical="center" shrinkToFit="1"/>
    </xf>
    <xf numFmtId="0" fontId="2" fillId="0" borderId="118" xfId="0" applyFont="1" applyFill="1" applyBorder="1" applyAlignment="1">
      <alignment horizontal="center" vertical="center"/>
    </xf>
    <xf numFmtId="0" fontId="2" fillId="0" borderId="119" xfId="0" applyFont="1" applyFill="1" applyBorder="1" applyAlignment="1">
      <alignment horizontal="center" vertical="center"/>
    </xf>
    <xf numFmtId="49" fontId="2" fillId="0" borderId="119" xfId="2" applyNumberFormat="1" applyFont="1" applyFill="1" applyBorder="1" applyAlignment="1">
      <alignment horizontal="center" vertical="center"/>
    </xf>
    <xf numFmtId="0" fontId="2" fillId="0" borderId="119" xfId="0" applyFont="1" applyBorder="1" applyAlignment="1">
      <alignment horizontal="center" vertical="center"/>
    </xf>
    <xf numFmtId="164" fontId="2" fillId="0" borderId="119" xfId="0" applyNumberFormat="1" applyFont="1" applyFill="1" applyBorder="1" applyAlignment="1">
      <alignment horizontal="center" vertical="center"/>
    </xf>
    <xf numFmtId="164" fontId="5" fillId="0" borderId="119" xfId="0" applyNumberFormat="1" applyFont="1" applyFill="1" applyBorder="1" applyAlignment="1">
      <alignment horizontal="center" vertical="center"/>
    </xf>
    <xf numFmtId="1" fontId="43" fillId="10" borderId="119" xfId="0" applyNumberFormat="1" applyFont="1" applyFill="1" applyBorder="1" applyAlignment="1">
      <alignment horizontal="center" vertical="center"/>
    </xf>
    <xf numFmtId="1" fontId="2" fillId="0" borderId="119" xfId="0" applyNumberFormat="1" applyFont="1" applyBorder="1" applyAlignment="1">
      <alignment horizontal="center"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 vertical="center"/>
    </xf>
    <xf numFmtId="0" fontId="2" fillId="0" borderId="122" xfId="0" applyFont="1" applyFill="1" applyBorder="1" applyAlignment="1">
      <alignment horizontal="center" vertical="center"/>
    </xf>
    <xf numFmtId="0" fontId="2" fillId="0" borderId="122" xfId="0" quotePrefix="1" applyFont="1" applyFill="1" applyBorder="1" applyAlignment="1">
      <alignment horizontal="center" vertical="center" wrapText="1"/>
    </xf>
    <xf numFmtId="49" fontId="2" fillId="0" borderId="122" xfId="2" applyNumberFormat="1" applyFont="1" applyFill="1" applyBorder="1" applyAlignment="1">
      <alignment horizontal="center" vertical="center"/>
    </xf>
    <xf numFmtId="0" fontId="2" fillId="0" borderId="122" xfId="0" applyFont="1" applyFill="1" applyBorder="1" applyAlignment="1">
      <alignment horizontal="center" vertical="center" shrinkToFit="1"/>
    </xf>
    <xf numFmtId="164" fontId="5" fillId="0" borderId="122" xfId="0" applyNumberFormat="1" applyFont="1" applyFill="1" applyBorder="1" applyAlignment="1">
      <alignment horizontal="center" vertical="center"/>
    </xf>
    <xf numFmtId="164" fontId="5" fillId="0" borderId="122" xfId="0" applyNumberFormat="1" applyFont="1" applyBorder="1" applyAlignment="1">
      <alignment horizontal="center" vertical="center"/>
    </xf>
    <xf numFmtId="1" fontId="43" fillId="10" borderId="122" xfId="0" applyNumberFormat="1" applyFont="1" applyFill="1" applyBorder="1" applyAlignment="1">
      <alignment horizontal="center" vertical="center"/>
    </xf>
    <xf numFmtId="1" fontId="2" fillId="0" borderId="122" xfId="0" applyNumberFormat="1" applyFont="1" applyBorder="1" applyAlignment="1">
      <alignment horizontal="center" vertical="center"/>
    </xf>
    <xf numFmtId="0" fontId="2" fillId="0" borderId="123" xfId="0" applyFont="1" applyFill="1" applyBorder="1" applyAlignment="1">
      <alignment horizontal="center" vertical="center"/>
    </xf>
    <xf numFmtId="0" fontId="2"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5" fillId="0" borderId="89" xfId="0" applyNumberFormat="1" applyFont="1" applyBorder="1" applyAlignment="1">
      <alignment horizontal="center" vertical="center"/>
    </xf>
    <xf numFmtId="1" fontId="43" fillId="10" borderId="89" xfId="0" applyNumberFormat="1" applyFont="1" applyFill="1" applyBorder="1" applyAlignment="1">
      <alignment horizontal="center" vertical="center"/>
    </xf>
    <xf numFmtId="1" fontId="2" fillId="0" borderId="89" xfId="0" applyNumberFormat="1" applyFont="1" applyBorder="1" applyAlignment="1">
      <alignment horizontal="center" vertical="center"/>
    </xf>
    <xf numFmtId="0" fontId="2" fillId="0" borderId="90" xfId="0" applyFont="1" applyFill="1" applyBorder="1" applyAlignment="1">
      <alignment horizontal="center" vertical="center"/>
    </xf>
    <xf numFmtId="164" fontId="2" fillId="0" borderId="122" xfId="0" applyNumberFormat="1" applyFont="1" applyFill="1" applyBorder="1" applyAlignment="1">
      <alignment horizontal="center" vertical="center"/>
    </xf>
    <xf numFmtId="1" fontId="2" fillId="0" borderId="122"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1" fontId="2" fillId="11" borderId="99" xfId="0" applyNumberFormat="1" applyFont="1" applyFill="1" applyBorder="1" applyAlignment="1">
      <alignment horizontal="center" vertical="center"/>
    </xf>
    <xf numFmtId="49" fontId="2" fillId="0" borderId="69" xfId="0" applyNumberFormat="1" applyFont="1" applyFill="1" applyBorder="1" applyAlignment="1">
      <alignment horizontal="centerContinuous" vertical="center"/>
    </xf>
    <xf numFmtId="0" fontId="5" fillId="0" borderId="56" xfId="0" applyFont="1" applyFill="1" applyBorder="1" applyAlignment="1">
      <alignment horizontal="centerContinuous" vertical="center"/>
    </xf>
    <xf numFmtId="49" fontId="2" fillId="0" borderId="70" xfId="0" applyNumberFormat="1" applyFont="1" applyFill="1" applyBorder="1" applyAlignment="1">
      <alignment horizontal="centerContinuous" vertical="center"/>
    </xf>
    <xf numFmtId="0" fontId="5" fillId="0" borderId="74" xfId="0" applyFont="1" applyFill="1" applyBorder="1" applyAlignment="1">
      <alignment horizontal="centerContinuous" vertical="center"/>
    </xf>
    <xf numFmtId="165" fontId="2" fillId="0" borderId="0" xfId="0" applyNumberFormat="1" applyFont="1" applyAlignment="1">
      <alignment vertical="center"/>
    </xf>
    <xf numFmtId="0" fontId="2" fillId="0" borderId="89" xfId="0" applyFont="1" applyBorder="1" applyAlignment="1">
      <alignment horizontal="left" vertical="center"/>
    </xf>
    <xf numFmtId="1" fontId="6" fillId="17" borderId="24" xfId="0" applyNumberFormat="1" applyFont="1" applyFill="1" applyBorder="1" applyAlignment="1">
      <alignment horizontal="center" vertical="center"/>
    </xf>
    <xf numFmtId="0" fontId="2" fillId="15" borderId="87" xfId="0" applyFont="1" applyFill="1" applyBorder="1" applyAlignment="1">
      <alignment horizontal="centerContinuous" vertical="center"/>
    </xf>
    <xf numFmtId="0" fontId="7" fillId="0" borderId="9" xfId="0" applyFont="1" applyFill="1" applyBorder="1" applyAlignment="1">
      <alignment horizontal="center" vertical="center"/>
    </xf>
    <xf numFmtId="0" fontId="7" fillId="14" borderId="23" xfId="0" quotePrefix="1" applyNumberFormat="1" applyFont="1" applyFill="1" applyBorder="1" applyAlignment="1">
      <alignment horizontal="center" vertical="center"/>
    </xf>
    <xf numFmtId="0" fontId="2" fillId="0" borderId="124" xfId="0" applyFont="1" applyBorder="1" applyAlignment="1">
      <alignment horizontal="center" vertical="center" shrinkToFit="1"/>
    </xf>
    <xf numFmtId="1" fontId="2" fillId="0" borderId="75" xfId="0" applyNumberFormat="1" applyFont="1" applyBorder="1" applyAlignment="1">
      <alignment horizontal="center" vertical="center" shrinkToFit="1"/>
    </xf>
    <xf numFmtId="0" fontId="2" fillId="0" borderId="39" xfId="0" applyFont="1" applyBorder="1" applyAlignment="1">
      <alignment horizontal="left" vertical="center"/>
    </xf>
    <xf numFmtId="0" fontId="2" fillId="0" borderId="40" xfId="0" applyFont="1" applyBorder="1" applyAlignment="1">
      <alignment horizontal="left" vertical="center" shrinkToFit="1"/>
    </xf>
    <xf numFmtId="0" fontId="7" fillId="15" borderId="50" xfId="0" applyFont="1" applyFill="1" applyBorder="1" applyAlignment="1">
      <alignment horizontal="centerContinuous" vertical="center"/>
    </xf>
    <xf numFmtId="0" fontId="55" fillId="2" borderId="4" xfId="0" applyFont="1" applyFill="1" applyBorder="1" applyAlignment="1">
      <alignment horizontal="right"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84">
    <dxf>
      <fill>
        <patternFill>
          <bgColor rgb="FFFF0000"/>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0000"/>
      <color rgb="FFCC99FF"/>
      <color rgb="FF9900FF"/>
      <color rgb="FFCCFFCC"/>
      <color rgb="FF00FF00"/>
      <color rgb="FFFFCCFF"/>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15      DR 5/+1</a:t>
          </a:r>
        </a:p>
        <a:p>
          <a:pPr algn="ctr" rtl="0"/>
          <a:r>
            <a:rPr lang="en-US" sz="1200" b="0" i="1" baseline="0">
              <a:solidFill>
                <a:schemeClr val="bg1"/>
              </a:solidFill>
              <a:latin typeface="Times New Roman" panose="02020603050405020304" pitchFamily="18" charset="0"/>
              <a:cs typeface="Times New Roman" panose="02020603050405020304" pitchFamily="18" charset="0"/>
            </a:rPr>
            <a:t>Aura of Menace        Scent      Tongues      +4 Save vs Poison</a:t>
          </a:r>
        </a:p>
      </xdr:txBody>
    </xdr:sp>
    <xdr:clientData/>
  </xdr:twoCellAnchor>
  <xdr:twoCellAnchor editAs="oneCell">
    <xdr:from>
      <xdr:col>5</xdr:col>
      <xdr:colOff>206350</xdr:colOff>
      <xdr:row>1</xdr:row>
      <xdr:rowOff>83821</xdr:rowOff>
    </xdr:from>
    <xdr:to>
      <xdr:col>6</xdr:col>
      <xdr:colOff>904638</xdr:colOff>
      <xdr:row>15</xdr:row>
      <xdr:rowOff>182881</xdr:rowOff>
    </xdr:to>
    <xdr:pic>
      <xdr:nvPicPr>
        <xdr:cNvPr id="4" name="Picture 3">
          <a:extLst>
            <a:ext uri="{FF2B5EF4-FFF2-40B4-BE49-F238E27FC236}">
              <a16:creationId xmlns:a16="http://schemas.microsoft.com/office/drawing/2014/main" id="{0B0BA075-0D75-4B1D-A4C2-B8AEE4840F02}"/>
            </a:ext>
          </a:extLst>
        </xdr:cNvPr>
        <xdr:cNvPicPr>
          <a:picLocks noChangeAspect="1"/>
        </xdr:cNvPicPr>
      </xdr:nvPicPr>
      <xdr:blipFill>
        <a:blip xmlns:r="http://schemas.openxmlformats.org/officeDocument/2006/relationships" r:embed="rId1"/>
        <a:stretch>
          <a:fillRect/>
        </a:stretch>
      </xdr:blipFill>
      <xdr:spPr>
        <a:xfrm>
          <a:off x="4709770" y="457201"/>
          <a:ext cx="1726988" cy="312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114300</xdr:colOff>
      <xdr:row>0</xdr:row>
      <xdr:rowOff>91440</xdr:rowOff>
    </xdr:from>
    <xdr:to>
      <xdr:col>14</xdr:col>
      <xdr:colOff>91440</xdr:colOff>
      <xdr:row>20</xdr:row>
      <xdr:rowOff>45720</xdr:rowOff>
    </xdr:to>
    <xdr:sp macro="" textlink="">
      <xdr:nvSpPr>
        <xdr:cNvPr id="3" name="TextBox 2">
          <a:extLst>
            <a:ext uri="{FF2B5EF4-FFF2-40B4-BE49-F238E27FC236}">
              <a16:creationId xmlns:a16="http://schemas.microsoft.com/office/drawing/2014/main" id="{4C79CDA6-1697-4B3E-956F-C449F5C1F484}"/>
            </a:ext>
          </a:extLst>
        </xdr:cNvPr>
        <xdr:cNvSpPr txBox="1"/>
      </xdr:nvSpPr>
      <xdr:spPr>
        <a:xfrm>
          <a:off x="4267200" y="91440"/>
          <a:ext cx="8382000" cy="456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Charmer: </a:t>
          </a:r>
        </a:p>
        <a:p>
          <a:r>
            <a:rPr lang="en-US" sz="1100">
              <a:solidFill>
                <a:schemeClr val="dk1"/>
              </a:solidFill>
              <a:effectLst/>
              <a:latin typeface="+mn-lt"/>
              <a:ea typeface="+mn-ea"/>
              <a:cs typeface="+mn-cs"/>
            </a:rPr>
            <a:t>	o   Majestic Argali (Afghan Hound) </a:t>
          </a:r>
        </a:p>
        <a:p>
          <a:r>
            <a:rPr lang="en-US" sz="1100">
              <a:solidFill>
                <a:schemeClr val="dk1"/>
              </a:solidFill>
              <a:effectLst/>
              <a:latin typeface="+mn-lt"/>
              <a:ea typeface="+mn-ea"/>
              <a:cs typeface="+mn-cs"/>
            </a:rPr>
            <a:t>•         Misc. Breeds: </a:t>
          </a:r>
        </a:p>
        <a:p>
          <a:r>
            <a:rPr lang="en-US" sz="1100">
              <a:solidFill>
                <a:schemeClr val="dk1"/>
              </a:solidFill>
              <a:effectLst/>
              <a:latin typeface="+mn-lt"/>
              <a:ea typeface="+mn-ea"/>
              <a:cs typeface="+mn-cs"/>
            </a:rPr>
            <a:t>	o   Miniature Short-tailed Zorse (Miniature Schnauzer) – A small but powerful breed the stand 12 inches tall at the shoulders and weigh in at 10-15 pounds.  They are good diggers and are bred to go after rats, mice and other small rodents.  (Possible bonus to digging speed in dirt?)  </a:t>
          </a:r>
        </a:p>
        <a:p>
          <a:r>
            <a:rPr lang="en-US" sz="1100">
              <a:solidFill>
                <a:schemeClr val="dk1"/>
              </a:solidFill>
              <a:effectLst/>
              <a:latin typeface="+mn-lt"/>
              <a:ea typeface="+mn-ea"/>
              <a:cs typeface="+mn-cs"/>
            </a:rPr>
            <a:t>•         Scout Breeds: </a:t>
          </a:r>
        </a:p>
        <a:p>
          <a:r>
            <a:rPr lang="en-US" sz="1100">
              <a:solidFill>
                <a:schemeClr val="dk1"/>
              </a:solidFill>
              <a:effectLst/>
              <a:latin typeface="+mn-lt"/>
              <a:ea typeface="+mn-ea"/>
              <a:cs typeface="+mn-cs"/>
            </a:rPr>
            <a:t>	o   Maroon-Spotted Dog (German Short-haired Pointer) </a:t>
          </a:r>
        </a:p>
        <a:p>
          <a:r>
            <a:rPr lang="en-US" sz="1100">
              <a:solidFill>
                <a:schemeClr val="dk1"/>
              </a:solidFill>
              <a:effectLst/>
              <a:latin typeface="+mn-lt"/>
              <a:ea typeface="+mn-ea"/>
              <a:cs typeface="+mn-cs"/>
            </a:rPr>
            <a:t>•         Sneaker:  </a:t>
          </a:r>
        </a:p>
        <a:p>
          <a:r>
            <a:rPr lang="en-US" sz="1100">
              <a:solidFill>
                <a:schemeClr val="dk1"/>
              </a:solidFill>
              <a:effectLst/>
              <a:latin typeface="+mn-lt"/>
              <a:ea typeface="+mn-ea"/>
              <a:cs typeface="+mn-cs"/>
            </a:rPr>
            <a:t>	o   Smokey-furred Whippet (Chihuahua) – A very small breed perfect for sneaking in and out of places quietly.  (?? To AC (+? Size +? Agility - ? Natural Armor.  +4 to all Hide and Move Silently checks. Also receives a -5 to all To-Hit and Damage Checks) </a:t>
          </a:r>
        </a:p>
        <a:p>
          <a:r>
            <a:rPr lang="en-US" sz="1100">
              <a:solidFill>
                <a:schemeClr val="dk1"/>
              </a:solidFill>
              <a:effectLst/>
              <a:latin typeface="+mn-lt"/>
              <a:ea typeface="+mn-ea"/>
              <a:cs typeface="+mn-cs"/>
            </a:rPr>
            <a:t>•         Sprinter Breeds: </a:t>
          </a:r>
        </a:p>
        <a:p>
          <a:r>
            <a:rPr lang="en-US" sz="1100">
              <a:solidFill>
                <a:schemeClr val="dk1"/>
              </a:solidFill>
              <a:effectLst/>
              <a:latin typeface="+mn-lt"/>
              <a:ea typeface="+mn-ea"/>
              <a:cs typeface="+mn-cs"/>
            </a:rPr>
            <a:t>	o   Zakhara Hound (Pharaoh Hound/Whippet) – Excellent speed over short distances.  (Running speed is x3 instead of x2’.  After 200 yards receives a -2 Penalty to Endurance Checks.  Also, must rest for at least 4 hours and pass a Constitution check or a full 8 hours before sprinting again.) </a:t>
          </a:r>
        </a:p>
        <a:p>
          <a:r>
            <a:rPr lang="en-US" sz="1100">
              <a:solidFill>
                <a:schemeClr val="dk1"/>
              </a:solidFill>
              <a:effectLst/>
              <a:latin typeface="+mn-lt"/>
              <a:ea typeface="+mn-ea"/>
              <a:cs typeface="+mn-cs"/>
            </a:rPr>
            <a:t>	o   Greyhound (Greyhound) – Excellent speed over short distances and excellent eye sight.  (Running speed is x3.5 instead of x2.  After 150 yards receives a -2 Penalty to Endurance Checks.  Also, must rest for at least 4 hours and pass a Constitution check or a full 8 hours before sprinting again.)</a:t>
          </a:r>
        </a:p>
        <a:p>
          <a:r>
            <a:rPr lang="en-US" sz="1100">
              <a:solidFill>
                <a:schemeClr val="dk1"/>
              </a:solidFill>
              <a:effectLst/>
              <a:latin typeface="+mn-lt"/>
              <a:ea typeface="+mn-ea"/>
              <a:cs typeface="+mn-cs"/>
            </a:rPr>
            <a:t>•         Warrior Breeds:  </a:t>
          </a:r>
        </a:p>
        <a:p>
          <a:r>
            <a:rPr lang="en-US" sz="1100">
              <a:solidFill>
                <a:schemeClr val="dk1"/>
              </a:solidFill>
              <a:effectLst/>
              <a:latin typeface="+mn-lt"/>
              <a:ea typeface="+mn-ea"/>
              <a:cs typeface="+mn-cs"/>
            </a:rPr>
            <a:t>	o   Great Dale Hound (Irish Wolf Hound) – Increase Endurance from its long legs (+2 extra turns before Endurance Check is needed while running &amp; receives a +1 Bonus to those checks.).  Also, due to size and strength it does greater damage (receives a +1 to Damage from Bite and Claw attacks)   </a:t>
          </a:r>
        </a:p>
        <a:p>
          <a:r>
            <a:rPr lang="en-US" sz="1100">
              <a:solidFill>
                <a:schemeClr val="dk1"/>
              </a:solidFill>
              <a:effectLst/>
              <a:latin typeface="+mn-lt"/>
              <a:ea typeface="+mn-ea"/>
              <a:cs typeface="+mn-cs"/>
            </a:rPr>
            <a:t>	o   Giant Short-tailed Zorse (Giant Schnauzer) </a:t>
          </a:r>
        </a:p>
        <a:p>
          <a:r>
            <a:rPr lang="en-US" sz="1100">
              <a:solidFill>
                <a:schemeClr val="dk1"/>
              </a:solidFill>
              <a:effectLst/>
              <a:latin typeface="+mn-lt"/>
              <a:ea typeface="+mn-ea"/>
              <a:cs typeface="+mn-cs"/>
            </a:rPr>
            <a:t>•         Working Breeds: </a:t>
          </a:r>
        </a:p>
        <a:p>
          <a:r>
            <a:rPr lang="en-US" sz="1100">
              <a:solidFill>
                <a:schemeClr val="dk1"/>
              </a:solidFill>
              <a:effectLst/>
              <a:latin typeface="+mn-lt"/>
              <a:ea typeface="+mn-ea"/>
              <a:cs typeface="+mn-cs"/>
            </a:rPr>
            <a:t>	o   Standard Short-tailed Zorse (Schnauzer) </a:t>
          </a:r>
        </a:p>
        <a:p>
          <a:r>
            <a:rPr lang="en-US" sz="1100">
              <a:solidFill>
                <a:schemeClr val="dk1"/>
              </a:solidFill>
              <a:effectLst/>
              <a:latin typeface="+mn-lt"/>
              <a:ea typeface="+mn-ea"/>
              <a:cs typeface="+mn-cs"/>
            </a:rPr>
            <a:t>	o   Icewind Dale Hound (Alaskan Malamute/Siberian Husky)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93345</xdr:colOff>
      <xdr:row>1</xdr:row>
      <xdr:rowOff>123825</xdr:rowOff>
    </xdr:from>
    <xdr:to>
      <xdr:col>3</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45720</xdr:colOff>
      <xdr:row>0</xdr:row>
      <xdr:rowOff>144780</xdr:rowOff>
    </xdr:from>
    <xdr:to>
      <xdr:col>14</xdr:col>
      <xdr:colOff>83820</xdr:colOff>
      <xdr:row>29</xdr:row>
      <xdr:rowOff>45720</xdr:rowOff>
    </xdr:to>
    <xdr:sp macro="" textlink="">
      <xdr:nvSpPr>
        <xdr:cNvPr id="2" name="TextBox 1">
          <a:extLst>
            <a:ext uri="{FF2B5EF4-FFF2-40B4-BE49-F238E27FC236}">
              <a16:creationId xmlns:a16="http://schemas.microsoft.com/office/drawing/2014/main" id="{EBC1B22E-A151-443E-8434-E2E1AF409FF9}"/>
            </a:ext>
          </a:extLst>
        </xdr:cNvPr>
        <xdr:cNvSpPr txBox="1"/>
      </xdr:nvSpPr>
      <xdr:spPr>
        <a:xfrm>
          <a:off x="6012180" y="144780"/>
          <a:ext cx="7581900" cy="5646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Level 9: </a:t>
          </a:r>
          <a:endParaRPr lang="en-US" sz="1100">
            <a:solidFill>
              <a:schemeClr val="dk1"/>
            </a:solidFill>
            <a:effectLst/>
            <a:latin typeface="+mn-lt"/>
            <a:ea typeface="+mn-ea"/>
            <a:cs typeface="+mn-cs"/>
          </a:endParaRPr>
        </a:p>
        <a:p>
          <a:pPr lvl="0" fontAlgn="base"/>
          <a:r>
            <a:rPr lang="en-US" sz="1100" b="1">
              <a:solidFill>
                <a:schemeClr val="dk1"/>
              </a:solidFill>
              <a:effectLst/>
              <a:latin typeface="+mn-lt"/>
              <a:ea typeface="+mn-ea"/>
              <a:cs typeface="+mn-cs"/>
            </a:rPr>
            <a:t>Class: </a:t>
          </a:r>
          <a:r>
            <a:rPr lang="en-US" sz="1100">
              <a:solidFill>
                <a:schemeClr val="dk1"/>
              </a:solidFill>
              <a:effectLst/>
              <a:latin typeface="+mn-lt"/>
              <a:ea typeface="+mn-ea"/>
              <a:cs typeface="+mn-cs"/>
            </a:rPr>
            <a:t>Ranger (Level 2) </a:t>
          </a:r>
        </a:p>
        <a:p>
          <a:pPr lvl="0" fontAlgn="base"/>
          <a:r>
            <a:rPr lang="en-US" sz="1100" b="1">
              <a:solidFill>
                <a:schemeClr val="dk1"/>
              </a:solidFill>
              <a:effectLst/>
              <a:latin typeface="+mn-lt"/>
              <a:ea typeface="+mn-ea"/>
              <a:cs typeface="+mn-cs"/>
            </a:rPr>
            <a:t>Feats/Attribute Increase: </a:t>
          </a:r>
          <a:r>
            <a:rPr lang="en-US" sz="1100">
              <a:solidFill>
                <a:schemeClr val="dk1"/>
              </a:solidFill>
              <a:effectLst/>
              <a:latin typeface="+mn-lt"/>
              <a:ea typeface="+mn-ea"/>
              <a:cs typeface="+mn-cs"/>
            </a:rPr>
            <a:t>None</a:t>
          </a:r>
        </a:p>
        <a:p>
          <a:pPr lvl="0" fontAlgn="base"/>
          <a:r>
            <a:rPr lang="en-US" sz="1100" b="1">
              <a:solidFill>
                <a:schemeClr val="dk1"/>
              </a:solidFill>
              <a:effectLst/>
              <a:latin typeface="+mn-lt"/>
              <a:ea typeface="+mn-ea"/>
              <a:cs typeface="+mn-cs"/>
            </a:rPr>
            <a:t>Skill Points:</a:t>
          </a:r>
          <a:r>
            <a:rPr lang="en-US" sz="1100">
              <a:solidFill>
                <a:schemeClr val="dk1"/>
              </a:solidFill>
              <a:effectLst/>
              <a:latin typeface="+mn-lt"/>
              <a:ea typeface="+mn-ea"/>
              <a:cs typeface="+mn-cs"/>
            </a:rPr>
            <a:t> (6 + INT Modifier) = 6  (Climb +1, Hide +1, Jump +1, Listen +1 and Use Rope +2)</a:t>
          </a:r>
        </a:p>
        <a:p>
          <a:pPr lvl="0" fontAlgn="base"/>
          <a:r>
            <a:rPr lang="en-US" sz="1100" b="1">
              <a:solidFill>
                <a:schemeClr val="dk1"/>
              </a:solidFill>
              <a:effectLst/>
              <a:latin typeface="+mn-lt"/>
              <a:ea typeface="+mn-ea"/>
              <a:cs typeface="+mn-cs"/>
            </a:rPr>
            <a:t>Hit Point Increase: </a:t>
          </a:r>
          <a:r>
            <a:rPr lang="en-US" sz="1100">
              <a:solidFill>
                <a:schemeClr val="dk1"/>
              </a:solidFill>
              <a:effectLst/>
              <a:latin typeface="+mn-lt"/>
              <a:ea typeface="+mn-ea"/>
              <a:cs typeface="+mn-cs"/>
            </a:rPr>
            <a:t>d8 + CON Modifier (7 HD) </a:t>
          </a:r>
        </a:p>
        <a:p>
          <a:pPr lvl="0" fontAlgn="base"/>
          <a:r>
            <a:rPr lang="en-US" sz="1100" b="1">
              <a:solidFill>
                <a:schemeClr val="dk1"/>
              </a:solidFill>
              <a:effectLst/>
              <a:latin typeface="+mn-lt"/>
              <a:ea typeface="+mn-ea"/>
              <a:cs typeface="+mn-cs"/>
            </a:rPr>
            <a:t>Proficiencies/Class Abilities: </a:t>
          </a:r>
          <a:r>
            <a:rPr lang="en-US" sz="1100">
              <a:solidFill>
                <a:schemeClr val="dk1"/>
              </a:solidFill>
              <a:effectLst/>
              <a:latin typeface="+mn-lt"/>
              <a:ea typeface="+mn-ea"/>
              <a:cs typeface="+mn-cs"/>
            </a:rPr>
            <a:t> Combat Style (Ranged Weapons) </a:t>
          </a:r>
        </a:p>
        <a:p>
          <a:pPr lvl="0" fontAlgn="base"/>
          <a:r>
            <a:rPr lang="en-US" sz="1100" b="1">
              <a:solidFill>
                <a:schemeClr val="dk1"/>
              </a:solidFill>
              <a:effectLst/>
              <a:latin typeface="+mn-lt"/>
              <a:ea typeface="+mn-ea"/>
              <a:cs typeface="+mn-cs"/>
            </a:rPr>
            <a:t>Equity Increase: </a:t>
          </a:r>
          <a:r>
            <a:rPr lang="en-US" sz="1100">
              <a:solidFill>
                <a:schemeClr val="dk1"/>
              </a:solidFill>
              <a:effectLst/>
              <a:latin typeface="+mn-lt"/>
              <a:ea typeface="+mn-ea"/>
              <a:cs typeface="+mn-cs"/>
            </a:rPr>
            <a:t>+9,000gp (Total: 36,000gp) </a:t>
          </a:r>
        </a:p>
        <a:p>
          <a:pPr lvl="0" fontAlgn="base"/>
          <a:r>
            <a:rPr lang="en-US" sz="1100" b="1">
              <a:solidFill>
                <a:schemeClr val="dk1"/>
              </a:solidFill>
              <a:effectLst/>
              <a:latin typeface="+mn-lt"/>
              <a:ea typeface="+mn-ea"/>
              <a:cs typeface="+mn-cs"/>
            </a:rPr>
            <a:t>Equipment/Magic Item Purchase &amp; Upgrade:</a:t>
          </a:r>
          <a:r>
            <a:rPr lang="en-US" sz="1100">
              <a:solidFill>
                <a:schemeClr val="dk1"/>
              </a:solidFill>
              <a:effectLst/>
              <a:latin typeface="+mn-lt"/>
              <a:ea typeface="+mn-ea"/>
              <a:cs typeface="+mn-cs"/>
            </a:rPr>
            <a:t>  Magic Bedroll (500gp), Ring of Climbing (2,500gp), &amp; Scouts Headband (3,400gp) </a:t>
          </a:r>
        </a:p>
        <a:p>
          <a:pPr lvl="0" fontAlgn="base"/>
          <a:r>
            <a:rPr lang="en-US" sz="1100" b="1">
              <a:solidFill>
                <a:schemeClr val="dk1"/>
              </a:solidFill>
              <a:effectLst/>
              <a:latin typeface="+mn-lt"/>
              <a:ea typeface="+mn-ea"/>
              <a:cs typeface="+mn-cs"/>
            </a:rPr>
            <a:t>Armor/Weapon Purchases &amp; Upgrades:</a:t>
          </a:r>
          <a:r>
            <a:rPr lang="en-US" sz="1100">
              <a:solidFill>
                <a:schemeClr val="dk1"/>
              </a:solidFill>
              <a:effectLst/>
              <a:latin typeface="+mn-lt"/>
              <a:ea typeface="+mn-ea"/>
              <a:cs typeface="+mn-cs"/>
            </a:rPr>
            <a:t>  Upgrade Silvered Hand Axe to MW +1 Silvered Hand Axe (+2300gp) (Drop MW Short Sword and Normal Hand Axe to save 5 pounds and gain 306 gp Equity) </a:t>
          </a:r>
        </a:p>
        <a:p>
          <a:pPr lvl="0" fontAlgn="base"/>
          <a:r>
            <a:rPr lang="en-US" sz="1100" b="1">
              <a:solidFill>
                <a:schemeClr val="dk1"/>
              </a:solidFill>
              <a:effectLst/>
              <a:latin typeface="+mn-lt"/>
              <a:ea typeface="+mn-ea"/>
              <a:cs typeface="+mn-cs"/>
            </a:rPr>
            <a:t>Equity Total:</a:t>
          </a:r>
          <a:r>
            <a:rPr lang="en-US" sz="1100">
              <a:solidFill>
                <a:schemeClr val="dk1"/>
              </a:solidFill>
              <a:effectLst/>
              <a:latin typeface="+mn-lt"/>
              <a:ea typeface="+mn-ea"/>
              <a:cs typeface="+mn-cs"/>
            </a:rPr>
            <a:t>  34,202gp + 1,898gp in Coins and Misc. Equipment </a:t>
          </a:r>
        </a:p>
        <a:p>
          <a:r>
            <a:rPr lang="en-US" sz="1100">
              <a:solidFill>
                <a:schemeClr val="dk1"/>
              </a:solidFill>
              <a:effectLst/>
              <a:latin typeface="+mn-lt"/>
              <a:ea typeface="+mn-ea"/>
              <a:cs typeface="+mn-cs"/>
            </a:rPr>
            <a:t> </a:t>
          </a:r>
        </a:p>
        <a:p>
          <a:pPr lvl="0" fontAlgn="base"/>
          <a:r>
            <a:rPr lang="en-US" sz="1100" b="1">
              <a:solidFill>
                <a:schemeClr val="dk1"/>
              </a:solidFill>
              <a:effectLst/>
              <a:latin typeface="+mn-lt"/>
              <a:ea typeface="+mn-ea"/>
              <a:cs typeface="+mn-cs"/>
            </a:rPr>
            <a:t>Level 10: </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Class:</a:t>
          </a:r>
          <a:r>
            <a:rPr lang="en-US" sz="1100">
              <a:solidFill>
                <a:schemeClr val="dk1"/>
              </a:solidFill>
              <a:effectLst/>
              <a:latin typeface="+mn-lt"/>
              <a:ea typeface="+mn-ea"/>
              <a:cs typeface="+mn-cs"/>
            </a:rPr>
            <a:t> Hound Archon (level 8) </a:t>
          </a:r>
        </a:p>
        <a:p>
          <a:pPr lvl="0" fontAlgn="base"/>
          <a:r>
            <a:rPr lang="en-US" sz="1100" b="1">
              <a:solidFill>
                <a:schemeClr val="dk1"/>
              </a:solidFill>
              <a:effectLst/>
              <a:latin typeface="+mn-lt"/>
              <a:ea typeface="+mn-ea"/>
              <a:cs typeface="+mn-cs"/>
            </a:rPr>
            <a:t>Feats/Attribute Increase: </a:t>
          </a:r>
          <a:r>
            <a:rPr lang="en-US" sz="1100">
              <a:solidFill>
                <a:schemeClr val="dk1"/>
              </a:solidFill>
              <a:effectLst/>
              <a:latin typeface="+mn-lt"/>
              <a:ea typeface="+mn-ea"/>
              <a:cs typeface="+mn-cs"/>
            </a:rPr>
            <a:t>None</a:t>
          </a:r>
        </a:p>
        <a:p>
          <a:pPr lvl="0" fontAlgn="base"/>
          <a:r>
            <a:rPr lang="en-US" sz="1100" b="1">
              <a:solidFill>
                <a:schemeClr val="dk1"/>
              </a:solidFill>
              <a:effectLst/>
              <a:latin typeface="+mn-lt"/>
              <a:ea typeface="+mn-ea"/>
              <a:cs typeface="+mn-cs"/>
            </a:rPr>
            <a:t>Skill Points: </a:t>
          </a:r>
          <a:r>
            <a:rPr lang="en-US" sz="1100">
              <a:solidFill>
                <a:schemeClr val="dk1"/>
              </a:solidFill>
              <a:effectLst/>
              <a:latin typeface="+mn-lt"/>
              <a:ea typeface="+mn-ea"/>
              <a:cs typeface="+mn-cs"/>
            </a:rPr>
            <a:t>None </a:t>
          </a:r>
        </a:p>
        <a:p>
          <a:pPr lvl="0" fontAlgn="base"/>
          <a:r>
            <a:rPr lang="en-US" sz="1100" b="1">
              <a:solidFill>
                <a:schemeClr val="dk1"/>
              </a:solidFill>
              <a:effectLst/>
              <a:latin typeface="+mn-lt"/>
              <a:ea typeface="+mn-ea"/>
              <a:cs typeface="+mn-cs"/>
            </a:rPr>
            <a:t>Hit Point Increase:</a:t>
          </a:r>
          <a:r>
            <a:rPr lang="en-US" sz="1100">
              <a:solidFill>
                <a:schemeClr val="dk1"/>
              </a:solidFill>
              <a:effectLst/>
              <a:latin typeface="+mn-lt"/>
              <a:ea typeface="+mn-ea"/>
              <a:cs typeface="+mn-cs"/>
            </a:rPr>
            <a:t> None (7 HD)</a:t>
          </a:r>
        </a:p>
        <a:p>
          <a:pPr lvl="0" fontAlgn="base"/>
          <a:r>
            <a:rPr lang="en-US" sz="1100" b="1">
              <a:solidFill>
                <a:schemeClr val="dk1"/>
              </a:solidFill>
              <a:effectLst/>
              <a:latin typeface="+mn-lt"/>
              <a:ea typeface="+mn-ea"/>
              <a:cs typeface="+mn-cs"/>
            </a:rPr>
            <a:t>Proficiencies / Class Abilities:</a:t>
          </a:r>
          <a:r>
            <a:rPr lang="en-US" sz="1100">
              <a:solidFill>
                <a:schemeClr val="dk1"/>
              </a:solidFill>
              <a:effectLst/>
              <a:latin typeface="+mn-lt"/>
              <a:ea typeface="+mn-ea"/>
              <a:cs typeface="+mn-cs"/>
            </a:rPr>
            <a:t> Spell Resistance 13 &amp; +8 Natural AC </a:t>
          </a:r>
        </a:p>
        <a:p>
          <a:pPr lvl="0" fontAlgn="base"/>
          <a:r>
            <a:rPr lang="en-US" sz="1100" b="1">
              <a:solidFill>
                <a:schemeClr val="dk1"/>
              </a:solidFill>
              <a:effectLst/>
              <a:latin typeface="+mn-lt"/>
              <a:ea typeface="+mn-ea"/>
              <a:cs typeface="+mn-cs"/>
            </a:rPr>
            <a:t>Equity Increase: </a:t>
          </a:r>
          <a:r>
            <a:rPr lang="en-US" sz="1100">
              <a:solidFill>
                <a:schemeClr val="dk1"/>
              </a:solidFill>
              <a:effectLst/>
              <a:latin typeface="+mn-lt"/>
              <a:ea typeface="+mn-ea"/>
              <a:cs typeface="+mn-cs"/>
            </a:rPr>
            <a:t>13,000gp (Total: 49,000gp) </a:t>
          </a:r>
        </a:p>
        <a:p>
          <a:pPr lvl="0" fontAlgn="base"/>
          <a:r>
            <a:rPr lang="en-US" sz="1100" b="1">
              <a:solidFill>
                <a:schemeClr val="dk1"/>
              </a:solidFill>
              <a:effectLst/>
              <a:latin typeface="+mn-lt"/>
              <a:ea typeface="+mn-ea"/>
              <a:cs typeface="+mn-cs"/>
            </a:rPr>
            <a:t>Equipment/Magic Items:</a:t>
          </a:r>
          <a:r>
            <a:rPr lang="en-US" sz="1100">
              <a:solidFill>
                <a:schemeClr val="dk1"/>
              </a:solidFill>
              <a:effectLst/>
              <a:latin typeface="+mn-lt"/>
              <a:ea typeface="+mn-ea"/>
              <a:cs typeface="+mn-cs"/>
            </a:rPr>
            <a:t>  Goodberry Bracelet (2,000gp), Gloves of Lighting (2,000gp), Ring of Water Breathing (6,000gp) (Drop Ring or Protection +1 to gain 2,000 gp Equity.) </a:t>
          </a:r>
        </a:p>
        <a:p>
          <a:pPr lvl="0" fontAlgn="base"/>
          <a:r>
            <a:rPr lang="en-US" sz="1100" b="1">
              <a:solidFill>
                <a:schemeClr val="dk1"/>
              </a:solidFill>
              <a:effectLst/>
              <a:latin typeface="+mn-lt"/>
              <a:ea typeface="+mn-ea"/>
              <a:cs typeface="+mn-cs"/>
            </a:rPr>
            <a:t>Armor/Weapons:</a:t>
          </a:r>
          <a:r>
            <a:rPr lang="en-US" sz="1100">
              <a:solidFill>
                <a:schemeClr val="dk1"/>
              </a:solidFill>
              <a:effectLst/>
              <a:latin typeface="+mn-lt"/>
              <a:ea typeface="+mn-ea"/>
              <a:cs typeface="+mn-cs"/>
            </a:rPr>
            <a:t> Add Blessed (+1 Bonus/6,000gp) to Long Sword +1 </a:t>
          </a:r>
        </a:p>
        <a:p>
          <a:pPr lvl="0" fontAlgn="base"/>
          <a:r>
            <a:rPr lang="en-US" sz="1100" b="1">
              <a:solidFill>
                <a:schemeClr val="dk1"/>
              </a:solidFill>
              <a:effectLst/>
              <a:latin typeface="+mn-lt"/>
              <a:ea typeface="+mn-ea"/>
              <a:cs typeface="+mn-cs"/>
            </a:rPr>
            <a:t>Equity Total:</a:t>
          </a:r>
          <a:r>
            <a:rPr lang="en-US" sz="1100">
              <a:solidFill>
                <a:schemeClr val="dk1"/>
              </a:solidFill>
              <a:effectLst/>
              <a:latin typeface="+mn-lt"/>
              <a:ea typeface="+mn-ea"/>
              <a:cs typeface="+mn-cs"/>
            </a:rPr>
            <a:t> 48,202gp + 898gp in Coins and Misc. Equipment  </a:t>
          </a:r>
        </a:p>
        <a:p>
          <a:r>
            <a:rPr lang="en-US" sz="1100">
              <a:solidFill>
                <a:schemeClr val="dk1"/>
              </a:solidFill>
              <a:effectLst/>
              <a:latin typeface="+mn-lt"/>
              <a:ea typeface="+mn-ea"/>
              <a:cs typeface="+mn-cs"/>
            </a:rPr>
            <a:t> </a:t>
          </a:r>
        </a:p>
        <a:p>
          <a:pPr lvl="0" fontAlgn="base"/>
          <a:r>
            <a:rPr lang="en-US" sz="1100" b="1">
              <a:solidFill>
                <a:schemeClr val="dk1"/>
              </a:solidFill>
              <a:effectLst/>
              <a:latin typeface="+mn-lt"/>
              <a:ea typeface="+mn-ea"/>
              <a:cs typeface="+mn-cs"/>
            </a:rPr>
            <a:t>Level 11: </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Class:</a:t>
          </a:r>
          <a:r>
            <a:rPr lang="en-US" sz="1100">
              <a:solidFill>
                <a:schemeClr val="dk1"/>
              </a:solidFill>
              <a:effectLst/>
              <a:latin typeface="+mn-lt"/>
              <a:ea typeface="+mn-ea"/>
              <a:cs typeface="+mn-cs"/>
            </a:rPr>
            <a:t> Hound Archon (level 9) </a:t>
          </a:r>
        </a:p>
        <a:p>
          <a:pPr lvl="0" fontAlgn="base"/>
          <a:r>
            <a:rPr lang="en-US" sz="1100" b="1">
              <a:solidFill>
                <a:schemeClr val="dk1"/>
              </a:solidFill>
              <a:effectLst/>
              <a:latin typeface="+mn-lt"/>
              <a:ea typeface="+mn-ea"/>
              <a:cs typeface="+mn-cs"/>
            </a:rPr>
            <a:t>Feats/Attribute Increase: </a:t>
          </a:r>
          <a:r>
            <a:rPr lang="en-US" sz="1100">
              <a:solidFill>
                <a:schemeClr val="dk1"/>
              </a:solidFill>
              <a:effectLst/>
              <a:latin typeface="+mn-lt"/>
              <a:ea typeface="+mn-ea"/>
              <a:cs typeface="+mn-cs"/>
            </a:rPr>
            <a:t>Attribute Increase (+1 to DEX)</a:t>
          </a:r>
        </a:p>
        <a:p>
          <a:pPr lvl="0" fontAlgn="base"/>
          <a:r>
            <a:rPr lang="en-US" sz="1100" b="1">
              <a:solidFill>
                <a:schemeClr val="dk1"/>
              </a:solidFill>
              <a:effectLst/>
              <a:latin typeface="+mn-lt"/>
              <a:ea typeface="+mn-ea"/>
              <a:cs typeface="+mn-cs"/>
            </a:rPr>
            <a:t>Skill Points: </a:t>
          </a:r>
          <a:r>
            <a:rPr lang="en-US" sz="1100">
              <a:solidFill>
                <a:schemeClr val="dk1"/>
              </a:solidFill>
              <a:effectLst/>
              <a:latin typeface="+mn-lt"/>
              <a:ea typeface="+mn-ea"/>
              <a:cs typeface="+mn-cs"/>
            </a:rPr>
            <a:t>8 + INT Mod = 8 (Climb +1, Hide +1, Jump +2, Listen +2 and Use Rope +2) </a:t>
          </a:r>
        </a:p>
        <a:p>
          <a:pPr lvl="0" fontAlgn="base"/>
          <a:r>
            <a:rPr lang="en-US" sz="1100" b="1">
              <a:solidFill>
                <a:schemeClr val="dk1"/>
              </a:solidFill>
              <a:effectLst/>
              <a:latin typeface="+mn-lt"/>
              <a:ea typeface="+mn-ea"/>
              <a:cs typeface="+mn-cs"/>
            </a:rPr>
            <a:t>Hit Point Increase:</a:t>
          </a:r>
          <a:r>
            <a:rPr lang="en-US" sz="1100">
              <a:solidFill>
                <a:schemeClr val="dk1"/>
              </a:solidFill>
              <a:effectLst/>
              <a:latin typeface="+mn-lt"/>
              <a:ea typeface="+mn-ea"/>
              <a:cs typeface="+mn-cs"/>
            </a:rPr>
            <a:t> d8 + CON Modifier (8 HD) </a:t>
          </a:r>
        </a:p>
        <a:p>
          <a:pPr lvl="0" fontAlgn="base"/>
          <a:r>
            <a:rPr lang="en-US" sz="1100" b="1">
              <a:solidFill>
                <a:schemeClr val="dk1"/>
              </a:solidFill>
              <a:effectLst/>
              <a:latin typeface="+mn-lt"/>
              <a:ea typeface="+mn-ea"/>
              <a:cs typeface="+mn-cs"/>
            </a:rPr>
            <a:t>Proficiencies / Class Abilities:</a:t>
          </a:r>
          <a:r>
            <a:rPr lang="en-US" sz="1100">
              <a:solidFill>
                <a:schemeClr val="dk1"/>
              </a:solidFill>
              <a:effectLst/>
              <a:latin typeface="+mn-lt"/>
              <a:ea typeface="+mn-ea"/>
              <a:cs typeface="+mn-cs"/>
            </a:rPr>
            <a:t> BAB +6/+1, DR 10/+1, +2 to CHArisma</a:t>
          </a:r>
        </a:p>
        <a:p>
          <a:pPr lvl="0" fontAlgn="base"/>
          <a:r>
            <a:rPr lang="en-US" sz="1100" b="1">
              <a:solidFill>
                <a:schemeClr val="dk1"/>
              </a:solidFill>
              <a:effectLst/>
              <a:latin typeface="+mn-lt"/>
              <a:ea typeface="+mn-ea"/>
              <a:cs typeface="+mn-cs"/>
            </a:rPr>
            <a:t>Equity Increase: </a:t>
          </a:r>
          <a:r>
            <a:rPr lang="en-US" sz="1100">
              <a:solidFill>
                <a:schemeClr val="dk1"/>
              </a:solidFill>
              <a:effectLst/>
              <a:latin typeface="+mn-lt"/>
              <a:ea typeface="+mn-ea"/>
              <a:cs typeface="+mn-cs"/>
            </a:rPr>
            <a:t>17,000gp (Total: 66,000gp)   </a:t>
          </a:r>
        </a:p>
        <a:p>
          <a:pPr lvl="0" fontAlgn="base"/>
          <a:r>
            <a:rPr lang="en-US" sz="1100" b="1">
              <a:solidFill>
                <a:schemeClr val="dk1"/>
              </a:solidFill>
              <a:effectLst/>
              <a:latin typeface="+mn-lt"/>
              <a:ea typeface="+mn-ea"/>
              <a:cs typeface="+mn-cs"/>
            </a:rPr>
            <a:t>Equipment/Magic Items: </a:t>
          </a:r>
          <a:r>
            <a:rPr lang="en-US" sz="1100">
              <a:solidFill>
                <a:schemeClr val="dk1"/>
              </a:solidFill>
              <a:effectLst/>
              <a:latin typeface="+mn-lt"/>
              <a:ea typeface="+mn-ea"/>
              <a:cs typeface="+mn-cs"/>
            </a:rPr>
            <a:t> TBD</a:t>
          </a:r>
        </a:p>
        <a:p>
          <a:pPr lvl="0" fontAlgn="base"/>
          <a:r>
            <a:rPr lang="en-US" sz="1100" b="1">
              <a:solidFill>
                <a:schemeClr val="dk1"/>
              </a:solidFill>
              <a:effectLst/>
              <a:latin typeface="+mn-lt"/>
              <a:ea typeface="+mn-ea"/>
              <a:cs typeface="+mn-cs"/>
            </a:rPr>
            <a:t>Armor/Weapons: </a:t>
          </a:r>
          <a:r>
            <a:rPr lang="en-US" sz="1100">
              <a:solidFill>
                <a:schemeClr val="dk1"/>
              </a:solidFill>
              <a:effectLst/>
              <a:latin typeface="+mn-lt"/>
              <a:ea typeface="+mn-ea"/>
              <a:cs typeface="+mn-cs"/>
            </a:rPr>
            <a:t>Add Blurstrike (+1 Bonus/6,000gp) to Silvered Hand Axe +1</a:t>
          </a:r>
        </a:p>
        <a:p>
          <a:pPr lvl="0" fontAlgn="base"/>
          <a:r>
            <a:rPr lang="en-US" sz="1100" b="1">
              <a:solidFill>
                <a:schemeClr val="dk1"/>
              </a:solidFill>
              <a:effectLst/>
              <a:latin typeface="+mn-lt"/>
              <a:ea typeface="+mn-ea"/>
              <a:cs typeface="+mn-cs"/>
            </a:rPr>
            <a:t>Equity Total: </a:t>
          </a:r>
          <a:r>
            <a:rPr lang="en-US" sz="1100">
              <a:solidFill>
                <a:schemeClr val="dk1"/>
              </a:solidFill>
              <a:effectLst/>
              <a:latin typeface="+mn-lt"/>
              <a:ea typeface="+mn-ea"/>
              <a:cs typeface="+mn-cs"/>
            </a:rPr>
            <a:t>54,202gp + 11,798gp in Coins and Misc. Equipment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x14ac:dyDescent="0.3"/>
  <cols>
    <col min="1" max="1" width="16.296875" style="120" bestFit="1" customWidth="1"/>
    <col min="2" max="2" width="12" style="51" customWidth="1"/>
    <col min="3" max="3" width="4" style="51" customWidth="1"/>
    <col min="4" max="4" width="13.69921875" style="120" bestFit="1" customWidth="1"/>
    <col min="5" max="5" width="13.09765625" style="51" bestFit="1" customWidth="1"/>
    <col min="6" max="6" width="13.5" style="120" customWidth="1"/>
    <col min="7" max="7" width="13.5" style="51" customWidth="1"/>
    <col min="8" max="16384" width="13" style="13"/>
  </cols>
  <sheetData>
    <row r="1" spans="1:7" ht="29.4" thickTop="1" thickBot="1" x14ac:dyDescent="0.35">
      <c r="A1" s="237" t="s">
        <v>87</v>
      </c>
      <c r="B1" s="238" t="s">
        <v>88</v>
      </c>
      <c r="C1" s="121"/>
      <c r="D1" s="122"/>
      <c r="E1" s="122"/>
      <c r="F1" s="122"/>
      <c r="G1" s="123" t="s">
        <v>89</v>
      </c>
    </row>
    <row r="2" spans="1:7" ht="17.399999999999999" thickTop="1" x14ac:dyDescent="0.3">
      <c r="A2" s="124" t="s">
        <v>116</v>
      </c>
      <c r="B2" s="125" t="s">
        <v>90</v>
      </c>
      <c r="C2" s="125"/>
      <c r="D2" s="126" t="s">
        <v>117</v>
      </c>
      <c r="E2" s="127" t="s">
        <v>150</v>
      </c>
      <c r="F2" s="128"/>
      <c r="G2" s="129"/>
    </row>
    <row r="3" spans="1:7" ht="16.8" x14ac:dyDescent="0.3">
      <c r="A3" s="124" t="s">
        <v>118</v>
      </c>
      <c r="B3" s="125" t="s">
        <v>90</v>
      </c>
      <c r="C3" s="125"/>
      <c r="D3" s="126" t="s">
        <v>0</v>
      </c>
      <c r="E3" s="127">
        <v>7</v>
      </c>
      <c r="F3" s="126"/>
      <c r="G3" s="129"/>
    </row>
    <row r="4" spans="1:7" ht="16.8" x14ac:dyDescent="0.3">
      <c r="A4" s="124" t="s">
        <v>118</v>
      </c>
      <c r="B4" s="125" t="s">
        <v>230</v>
      </c>
      <c r="C4" s="125"/>
      <c r="D4" s="126" t="s">
        <v>0</v>
      </c>
      <c r="E4" s="127">
        <v>1</v>
      </c>
      <c r="F4" s="126"/>
      <c r="G4" s="129"/>
    </row>
    <row r="5" spans="1:7" ht="16.8" x14ac:dyDescent="0.3">
      <c r="A5" s="124" t="s">
        <v>119</v>
      </c>
      <c r="B5" s="125" t="s">
        <v>115</v>
      </c>
      <c r="C5" s="125"/>
      <c r="D5" s="126" t="s">
        <v>217</v>
      </c>
      <c r="E5" s="127">
        <f>5+E4</f>
        <v>6</v>
      </c>
      <c r="F5" s="126"/>
      <c r="G5" s="129"/>
    </row>
    <row r="6" spans="1:7" ht="16.8" x14ac:dyDescent="0.3">
      <c r="A6" s="124" t="s">
        <v>121</v>
      </c>
      <c r="B6" s="125" t="s">
        <v>79</v>
      </c>
      <c r="C6" s="125"/>
      <c r="D6" s="126" t="s">
        <v>120</v>
      </c>
      <c r="E6" s="127" t="s">
        <v>91</v>
      </c>
      <c r="F6" s="126"/>
      <c r="G6" s="129"/>
    </row>
    <row r="7" spans="1:7" ht="16.8" x14ac:dyDescent="0.3">
      <c r="A7" s="124" t="s">
        <v>123</v>
      </c>
      <c r="B7" s="125">
        <v>24</v>
      </c>
      <c r="C7" s="125"/>
      <c r="D7" s="126" t="s">
        <v>122</v>
      </c>
      <c r="E7" s="127" t="s">
        <v>104</v>
      </c>
      <c r="F7" s="126"/>
      <c r="G7" s="129"/>
    </row>
    <row r="8" spans="1:7" ht="17.399999999999999" thickBot="1" x14ac:dyDescent="0.35">
      <c r="A8" s="124" t="s">
        <v>124</v>
      </c>
      <c r="B8" s="125" t="s">
        <v>275</v>
      </c>
      <c r="C8" s="125"/>
      <c r="D8" s="126" t="s">
        <v>125</v>
      </c>
      <c r="E8" s="127" t="s">
        <v>245</v>
      </c>
      <c r="F8" s="126"/>
      <c r="G8" s="129"/>
    </row>
    <row r="9" spans="1:7" ht="17.399999999999999" thickTop="1" x14ac:dyDescent="0.3">
      <c r="A9" s="130" t="s">
        <v>126</v>
      </c>
      <c r="B9" s="452">
        <f>5+1+1</f>
        <v>7</v>
      </c>
      <c r="C9" s="445"/>
      <c r="D9" s="154" t="s">
        <v>69</v>
      </c>
      <c r="E9" s="236" t="s">
        <v>103</v>
      </c>
      <c r="F9" s="131"/>
      <c r="G9" s="129"/>
    </row>
    <row r="10" spans="1:7" ht="17.399999999999999" thickBot="1" x14ac:dyDescent="0.35">
      <c r="A10" s="211" t="s">
        <v>127</v>
      </c>
      <c r="B10" s="247" t="str">
        <f>C12</f>
        <v>+2</v>
      </c>
      <c r="C10" s="212"/>
      <c r="D10" s="233" t="s">
        <v>128</v>
      </c>
      <c r="E10" s="234">
        <v>30520</v>
      </c>
      <c r="F10" s="131"/>
      <c r="G10" s="129"/>
    </row>
    <row r="11" spans="1:7" ht="17.399999999999999" thickTop="1" x14ac:dyDescent="0.3">
      <c r="A11" s="132" t="s">
        <v>129</v>
      </c>
      <c r="B11" s="446">
        <f>14</f>
        <v>14</v>
      </c>
      <c r="C11" s="133" t="str">
        <f t="shared" ref="C11:C16" si="0">IF(B11&gt;9.9,CONCATENATE("+",ROUNDDOWN((B11-10)/2,0)),ROUNDUP((B11-10)/2,0))</f>
        <v>+2</v>
      </c>
      <c r="D11" s="134" t="s">
        <v>130</v>
      </c>
      <c r="E11" s="277" t="s">
        <v>102</v>
      </c>
      <c r="F11" s="131"/>
      <c r="G11" s="129"/>
    </row>
    <row r="12" spans="1:7" ht="16.8" x14ac:dyDescent="0.3">
      <c r="A12" s="135" t="s">
        <v>131</v>
      </c>
      <c r="B12" s="248">
        <f>15</f>
        <v>15</v>
      </c>
      <c r="C12" s="136" t="str">
        <f t="shared" si="0"/>
        <v>+2</v>
      </c>
      <c r="D12" s="137" t="s">
        <v>132</v>
      </c>
      <c r="E12" s="138">
        <f>SUM(Martial!G6:G43,Equipment!C3:C14)+5</f>
        <v>50.45</v>
      </c>
      <c r="F12" s="131"/>
      <c r="G12" s="129"/>
    </row>
    <row r="13" spans="1:7" ht="16.8" x14ac:dyDescent="0.3">
      <c r="A13" s="453" t="s">
        <v>133</v>
      </c>
      <c r="B13" s="248">
        <v>16</v>
      </c>
      <c r="C13" s="139" t="str">
        <f t="shared" si="0"/>
        <v>+3</v>
      </c>
      <c r="D13" s="140" t="s">
        <v>134</v>
      </c>
      <c r="E13" s="444">
        <f>ROUNDUP((($E$5-$E$4)*8*0.75)+(($E$4*8)*0.75)+($E$5*$C$13),0)</f>
        <v>54</v>
      </c>
      <c r="F13" s="131"/>
      <c r="G13" s="129"/>
    </row>
    <row r="14" spans="1:7" ht="16.8" x14ac:dyDescent="0.3">
      <c r="A14" s="141" t="s">
        <v>135</v>
      </c>
      <c r="B14" s="248">
        <v>10</v>
      </c>
      <c r="C14" s="136" t="str">
        <f t="shared" si="0"/>
        <v>+0</v>
      </c>
      <c r="D14" s="143" t="s">
        <v>136</v>
      </c>
      <c r="E14" s="240">
        <f>10+C12</f>
        <v>12</v>
      </c>
      <c r="F14" s="124"/>
      <c r="G14" s="129"/>
    </row>
    <row r="15" spans="1:7" ht="16.8" x14ac:dyDescent="0.3">
      <c r="A15" s="142" t="s">
        <v>137</v>
      </c>
      <c r="B15" s="248">
        <v>13</v>
      </c>
      <c r="C15" s="136" t="str">
        <f t="shared" si="0"/>
        <v>+1</v>
      </c>
      <c r="D15" s="143" t="s">
        <v>138</v>
      </c>
      <c r="E15" s="240">
        <f>E16-C12</f>
        <v>22</v>
      </c>
      <c r="F15" s="131"/>
      <c r="G15" s="129"/>
    </row>
    <row r="16" spans="1:7" ht="17.399999999999999" thickBot="1" x14ac:dyDescent="0.35">
      <c r="A16" s="144" t="s">
        <v>139</v>
      </c>
      <c r="B16" s="249">
        <v>13</v>
      </c>
      <c r="C16" s="235" t="str">
        <f t="shared" si="0"/>
        <v>+1</v>
      </c>
      <c r="D16" s="145" t="s">
        <v>140</v>
      </c>
      <c r="E16" s="241">
        <f>E14+SUM(Martial!B37:B39)</f>
        <v>24</v>
      </c>
      <c r="F16" s="146"/>
      <c r="G16" s="147"/>
    </row>
    <row r="17" ht="16.2" thickTop="1" x14ac:dyDescent="0.3"/>
  </sheetData>
  <phoneticPr fontId="0" type="noConversion"/>
  <conditionalFormatting sqref="E12">
    <cfRule type="cellIs" dxfId="83" priority="4" stopIfTrue="1" operator="greaterThan">
      <formula>116</formula>
    </cfRule>
    <cfRule type="cellIs" dxfId="82"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showGridLines="0" workbookViewId="0">
      <pane ySplit="2" topLeftCell="A3" activePane="bottomLeft" state="frozen"/>
      <selection activeCell="A3" sqref="A3"/>
      <selection pane="bottomLeft" activeCell="A3" sqref="A3"/>
    </sheetView>
  </sheetViews>
  <sheetFormatPr defaultColWidth="13" defaultRowHeight="15.6" x14ac:dyDescent="0.3"/>
  <cols>
    <col min="1" max="1" width="28.5976562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x14ac:dyDescent="0.35">
      <c r="A1" s="55" t="s">
        <v>6</v>
      </c>
      <c r="B1" s="56"/>
      <c r="C1" s="56"/>
      <c r="D1" s="56"/>
      <c r="E1" s="56"/>
      <c r="F1" s="56"/>
      <c r="G1" s="57"/>
      <c r="H1" s="57"/>
      <c r="I1" s="57"/>
      <c r="J1" s="56"/>
    </row>
    <row r="2" spans="1:10" s="302" customFormat="1" ht="34.200000000000003" thickBot="1" x14ac:dyDescent="0.35">
      <c r="A2" s="296" t="s">
        <v>84</v>
      </c>
      <c r="B2" s="297" t="s">
        <v>19</v>
      </c>
      <c r="C2" s="297" t="s">
        <v>26</v>
      </c>
      <c r="D2" s="297" t="s">
        <v>18</v>
      </c>
      <c r="E2" s="10" t="s">
        <v>51</v>
      </c>
      <c r="F2" s="10" t="s">
        <v>27</v>
      </c>
      <c r="G2" s="298" t="s">
        <v>53</v>
      </c>
      <c r="H2" s="299" t="s">
        <v>74</v>
      </c>
      <c r="I2" s="300" t="s">
        <v>67</v>
      </c>
      <c r="J2" s="301" t="s">
        <v>65</v>
      </c>
    </row>
    <row r="3" spans="1:10" s="4" customFormat="1" ht="16.8" x14ac:dyDescent="0.3">
      <c r="A3" s="275" t="s">
        <v>55</v>
      </c>
      <c r="B3" s="58">
        <f>4+2</f>
        <v>6</v>
      </c>
      <c r="C3" s="58" t="s">
        <v>21</v>
      </c>
      <c r="D3" s="59" t="str">
        <f>IF(C3="Str",'Personal File'!$C$11,IF(C3="Dex",'Personal File'!$C$12,IF(C3="Con",'Personal File'!$C$13,IF(C3="Int",'Personal File'!$C$14,IF(C3="Wis",'Personal File'!$C$15,IF(C3="Cha",'Personal File'!$C$16))))))</f>
        <v>+3</v>
      </c>
      <c r="E3" s="59" t="str">
        <f t="shared" ref="E3" si="0">CONCATENATE(C3," (",D3,")")</f>
        <v>Con (+3)</v>
      </c>
      <c r="F3" s="397">
        <v>1</v>
      </c>
      <c r="G3" s="403">
        <f>B3+D3+F3</f>
        <v>10</v>
      </c>
      <c r="H3" s="61">
        <f t="shared" ref="H3:H5" ca="1" si="1">RANDBETWEEN(1,20)</f>
        <v>2</v>
      </c>
      <c r="I3" s="60">
        <f t="shared" ref="I3" ca="1" si="2">SUM(G3:H3)</f>
        <v>12</v>
      </c>
      <c r="J3" s="399" t="s">
        <v>229</v>
      </c>
    </row>
    <row r="4" spans="1:10" s="4" customFormat="1" ht="16.8" x14ac:dyDescent="0.3">
      <c r="A4" s="62" t="s">
        <v>56</v>
      </c>
      <c r="B4" s="58">
        <f>4+2</f>
        <v>6</v>
      </c>
      <c r="C4" s="58" t="s">
        <v>24</v>
      </c>
      <c r="D4" s="63" t="str">
        <f>IF(C4="Str",'Personal File'!$C$11,IF(C4="Dex",'Personal File'!$C$12,IF(C4="Con",'Personal File'!$C$13,IF(C4="Int",'Personal File'!$C$14,IF(C4="Wis",'Personal File'!$C$15,IF(C4="Cha",'Personal File'!$C$16))))))</f>
        <v>+2</v>
      </c>
      <c r="E4" s="64" t="str">
        <f t="shared" ref="E4:E5" si="3">CONCATENATE(C4," (",D4,")")</f>
        <v>Dex (+2)</v>
      </c>
      <c r="F4" s="397">
        <v>1</v>
      </c>
      <c r="G4" s="403">
        <f>B4+D4+F4</f>
        <v>9</v>
      </c>
      <c r="H4" s="61">
        <f t="shared" ca="1" si="1"/>
        <v>12</v>
      </c>
      <c r="I4" s="60">
        <f t="shared" ref="I4:I45" ca="1" si="4">SUM(G4:H4)</f>
        <v>21</v>
      </c>
      <c r="J4" s="402" t="s">
        <v>232</v>
      </c>
    </row>
    <row r="5" spans="1:10" s="4" customFormat="1" ht="16.8" x14ac:dyDescent="0.3">
      <c r="A5" s="276" t="s">
        <v>57</v>
      </c>
      <c r="B5" s="66">
        <f>4+0</f>
        <v>4</v>
      </c>
      <c r="C5" s="66" t="s">
        <v>23</v>
      </c>
      <c r="D5" s="67" t="str">
        <f>IF(C5="Str",'Personal File'!$C$11,IF(C5="Dex",'Personal File'!$C$12,IF(C5="Con",'Personal File'!$C$13,IF(C5="Int",'Personal File'!$C$14,IF(C5="Wis",'Personal File'!$C$15,IF(C5="Cha",'Personal File'!$C$16))))))</f>
        <v>+1</v>
      </c>
      <c r="E5" s="68" t="str">
        <f t="shared" si="3"/>
        <v>Wis (+1)</v>
      </c>
      <c r="F5" s="398">
        <v>1</v>
      </c>
      <c r="G5" s="404">
        <f>B5+D5+F5</f>
        <v>6</v>
      </c>
      <c r="H5" s="69">
        <f t="shared" ca="1" si="1"/>
        <v>1</v>
      </c>
      <c r="I5" s="303">
        <f t="shared" ca="1" si="4"/>
        <v>7</v>
      </c>
      <c r="J5" s="194"/>
    </row>
    <row r="6" spans="1:10" s="4" customFormat="1" ht="16.8" x14ac:dyDescent="0.3">
      <c r="A6" s="70" t="s">
        <v>28</v>
      </c>
      <c r="B6" s="71">
        <v>0</v>
      </c>
      <c r="C6" s="72" t="s">
        <v>22</v>
      </c>
      <c r="D6" s="73" t="str">
        <f>IF(C6="Str",'Personal File'!$C$11,IF(C6="Dex",'Personal File'!$C$12,IF(C6="Con",'Personal File'!$C$13,IF(C6="Int",'Personal File'!$C$14,IF(C6="Wis",'Personal File'!$C$15,IF(C6="Cha",'Personal File'!$C$16))))))</f>
        <v>+0</v>
      </c>
      <c r="E6" s="73" t="str">
        <f t="shared" ref="E6" si="5">CONCATENATE(C6," (",D6,")")</f>
        <v>Int (+0)</v>
      </c>
      <c r="F6" s="74">
        <v>0</v>
      </c>
      <c r="G6" s="75">
        <f t="shared" ref="G6:G45" si="6">B6+D6+F6</f>
        <v>0</v>
      </c>
      <c r="H6" s="61">
        <f ca="1">RANDBETWEEN(1,20)</f>
        <v>16</v>
      </c>
      <c r="I6" s="60">
        <f t="shared" ca="1" si="4"/>
        <v>16</v>
      </c>
      <c r="J6" s="112"/>
    </row>
    <row r="7" spans="1:10" s="8" customFormat="1" ht="16.8" x14ac:dyDescent="0.3">
      <c r="A7" s="286" t="s">
        <v>29</v>
      </c>
      <c r="B7" s="82">
        <v>1</v>
      </c>
      <c r="C7" s="287" t="s">
        <v>24</v>
      </c>
      <c r="D7" s="288" t="str">
        <f>IF(C7="Str",'Personal File'!$C$11,IF(C7="Dex",'Personal File'!$C$12,IF(C7="Con",'Personal File'!$C$13,IF(C7="Int",'Personal File'!$C$14,IF(C7="Wis",'Personal File'!$C$15,IF(C7="Cha",'Personal File'!$C$16))))))</f>
        <v>+2</v>
      </c>
      <c r="E7" s="288" t="str">
        <f t="shared" ref="E7:E45" si="7">CONCATENATE(C7," (",D7,")")</f>
        <v>Dex (+2)</v>
      </c>
      <c r="F7" s="285">
        <f>SUM(Martial!$D$37:$D$39)</f>
        <v>0</v>
      </c>
      <c r="G7" s="83">
        <f t="shared" si="6"/>
        <v>3</v>
      </c>
      <c r="H7" s="61">
        <f t="shared" ref="H7:H44" ca="1" si="8">RANDBETWEEN(1,20)</f>
        <v>18</v>
      </c>
      <c r="I7" s="304">
        <f t="shared" ca="1" si="4"/>
        <v>21</v>
      </c>
      <c r="J7" s="200" t="s">
        <v>225</v>
      </c>
    </row>
    <row r="8" spans="1:10" s="6" customFormat="1" ht="16.8" x14ac:dyDescent="0.3">
      <c r="A8" s="78" t="s">
        <v>30</v>
      </c>
      <c r="B8" s="71">
        <v>0</v>
      </c>
      <c r="C8" s="79" t="s">
        <v>20</v>
      </c>
      <c r="D8" s="80" t="str">
        <f>IF(C8="Str",'Personal File'!$C$11,IF(C8="Dex",'Personal File'!$C$12,IF(C8="Con",'Personal File'!$C$13,IF(C8="Int",'Personal File'!$C$14,IF(C8="Wis",'Personal File'!$C$15,IF(C8="Cha",'Personal File'!$C$16))))))</f>
        <v>+1</v>
      </c>
      <c r="E8" s="81" t="str">
        <f t="shared" si="7"/>
        <v>Cha (+1)</v>
      </c>
      <c r="F8" s="75" t="s">
        <v>52</v>
      </c>
      <c r="G8" s="75">
        <f t="shared" si="6"/>
        <v>1</v>
      </c>
      <c r="H8" s="61">
        <f t="shared" ca="1" si="8"/>
        <v>9</v>
      </c>
      <c r="I8" s="60">
        <f t="shared" ca="1" si="4"/>
        <v>10</v>
      </c>
      <c r="J8" s="112" t="s">
        <v>276</v>
      </c>
    </row>
    <row r="9" spans="1:10" s="5" customFormat="1" ht="16.8" x14ac:dyDescent="0.3">
      <c r="A9" s="164" t="s">
        <v>31</v>
      </c>
      <c r="B9" s="82">
        <v>4</v>
      </c>
      <c r="C9" s="165" t="s">
        <v>25</v>
      </c>
      <c r="D9" s="166" t="str">
        <f>IF(C9="Str",'Personal File'!$C$11,IF(C9="Dex",'Personal File'!$C$12,IF(C9="Con",'Personal File'!$C$13,IF(C9="Int",'Personal File'!$C$14,IF(C9="Wis",'Personal File'!$C$15,IF(C9="Cha",'Personal File'!$C$16))))))</f>
        <v>+2</v>
      </c>
      <c r="E9" s="166" t="str">
        <f t="shared" si="7"/>
        <v>Str (+2)</v>
      </c>
      <c r="F9" s="285">
        <f>SUM(Martial!$D$37:$D$39)</f>
        <v>0</v>
      </c>
      <c r="G9" s="83">
        <f t="shared" si="6"/>
        <v>6</v>
      </c>
      <c r="H9" s="61">
        <f t="shared" ca="1" si="8"/>
        <v>20</v>
      </c>
      <c r="I9" s="304">
        <f t="shared" ca="1" si="4"/>
        <v>26</v>
      </c>
      <c r="J9" s="200" t="s">
        <v>276</v>
      </c>
    </row>
    <row r="10" spans="1:10" s="5" customFormat="1" ht="16.8" x14ac:dyDescent="0.3">
      <c r="A10" s="230" t="s">
        <v>7</v>
      </c>
      <c r="B10" s="82">
        <v>5</v>
      </c>
      <c r="C10" s="231" t="s">
        <v>21</v>
      </c>
      <c r="D10" s="232" t="str">
        <f>IF(C10="Str",'Personal File'!$C$11,IF(C10="Dex",'Personal File'!$C$12,IF(C10="Con",'Personal File'!$C$13,IF(C10="Int",'Personal File'!$C$14,IF(C10="Wis",'Personal File'!$C$15,IF(C10="Cha",'Personal File'!$C$16))))))</f>
        <v>+3</v>
      </c>
      <c r="E10" s="232" t="str">
        <f t="shared" si="7"/>
        <v>Con (+3)</v>
      </c>
      <c r="F10" s="83" t="s">
        <v>52</v>
      </c>
      <c r="G10" s="83">
        <f t="shared" si="6"/>
        <v>8</v>
      </c>
      <c r="H10" s="61">
        <f t="shared" ca="1" si="8"/>
        <v>11</v>
      </c>
      <c r="I10" s="304">
        <f t="shared" ca="1" si="4"/>
        <v>19</v>
      </c>
      <c r="J10" s="200" t="s">
        <v>276</v>
      </c>
    </row>
    <row r="11" spans="1:10" s="4" customFormat="1" ht="16.8" x14ac:dyDescent="0.3">
      <c r="A11" s="100" t="s">
        <v>105</v>
      </c>
      <c r="B11" s="82">
        <v>4</v>
      </c>
      <c r="C11" s="101" t="s">
        <v>22</v>
      </c>
      <c r="D11" s="102" t="str">
        <f>IF(C11="Str",'Personal File'!$C$11,IF(C11="Dex",'Personal File'!$C$12,IF(C11="Con",'Personal File'!$C$13,IF(C11="Int",'Personal File'!$C$14,IF(C11="Wis",'Personal File'!$C$15,IF(C11="Cha",'Personal File'!$C$16))))))</f>
        <v>+0</v>
      </c>
      <c r="E11" s="102" t="str">
        <f t="shared" si="7"/>
        <v>Int (+0)</v>
      </c>
      <c r="F11" s="83" t="s">
        <v>52</v>
      </c>
      <c r="G11" s="83">
        <f t="shared" si="6"/>
        <v>4</v>
      </c>
      <c r="H11" s="61">
        <f t="shared" ca="1" si="8"/>
        <v>2</v>
      </c>
      <c r="I11" s="304">
        <f t="shared" ca="1" si="4"/>
        <v>6</v>
      </c>
      <c r="J11" s="200" t="s">
        <v>276</v>
      </c>
    </row>
    <row r="12" spans="1:10" s="7" customFormat="1" ht="16.8" x14ac:dyDescent="0.3">
      <c r="A12" s="85" t="s">
        <v>32</v>
      </c>
      <c r="B12" s="86">
        <v>0</v>
      </c>
      <c r="C12" s="87" t="s">
        <v>22</v>
      </c>
      <c r="D12" s="88" t="str">
        <f>IF(C12="Str",'Personal File'!$C$11,IF(C12="Dex",'Personal File'!$C$12,IF(C12="Con",'Personal File'!$C$13,IF(C12="Int",'Personal File'!$C$14,IF(C12="Wis",'Personal File'!$C$15,IF(C12="Cha",'Personal File'!$C$16))))))</f>
        <v>+0</v>
      </c>
      <c r="E12" s="88" t="str">
        <f t="shared" si="7"/>
        <v>Int (+0)</v>
      </c>
      <c r="F12" s="89" t="s">
        <v>52</v>
      </c>
      <c r="G12" s="89">
        <f t="shared" si="6"/>
        <v>0</v>
      </c>
      <c r="H12" s="61">
        <f t="shared" ca="1" si="8"/>
        <v>6</v>
      </c>
      <c r="I12" s="89">
        <f t="shared" ca="1" si="4"/>
        <v>6</v>
      </c>
      <c r="J12" s="400" t="s">
        <v>276</v>
      </c>
    </row>
    <row r="13" spans="1:10" s="8" customFormat="1" ht="16.8" x14ac:dyDescent="0.3">
      <c r="A13" s="224" t="s">
        <v>33</v>
      </c>
      <c r="B13" s="225">
        <v>0</v>
      </c>
      <c r="C13" s="226" t="s">
        <v>20</v>
      </c>
      <c r="D13" s="227" t="str">
        <f>IF(C13="Str",'Personal File'!$C$11,IF(C13="Dex",'Personal File'!$C$12,IF(C13="Con",'Personal File'!$C$13,IF(C13="Int",'Personal File'!$C$14,IF(C13="Wis",'Personal File'!$C$15,IF(C13="Cha",'Personal File'!$C$16))))))</f>
        <v>+1</v>
      </c>
      <c r="E13" s="228" t="str">
        <f t="shared" si="7"/>
        <v>Cha (+1)</v>
      </c>
      <c r="F13" s="229" t="s">
        <v>52</v>
      </c>
      <c r="G13" s="229">
        <f t="shared" si="6"/>
        <v>1</v>
      </c>
      <c r="H13" s="61">
        <f t="shared" ca="1" si="8"/>
        <v>18</v>
      </c>
      <c r="I13" s="229">
        <f t="shared" ca="1" si="4"/>
        <v>19</v>
      </c>
      <c r="J13" s="447" t="s">
        <v>276</v>
      </c>
    </row>
    <row r="14" spans="1:10" s="8" customFormat="1" ht="16.8" x14ac:dyDescent="0.3">
      <c r="A14" s="85" t="s">
        <v>34</v>
      </c>
      <c r="B14" s="86">
        <v>0</v>
      </c>
      <c r="C14" s="87" t="s">
        <v>22</v>
      </c>
      <c r="D14" s="88" t="str">
        <f>IF(C14="Str",'Personal File'!$C$11,IF(C14="Dex",'Personal File'!$C$12,IF(C14="Con",'Personal File'!$C$13,IF(C14="Int",'Personal File'!$C$14,IF(C14="Wis",'Personal File'!$C$15,IF(C14="Cha",'Personal File'!$C$16))))))</f>
        <v>+0</v>
      </c>
      <c r="E14" s="88" t="str">
        <f t="shared" si="7"/>
        <v>Int (+0)</v>
      </c>
      <c r="F14" s="89" t="s">
        <v>52</v>
      </c>
      <c r="G14" s="89">
        <f t="shared" si="6"/>
        <v>0</v>
      </c>
      <c r="H14" s="61">
        <f t="shared" ca="1" si="8"/>
        <v>6</v>
      </c>
      <c r="I14" s="89">
        <f t="shared" ca="1" si="4"/>
        <v>6</v>
      </c>
      <c r="J14" s="400" t="s">
        <v>276</v>
      </c>
    </row>
    <row r="15" spans="1:10" s="8" customFormat="1" ht="16.8" x14ac:dyDescent="0.3">
      <c r="A15" s="78" t="s">
        <v>35</v>
      </c>
      <c r="B15" s="71">
        <v>0</v>
      </c>
      <c r="C15" s="79" t="s">
        <v>20</v>
      </c>
      <c r="D15" s="80" t="str">
        <f>IF(C15="Str",'Personal File'!$C$11,IF(C15="Dex",'Personal File'!$C$12,IF(C15="Con",'Personal File'!$C$13,IF(C15="Int",'Personal File'!$C$14,IF(C15="Wis",'Personal File'!$C$15,IF(C15="Cha",'Personal File'!$C$16))))))</f>
        <v>+1</v>
      </c>
      <c r="E15" s="81" t="str">
        <f t="shared" si="7"/>
        <v>Cha (+1)</v>
      </c>
      <c r="F15" s="75" t="s">
        <v>52</v>
      </c>
      <c r="G15" s="75">
        <f t="shared" si="6"/>
        <v>1</v>
      </c>
      <c r="H15" s="61">
        <f t="shared" ca="1" si="8"/>
        <v>15</v>
      </c>
      <c r="I15" s="75">
        <f t="shared" ca="1" si="4"/>
        <v>16</v>
      </c>
      <c r="J15" s="112" t="s">
        <v>276</v>
      </c>
    </row>
    <row r="16" spans="1:10" s="8" customFormat="1" ht="16.8" x14ac:dyDescent="0.3">
      <c r="A16" s="76" t="s">
        <v>36</v>
      </c>
      <c r="B16" s="71">
        <v>0</v>
      </c>
      <c r="C16" s="77" t="s">
        <v>24</v>
      </c>
      <c r="D16" s="63" t="str">
        <f>IF(C16="Str",'Personal File'!$C$11,IF(C16="Dex",'Personal File'!$C$12,IF(C16="Con",'Personal File'!$C$13,IF(C16="Int",'Personal File'!$C$14,IF(C16="Wis",'Personal File'!$C$15,IF(C16="Cha",'Personal File'!$C$16))))))</f>
        <v>+2</v>
      </c>
      <c r="E16" s="64" t="str">
        <f t="shared" si="7"/>
        <v>Dex (+2)</v>
      </c>
      <c r="F16" s="209">
        <f>SUM(Martial!$D$37:$D$39)</f>
        <v>0</v>
      </c>
      <c r="G16" s="75">
        <f t="shared" si="6"/>
        <v>2</v>
      </c>
      <c r="H16" s="61">
        <f t="shared" ca="1" si="8"/>
        <v>14</v>
      </c>
      <c r="I16" s="75">
        <f t="shared" ca="1" si="4"/>
        <v>16</v>
      </c>
      <c r="J16" s="112" t="s">
        <v>276</v>
      </c>
    </row>
    <row r="17" spans="1:10" s="8" customFormat="1" ht="16.8" x14ac:dyDescent="0.3">
      <c r="A17" s="92" t="s">
        <v>37</v>
      </c>
      <c r="B17" s="93">
        <v>0</v>
      </c>
      <c r="C17" s="94" t="s">
        <v>22</v>
      </c>
      <c r="D17" s="95" t="str">
        <f>IF(C17="Str",'Personal File'!$C$11,IF(C17="Dex",'Personal File'!$C$12,IF(C17="Con",'Personal File'!$C$13,IF(C17="Int",'Personal File'!$C$14,IF(C17="Wis",'Personal File'!$C$15,IF(C17="Cha",'Personal File'!$C$16))))))</f>
        <v>+0</v>
      </c>
      <c r="E17" s="95" t="str">
        <f t="shared" si="7"/>
        <v>Int (+0)</v>
      </c>
      <c r="F17" s="96" t="s">
        <v>52</v>
      </c>
      <c r="G17" s="96">
        <f t="shared" si="6"/>
        <v>0</v>
      </c>
      <c r="H17" s="61">
        <f t="shared" ca="1" si="8"/>
        <v>6</v>
      </c>
      <c r="I17" s="96">
        <f t="shared" ca="1" si="4"/>
        <v>6</v>
      </c>
      <c r="J17" s="201" t="s">
        <v>276</v>
      </c>
    </row>
    <row r="18" spans="1:10" s="8" customFormat="1" ht="16.8" x14ac:dyDescent="0.3">
      <c r="A18" s="78" t="s">
        <v>38</v>
      </c>
      <c r="B18" s="71">
        <v>0</v>
      </c>
      <c r="C18" s="79" t="s">
        <v>20</v>
      </c>
      <c r="D18" s="80" t="str">
        <f>IF(C18="Str",'Personal File'!$C$11,IF(C18="Dex",'Personal File'!$C$12,IF(C18="Con",'Personal File'!$C$13,IF(C18="Int",'Personal File'!$C$14,IF(C18="Wis",'Personal File'!$C$15,IF(C18="Cha",'Personal File'!$C$16))))))</f>
        <v>+1</v>
      </c>
      <c r="E18" s="81" t="str">
        <f t="shared" si="7"/>
        <v>Cha (+1)</v>
      </c>
      <c r="F18" s="75" t="s">
        <v>52</v>
      </c>
      <c r="G18" s="75">
        <f t="shared" si="6"/>
        <v>1</v>
      </c>
      <c r="H18" s="61">
        <f t="shared" ca="1" si="8"/>
        <v>20</v>
      </c>
      <c r="I18" s="75">
        <f t="shared" ca="1" si="4"/>
        <v>21</v>
      </c>
      <c r="J18" s="112" t="s">
        <v>276</v>
      </c>
    </row>
    <row r="19" spans="1:10" s="8" customFormat="1" ht="16.8" x14ac:dyDescent="0.3">
      <c r="A19" s="78" t="s">
        <v>9</v>
      </c>
      <c r="B19" s="71">
        <v>0</v>
      </c>
      <c r="C19" s="79" t="s">
        <v>20</v>
      </c>
      <c r="D19" s="80" t="str">
        <f>IF(C19="Str",'Personal File'!$C$11,IF(C19="Dex",'Personal File'!$C$12,IF(C19="Con",'Personal File'!$C$13,IF(C19="Int",'Personal File'!$C$14,IF(C19="Wis",'Personal File'!$C$15,IF(C19="Cha",'Personal File'!$C$16))))))</f>
        <v>+1</v>
      </c>
      <c r="E19" s="81" t="str">
        <f t="shared" si="7"/>
        <v>Cha (+1)</v>
      </c>
      <c r="F19" s="75" t="s">
        <v>52</v>
      </c>
      <c r="G19" s="75">
        <f t="shared" si="6"/>
        <v>1</v>
      </c>
      <c r="H19" s="61">
        <f t="shared" ca="1" si="8"/>
        <v>4</v>
      </c>
      <c r="I19" s="75">
        <f t="shared" ca="1" si="4"/>
        <v>5</v>
      </c>
      <c r="J19" s="112"/>
    </row>
    <row r="20" spans="1:10" s="8" customFormat="1" ht="16.8" x14ac:dyDescent="0.3">
      <c r="A20" s="352" t="s">
        <v>39</v>
      </c>
      <c r="B20" s="71">
        <v>0</v>
      </c>
      <c r="C20" s="353" t="s">
        <v>23</v>
      </c>
      <c r="D20" s="354" t="str">
        <f>IF(C20="Str",'Personal File'!$C$11,IF(C20="Dex",'Personal File'!$C$12,IF(C20="Con",'Personal File'!$C$13,IF(C20="Int",'Personal File'!$C$14,IF(C20="Wis",'Personal File'!$C$15,IF(C20="Cha",'Personal File'!$C$16))))))</f>
        <v>+1</v>
      </c>
      <c r="E20" s="354" t="str">
        <f t="shared" si="7"/>
        <v>Wis (+1)</v>
      </c>
      <c r="F20" s="209">
        <f>SUM(Martial!$D$37:$D$39)</f>
        <v>0</v>
      </c>
      <c r="G20" s="75">
        <f t="shared" si="6"/>
        <v>1</v>
      </c>
      <c r="H20" s="61">
        <f t="shared" ca="1" si="8"/>
        <v>19</v>
      </c>
      <c r="I20" s="75">
        <f t="shared" ca="1" si="4"/>
        <v>20</v>
      </c>
      <c r="J20" s="112"/>
    </row>
    <row r="21" spans="1:10" s="8" customFormat="1" ht="16.8" x14ac:dyDescent="0.3">
      <c r="A21" s="286" t="s">
        <v>40</v>
      </c>
      <c r="B21" s="82">
        <v>6</v>
      </c>
      <c r="C21" s="287" t="s">
        <v>24</v>
      </c>
      <c r="D21" s="288" t="str">
        <f>IF(C21="Str",'Personal File'!$C$11,IF(C21="Dex",'Personal File'!$C$12,IF(C21="Con",'Personal File'!$C$13,IF(C21="Int",'Personal File'!$C$14,IF(C21="Wis",'Personal File'!$C$15,IF(C21="Cha",'Personal File'!$C$16))))))</f>
        <v>+2</v>
      </c>
      <c r="E21" s="288" t="str">
        <f t="shared" si="7"/>
        <v>Dex (+2)</v>
      </c>
      <c r="F21" s="285">
        <f>SUM(Martial!$D$37:$D$39)</f>
        <v>0</v>
      </c>
      <c r="G21" s="83">
        <f t="shared" si="6"/>
        <v>8</v>
      </c>
      <c r="H21" s="61">
        <f t="shared" ca="1" si="8"/>
        <v>9</v>
      </c>
      <c r="I21" s="83">
        <f t="shared" ca="1" si="4"/>
        <v>17</v>
      </c>
      <c r="J21" s="200"/>
    </row>
    <row r="22" spans="1:10" s="8" customFormat="1" ht="16.8" x14ac:dyDescent="0.3">
      <c r="A22" s="97" t="s">
        <v>41</v>
      </c>
      <c r="B22" s="93">
        <v>0</v>
      </c>
      <c r="C22" s="98" t="s">
        <v>20</v>
      </c>
      <c r="D22" s="99" t="str">
        <f>IF(C22="Str",'Personal File'!$C$11,IF(C22="Dex",'Personal File'!$C$12,IF(C22="Con",'Personal File'!$C$13,IF(C22="Int",'Personal File'!$C$14,IF(C22="Wis",'Personal File'!$C$15,IF(C22="Cha",'Personal File'!$C$16))))))</f>
        <v>+1</v>
      </c>
      <c r="E22" s="387" t="str">
        <f t="shared" si="7"/>
        <v>Cha (+1)</v>
      </c>
      <c r="F22" s="96" t="s">
        <v>52</v>
      </c>
      <c r="G22" s="96">
        <f t="shared" si="6"/>
        <v>1</v>
      </c>
      <c r="H22" s="61">
        <f t="shared" ca="1" si="8"/>
        <v>11</v>
      </c>
      <c r="I22" s="96">
        <f t="shared" ca="1" si="4"/>
        <v>12</v>
      </c>
      <c r="J22" s="201"/>
    </row>
    <row r="23" spans="1:10" s="8" customFormat="1" ht="16.8" x14ac:dyDescent="0.3">
      <c r="A23" s="164" t="s">
        <v>42</v>
      </c>
      <c r="B23" s="82">
        <v>3</v>
      </c>
      <c r="C23" s="165" t="s">
        <v>25</v>
      </c>
      <c r="D23" s="166" t="str">
        <f>IF(C23="Str",'Personal File'!$C$11,IF(C23="Dex",'Personal File'!$C$12,IF(C23="Con",'Personal File'!$C$13,IF(C23="Int",'Personal File'!$C$14,IF(C23="Wis",'Personal File'!$C$15,IF(C23="Cha",'Personal File'!$C$16))))))</f>
        <v>+2</v>
      </c>
      <c r="E23" s="166" t="str">
        <f t="shared" si="7"/>
        <v>Str (+2)</v>
      </c>
      <c r="F23" s="285">
        <f>SUM(Martial!$D$37:$D$39)</f>
        <v>0</v>
      </c>
      <c r="G23" s="83">
        <f t="shared" si="6"/>
        <v>5</v>
      </c>
      <c r="H23" s="61">
        <f t="shared" ca="1" si="8"/>
        <v>16</v>
      </c>
      <c r="I23" s="83">
        <f t="shared" ca="1" si="4"/>
        <v>21</v>
      </c>
      <c r="J23" s="200"/>
    </row>
    <row r="24" spans="1:10" s="8" customFormat="1" ht="16.8" x14ac:dyDescent="0.3">
      <c r="A24" s="100" t="s">
        <v>106</v>
      </c>
      <c r="B24" s="82">
        <v>2</v>
      </c>
      <c r="C24" s="101" t="s">
        <v>22</v>
      </c>
      <c r="D24" s="102" t="str">
        <f>IF(C24="Str",'Personal File'!$C$11,IF(C24="Dex",'Personal File'!$C$12,IF(C24="Con",'Personal File'!$C$13,IF(C24="Int",'Personal File'!$C$14,IF(C24="Wis",'Personal File'!$C$15,IF(C24="Cha",'Personal File'!$C$16))))))</f>
        <v>+0</v>
      </c>
      <c r="E24" s="102" t="str">
        <f>CONCATENATE(C24," (",D24,")")</f>
        <v>Int (+0)</v>
      </c>
      <c r="F24" s="83" t="s">
        <v>52</v>
      </c>
      <c r="G24" s="83">
        <f t="shared" ref="G24" si="9">B24+D24+F24</f>
        <v>2</v>
      </c>
      <c r="H24" s="61">
        <f t="shared" ca="1" si="8"/>
        <v>3</v>
      </c>
      <c r="I24" s="83">
        <f t="shared" ref="I24" ca="1" si="10">SUM(G24:H24)</f>
        <v>5</v>
      </c>
      <c r="J24" s="84" t="s">
        <v>225</v>
      </c>
    </row>
    <row r="25" spans="1:10" s="8" customFormat="1" ht="16.8" x14ac:dyDescent="0.3">
      <c r="A25" s="100" t="s">
        <v>238</v>
      </c>
      <c r="B25" s="82">
        <v>1</v>
      </c>
      <c r="C25" s="101" t="s">
        <v>22</v>
      </c>
      <c r="D25" s="102" t="str">
        <f>IF(C25="Str",'Personal File'!$C$11,IF(C25="Dex",'Personal File'!$C$12,IF(C25="Con",'Personal File'!$C$13,IF(C25="Int",'Personal File'!$C$14,IF(C25="Wis",'Personal File'!$C$15,IF(C25="Cha",'Personal File'!$C$16))))))</f>
        <v>+0</v>
      </c>
      <c r="E25" s="102" t="str">
        <f>CONCATENATE(C25," (",D25,")")</f>
        <v>Int (+0)</v>
      </c>
      <c r="F25" s="83" t="s">
        <v>52</v>
      </c>
      <c r="G25" s="83">
        <f t="shared" ref="G25" si="11">B25+D25+F25</f>
        <v>1</v>
      </c>
      <c r="H25" s="61">
        <f t="shared" ca="1" si="8"/>
        <v>18</v>
      </c>
      <c r="I25" s="83">
        <f t="shared" ref="I25" ca="1" si="12">SUM(G25:H25)</f>
        <v>19</v>
      </c>
      <c r="J25" s="84"/>
    </row>
    <row r="26" spans="1:10" s="8" customFormat="1" ht="16.8" x14ac:dyDescent="0.3">
      <c r="A26" s="100" t="s">
        <v>176</v>
      </c>
      <c r="B26" s="82">
        <v>2</v>
      </c>
      <c r="C26" s="101" t="s">
        <v>22</v>
      </c>
      <c r="D26" s="102" t="str">
        <f>IF(C26="Str",'Personal File'!$C$11,IF(C26="Dex",'Personal File'!$C$12,IF(C26="Con",'Personal File'!$C$13,IF(C26="Int",'Personal File'!$C$14,IF(C26="Wis",'Personal File'!$C$15,IF(C26="Cha",'Personal File'!$C$16))))))</f>
        <v>+0</v>
      </c>
      <c r="E26" s="102" t="str">
        <f>CONCATENATE(C26," (",D26,")")</f>
        <v>Int (+0)</v>
      </c>
      <c r="F26" s="83" t="s">
        <v>52</v>
      </c>
      <c r="G26" s="83">
        <f t="shared" ref="G26" si="13">B26+D26+F26</f>
        <v>2</v>
      </c>
      <c r="H26" s="61">
        <f t="shared" ca="1" si="8"/>
        <v>5</v>
      </c>
      <c r="I26" s="83">
        <f t="shared" ref="I26" ca="1" si="14">SUM(G26:H26)</f>
        <v>7</v>
      </c>
      <c r="J26" s="200" t="s">
        <v>225</v>
      </c>
    </row>
    <row r="27" spans="1:10" s="8" customFormat="1" ht="16.8" x14ac:dyDescent="0.3">
      <c r="A27" s="213" t="s">
        <v>43</v>
      </c>
      <c r="B27" s="82">
        <v>5</v>
      </c>
      <c r="C27" s="214" t="s">
        <v>23</v>
      </c>
      <c r="D27" s="215" t="str">
        <f>IF(C27="Str",'Personal File'!$C$11,IF(C27="Dex",'Personal File'!$C$12,IF(C27="Con",'Personal File'!$C$13,IF(C27="Int",'Personal File'!$C$14,IF(C27="Wis",'Personal File'!$C$15,IF(C27="Cha",'Personal File'!$C$16))))))</f>
        <v>+1</v>
      </c>
      <c r="E27" s="289" t="str">
        <f t="shared" si="7"/>
        <v>Wis (+1)</v>
      </c>
      <c r="F27" s="83" t="s">
        <v>52</v>
      </c>
      <c r="G27" s="83">
        <f t="shared" si="6"/>
        <v>6</v>
      </c>
      <c r="H27" s="61">
        <f t="shared" ca="1" si="8"/>
        <v>13</v>
      </c>
      <c r="I27" s="83">
        <f t="shared" ca="1" si="4"/>
        <v>19</v>
      </c>
      <c r="J27" s="84"/>
    </row>
    <row r="28" spans="1:10" s="8" customFormat="1" ht="16.8" x14ac:dyDescent="0.3">
      <c r="A28" s="76" t="s">
        <v>10</v>
      </c>
      <c r="B28" s="71">
        <v>0</v>
      </c>
      <c r="C28" s="77" t="s">
        <v>24</v>
      </c>
      <c r="D28" s="63" t="str">
        <f>IF(C28="Str",'Personal File'!$C$11,IF(C28="Dex",'Personal File'!$C$12,IF(C28="Con",'Personal File'!$C$13,IF(C28="Int",'Personal File'!$C$14,IF(C28="Wis",'Personal File'!$C$15,IF(C28="Cha",'Personal File'!$C$16))))))</f>
        <v>+2</v>
      </c>
      <c r="E28" s="63" t="str">
        <f t="shared" si="7"/>
        <v>Dex (+2)</v>
      </c>
      <c r="F28" s="209">
        <f>SUM(Martial!$D$37:$D$39)</f>
        <v>0</v>
      </c>
      <c r="G28" s="75">
        <f t="shared" si="6"/>
        <v>2</v>
      </c>
      <c r="H28" s="61">
        <f t="shared" ca="1" si="8"/>
        <v>4</v>
      </c>
      <c r="I28" s="75">
        <f t="shared" ca="1" si="4"/>
        <v>6</v>
      </c>
      <c r="J28" s="65"/>
    </row>
    <row r="29" spans="1:10" s="8" customFormat="1" ht="16.8" x14ac:dyDescent="0.3">
      <c r="A29" s="103" t="s">
        <v>44</v>
      </c>
      <c r="B29" s="86">
        <v>0</v>
      </c>
      <c r="C29" s="104" t="s">
        <v>24</v>
      </c>
      <c r="D29" s="105" t="str">
        <f>IF(C29="Str",'Personal File'!$C$11,IF(C29="Dex",'Personal File'!$C$12,IF(C29="Con",'Personal File'!$C$13,IF(C29="Int",'Personal File'!$C$14,IF(C29="Wis",'Personal File'!$C$15,IF(C29="Cha",'Personal File'!$C$16))))))</f>
        <v>+2</v>
      </c>
      <c r="E29" s="105" t="str">
        <f t="shared" si="7"/>
        <v>Dex (+2)</v>
      </c>
      <c r="F29" s="89" t="s">
        <v>52</v>
      </c>
      <c r="G29" s="89">
        <f t="shared" si="6"/>
        <v>2</v>
      </c>
      <c r="H29" s="61">
        <f t="shared" ca="1" si="8"/>
        <v>6</v>
      </c>
      <c r="I29" s="89">
        <f t="shared" ca="1" si="4"/>
        <v>8</v>
      </c>
      <c r="J29" s="90"/>
    </row>
    <row r="30" spans="1:10" ht="16.8" x14ac:dyDescent="0.3">
      <c r="A30" s="78" t="s">
        <v>70</v>
      </c>
      <c r="B30" s="71">
        <v>0</v>
      </c>
      <c r="C30" s="79" t="s">
        <v>20</v>
      </c>
      <c r="D30" s="80" t="str">
        <f>IF(C30="Str",'Personal File'!$C$11,IF(C30="Dex",'Personal File'!$C$12,IF(C30="Con",'Personal File'!$C$13,IF(C30="Int",'Personal File'!$C$14,IF(C30="Wis",'Personal File'!$C$15,IF(C30="Cha",'Personal File'!$C$16))))))</f>
        <v>+1</v>
      </c>
      <c r="E30" s="81" t="str">
        <f t="shared" si="7"/>
        <v>Cha (+1)</v>
      </c>
      <c r="F30" s="75" t="s">
        <v>52</v>
      </c>
      <c r="G30" s="75">
        <f t="shared" si="6"/>
        <v>1</v>
      </c>
      <c r="H30" s="61">
        <f t="shared" ca="1" si="8"/>
        <v>11</v>
      </c>
      <c r="I30" s="75">
        <f t="shared" ca="1" si="4"/>
        <v>12</v>
      </c>
      <c r="J30" s="65"/>
    </row>
    <row r="31" spans="1:10" ht="16.8" x14ac:dyDescent="0.3">
      <c r="A31" s="91" t="s">
        <v>107</v>
      </c>
      <c r="B31" s="82">
        <v>5</v>
      </c>
      <c r="C31" s="214" t="s">
        <v>23</v>
      </c>
      <c r="D31" s="215" t="str">
        <f>IF(C31="Str",'Personal File'!$C$11,IF(C31="Dex",'Personal File'!$C$12,IF(C31="Con",'Personal File'!$C$13,IF(C31="Int",'Personal File'!$C$14,IF(C31="Wis",'Personal File'!$C$15,IF(C31="Cha",'Personal File'!$C$16))))))</f>
        <v>+1</v>
      </c>
      <c r="E31" s="215" t="str">
        <f t="shared" si="7"/>
        <v>Wis (+1)</v>
      </c>
      <c r="F31" s="83" t="s">
        <v>52</v>
      </c>
      <c r="G31" s="83">
        <f t="shared" si="6"/>
        <v>6</v>
      </c>
      <c r="H31" s="61">
        <f t="shared" ca="1" si="8"/>
        <v>12</v>
      </c>
      <c r="I31" s="83">
        <f t="shared" ca="1" si="4"/>
        <v>18</v>
      </c>
      <c r="J31" s="84"/>
    </row>
    <row r="32" spans="1:10" ht="16.8" x14ac:dyDescent="0.3">
      <c r="A32" s="91" t="s">
        <v>178</v>
      </c>
      <c r="B32" s="82">
        <v>2</v>
      </c>
      <c r="C32" s="214" t="s">
        <v>23</v>
      </c>
      <c r="D32" s="215" t="str">
        <f>IF(C32="Str",'Personal File'!$C$11,IF(C32="Dex",'Personal File'!$C$12,IF(C32="Con",'Personal File'!$C$13,IF(C32="Int",'Personal File'!$C$14,IF(C32="Wis",'Personal File'!$C$15,IF(C32="Cha",'Personal File'!$C$16))))))</f>
        <v>+1</v>
      </c>
      <c r="E32" s="215" t="str">
        <f t="shared" ref="E32" si="15">CONCATENATE(C32," (",D32,")")</f>
        <v>Wis (+1)</v>
      </c>
      <c r="F32" s="83" t="s">
        <v>52</v>
      </c>
      <c r="G32" s="83">
        <f t="shared" ref="G32" si="16">B32+D32+F32</f>
        <v>3</v>
      </c>
      <c r="H32" s="61">
        <f t="shared" ca="1" si="8"/>
        <v>16</v>
      </c>
      <c r="I32" s="83">
        <f t="shared" ref="I32" ca="1" si="17">SUM(G32:H32)</f>
        <v>19</v>
      </c>
      <c r="J32" s="84"/>
    </row>
    <row r="33" spans="1:10" ht="16.8" x14ac:dyDescent="0.3">
      <c r="A33" s="91" t="s">
        <v>177</v>
      </c>
      <c r="B33" s="82">
        <v>2</v>
      </c>
      <c r="C33" s="214" t="s">
        <v>23</v>
      </c>
      <c r="D33" s="215" t="str">
        <f>IF(C33="Str",'Personal File'!$C$11,IF(C33="Dex",'Personal File'!$C$12,IF(C33="Con",'Personal File'!$C$13,IF(C33="Int",'Personal File'!$C$14,IF(C33="Wis",'Personal File'!$C$15,IF(C33="Cha",'Personal File'!$C$16))))))</f>
        <v>+1</v>
      </c>
      <c r="E33" s="215" t="str">
        <f t="shared" ref="E33" si="18">CONCATENATE(C33," (",D33,")")</f>
        <v>Wis (+1)</v>
      </c>
      <c r="F33" s="83" t="s">
        <v>52</v>
      </c>
      <c r="G33" s="83">
        <f t="shared" ref="G33" si="19">B33+D33+F33</f>
        <v>3</v>
      </c>
      <c r="H33" s="61">
        <f t="shared" ca="1" si="8"/>
        <v>4</v>
      </c>
      <c r="I33" s="83">
        <f t="shared" ref="I33" ca="1" si="20">SUM(G33:H33)</f>
        <v>7</v>
      </c>
      <c r="J33" s="84"/>
    </row>
    <row r="34" spans="1:10" ht="16.8" x14ac:dyDescent="0.3">
      <c r="A34" s="278" t="s">
        <v>11</v>
      </c>
      <c r="B34" s="279">
        <v>0</v>
      </c>
      <c r="C34" s="280" t="s">
        <v>24</v>
      </c>
      <c r="D34" s="281" t="str">
        <f>IF(C34="Str",'Personal File'!$C$11,IF(C34="Dex",'Personal File'!$C$12,IF(C34="Con",'Personal File'!$C$13,IF(C34="Int",'Personal File'!$C$14,IF(C34="Wis",'Personal File'!$C$15,IF(C34="Cha",'Personal File'!$C$16))))))</f>
        <v>+2</v>
      </c>
      <c r="E34" s="282" t="str">
        <f t="shared" si="7"/>
        <v>Dex (+2)</v>
      </c>
      <c r="F34" s="283" t="s">
        <v>52</v>
      </c>
      <c r="G34" s="283">
        <f t="shared" si="6"/>
        <v>2</v>
      </c>
      <c r="H34" s="61">
        <f t="shared" ca="1" si="8"/>
        <v>20</v>
      </c>
      <c r="I34" s="283">
        <f t="shared" ca="1" si="4"/>
        <v>22</v>
      </c>
      <c r="J34" s="284"/>
    </row>
    <row r="35" spans="1:10" ht="16.8" x14ac:dyDescent="0.3">
      <c r="A35" s="100" t="s">
        <v>12</v>
      </c>
      <c r="B35" s="82">
        <v>2</v>
      </c>
      <c r="C35" s="101" t="s">
        <v>22</v>
      </c>
      <c r="D35" s="102" t="str">
        <f>IF(C35="Str",'Personal File'!$C$11,IF(C35="Dex",'Personal File'!$C$12,IF(C35="Con",'Personal File'!$C$13,IF(C35="Int",'Personal File'!$C$14,IF(C35="Wis",'Personal File'!$C$15,IF(C35="Cha",'Personal File'!$C$16))))))</f>
        <v>+0</v>
      </c>
      <c r="E35" s="102" t="str">
        <f t="shared" si="7"/>
        <v>Int (+0)</v>
      </c>
      <c r="F35" s="83" t="s">
        <v>52</v>
      </c>
      <c r="G35" s="83">
        <f t="shared" si="6"/>
        <v>2</v>
      </c>
      <c r="H35" s="61">
        <f t="shared" ca="1" si="8"/>
        <v>16</v>
      </c>
      <c r="I35" s="83">
        <f t="shared" ca="1" si="4"/>
        <v>18</v>
      </c>
      <c r="J35" s="200"/>
    </row>
    <row r="36" spans="1:10" ht="16.8" x14ac:dyDescent="0.3">
      <c r="A36" s="213" t="s">
        <v>45</v>
      </c>
      <c r="B36" s="82">
        <v>1</v>
      </c>
      <c r="C36" s="214" t="s">
        <v>23</v>
      </c>
      <c r="D36" s="215" t="str">
        <f>IF(C36="Str",'Personal File'!$C$11,IF(C36="Dex",'Personal File'!$C$12,IF(C36="Con",'Personal File'!$C$13,IF(C36="Int",'Personal File'!$C$14,IF(C36="Wis",'Personal File'!$C$15,IF(C36="Cha",'Personal File'!$C$16))))))</f>
        <v>+1</v>
      </c>
      <c r="E36" s="215" t="str">
        <f t="shared" si="7"/>
        <v>Wis (+1)</v>
      </c>
      <c r="F36" s="83" t="s">
        <v>52</v>
      </c>
      <c r="G36" s="83">
        <f t="shared" si="6"/>
        <v>2</v>
      </c>
      <c r="H36" s="61">
        <f t="shared" ca="1" si="8"/>
        <v>16</v>
      </c>
      <c r="I36" s="83">
        <f t="shared" ca="1" si="4"/>
        <v>18</v>
      </c>
      <c r="J36" s="84"/>
    </row>
    <row r="37" spans="1:10" ht="16.8" x14ac:dyDescent="0.3">
      <c r="A37" s="103" t="s">
        <v>71</v>
      </c>
      <c r="B37" s="86">
        <v>0</v>
      </c>
      <c r="C37" s="104" t="s">
        <v>24</v>
      </c>
      <c r="D37" s="105" t="str">
        <f>IF(C37="Str",'Personal File'!$C$11,IF(C37="Dex",'Personal File'!$C$12,IF(C37="Con",'Personal File'!$C$13,IF(C37="Int",'Personal File'!$C$14,IF(C37="Wis",'Personal File'!$C$15,IF(C37="Cha",'Personal File'!$C$16))))))</f>
        <v>+2</v>
      </c>
      <c r="E37" s="105" t="str">
        <f t="shared" si="7"/>
        <v>Dex (+2)</v>
      </c>
      <c r="F37" s="110">
        <f>SUM(Martial!$D$37:$D$39)</f>
        <v>0</v>
      </c>
      <c r="G37" s="89">
        <f t="shared" si="6"/>
        <v>2</v>
      </c>
      <c r="H37" s="61">
        <f t="shared" ca="1" si="8"/>
        <v>1</v>
      </c>
      <c r="I37" s="89">
        <f t="shared" ca="1" si="4"/>
        <v>3</v>
      </c>
      <c r="J37" s="90"/>
    </row>
    <row r="38" spans="1:10" ht="16.8" x14ac:dyDescent="0.3">
      <c r="A38" s="106" t="s">
        <v>195</v>
      </c>
      <c r="B38" s="107">
        <v>0</v>
      </c>
      <c r="C38" s="108" t="s">
        <v>22</v>
      </c>
      <c r="D38" s="109" t="str">
        <f>IF(C38="Str",'Personal File'!$C$11,IF(C38="Dex",'Personal File'!$C$12,IF(C38="Con",'Personal File'!$C$13,IF(C38="Int",'Personal File'!$C$14,IF(C38="Wis",'Personal File'!$C$15,IF(C38="Cha",'Personal File'!$C$16))))))</f>
        <v>+0</v>
      </c>
      <c r="E38" s="109" t="str">
        <f t="shared" ref="E38" si="21">CONCATENATE(C38," (",D38,")")</f>
        <v>Int (+0)</v>
      </c>
      <c r="F38" s="110" t="s">
        <v>52</v>
      </c>
      <c r="G38" s="110">
        <f t="shared" ref="G38" si="22">B38+D38+F38</f>
        <v>0</v>
      </c>
      <c r="H38" s="61">
        <f t="shared" ca="1" si="8"/>
        <v>20</v>
      </c>
      <c r="I38" s="110">
        <f t="shared" ref="I38" ca="1" si="23">SUM(G38:H38)</f>
        <v>20</v>
      </c>
      <c r="J38" s="111"/>
    </row>
    <row r="39" spans="1:10" ht="16.8" x14ac:dyDescent="0.3">
      <c r="A39" s="106" t="s">
        <v>46</v>
      </c>
      <c r="B39" s="107">
        <v>0</v>
      </c>
      <c r="C39" s="108" t="s">
        <v>22</v>
      </c>
      <c r="D39" s="109" t="str">
        <f>IF(C39="Str",'Personal File'!$C$11,IF(C39="Dex",'Personal File'!$C$12,IF(C39="Con",'Personal File'!$C$13,IF(C39="Int",'Personal File'!$C$14,IF(C39="Wis",'Personal File'!$C$15,IF(C39="Cha",'Personal File'!$C$16))))))</f>
        <v>+0</v>
      </c>
      <c r="E39" s="109" t="str">
        <f t="shared" si="7"/>
        <v>Int (+0)</v>
      </c>
      <c r="F39" s="110" t="s">
        <v>52</v>
      </c>
      <c r="G39" s="110">
        <f t="shared" si="6"/>
        <v>0</v>
      </c>
      <c r="H39" s="61">
        <f t="shared" ca="1" si="8"/>
        <v>17</v>
      </c>
      <c r="I39" s="110">
        <f t="shared" ca="1" si="4"/>
        <v>17</v>
      </c>
      <c r="J39" s="111"/>
    </row>
    <row r="40" spans="1:10" ht="16.8" x14ac:dyDescent="0.3">
      <c r="A40" s="213" t="s">
        <v>47</v>
      </c>
      <c r="B40" s="82">
        <v>7</v>
      </c>
      <c r="C40" s="214" t="s">
        <v>23</v>
      </c>
      <c r="D40" s="215" t="str">
        <f>IF(C40="Str",'Personal File'!$C$11,IF(C40="Dex",'Personal File'!$C$12,IF(C40="Con",'Personal File'!$C$13,IF(C40="Int",'Personal File'!$C$14,IF(C40="Wis",'Personal File'!$C$15,IF(C40="Cha",'Personal File'!$C$16))))))</f>
        <v>+1</v>
      </c>
      <c r="E40" s="215" t="str">
        <f t="shared" si="7"/>
        <v>Wis (+1)</v>
      </c>
      <c r="F40" s="83" t="s">
        <v>52</v>
      </c>
      <c r="G40" s="83">
        <f t="shared" si="6"/>
        <v>8</v>
      </c>
      <c r="H40" s="61">
        <f t="shared" ca="1" si="8"/>
        <v>6</v>
      </c>
      <c r="I40" s="83">
        <f t="shared" ca="1" si="4"/>
        <v>14</v>
      </c>
      <c r="J40" s="84"/>
    </row>
    <row r="41" spans="1:10" ht="16.8" x14ac:dyDescent="0.3">
      <c r="A41" s="213" t="s">
        <v>72</v>
      </c>
      <c r="B41" s="82">
        <v>8</v>
      </c>
      <c r="C41" s="214" t="s">
        <v>23</v>
      </c>
      <c r="D41" s="215" t="str">
        <f>IF(C41="Str",'Personal File'!$C$11,IF(C41="Dex",'Personal File'!$C$12,IF(C41="Con",'Personal File'!$C$13,IF(C41="Int",'Personal File'!$C$14,IF(C41="Wis",'Personal File'!$C$15,IF(C41="Cha",'Personal File'!$C$16))))))</f>
        <v>+1</v>
      </c>
      <c r="E41" s="215" t="str">
        <f t="shared" si="7"/>
        <v>Wis (+1)</v>
      </c>
      <c r="F41" s="83" t="s">
        <v>52</v>
      </c>
      <c r="G41" s="83">
        <f t="shared" si="6"/>
        <v>9</v>
      </c>
      <c r="H41" s="61">
        <f t="shared" ca="1" si="8"/>
        <v>8</v>
      </c>
      <c r="I41" s="83">
        <f t="shared" ca="1" si="4"/>
        <v>17</v>
      </c>
      <c r="J41" s="200"/>
    </row>
    <row r="42" spans="1:10" ht="16.8" x14ac:dyDescent="0.3">
      <c r="A42" s="164" t="s">
        <v>13</v>
      </c>
      <c r="B42" s="82">
        <v>3</v>
      </c>
      <c r="C42" s="165" t="s">
        <v>25</v>
      </c>
      <c r="D42" s="166" t="str">
        <f>IF(C42="Str",'Personal File'!$C$11,IF(C42="Dex",'Personal File'!$C$12,IF(C42="Con",'Personal File'!$C$13,IF(C42="Int",'Personal File'!$C$14,IF(C42="Wis",'Personal File'!$C$15,IF(C42="Cha",'Personal File'!$C$16))))))</f>
        <v>+2</v>
      </c>
      <c r="E42" s="166" t="str">
        <f t="shared" si="7"/>
        <v>Str (+2)</v>
      </c>
      <c r="F42" s="83" t="s">
        <v>52</v>
      </c>
      <c r="G42" s="83">
        <f t="shared" si="6"/>
        <v>5</v>
      </c>
      <c r="H42" s="61">
        <f t="shared" ca="1" si="8"/>
        <v>15</v>
      </c>
      <c r="I42" s="83">
        <f t="shared" ca="1" si="4"/>
        <v>20</v>
      </c>
      <c r="J42" s="200"/>
    </row>
    <row r="43" spans="1:10" ht="16.8" x14ac:dyDescent="0.3">
      <c r="A43" s="113" t="s">
        <v>48</v>
      </c>
      <c r="B43" s="107">
        <v>0</v>
      </c>
      <c r="C43" s="114" t="s">
        <v>24</v>
      </c>
      <c r="D43" s="115" t="str">
        <f>IF(C43="Str",'Personal File'!$C$11,IF(C43="Dex",'Personal File'!$C$12,IF(C43="Con",'Personal File'!$C$13,IF(C43="Int",'Personal File'!$C$14,IF(C43="Wis",'Personal File'!$C$15,IF(C43="Cha",'Personal File'!$C$16))))))</f>
        <v>+2</v>
      </c>
      <c r="E43" s="115" t="str">
        <f t="shared" si="7"/>
        <v>Dex (+2)</v>
      </c>
      <c r="F43" s="110">
        <f>SUM(Martial!$D$37:$D$39)</f>
        <v>0</v>
      </c>
      <c r="G43" s="110">
        <f t="shared" si="6"/>
        <v>2</v>
      </c>
      <c r="H43" s="61">
        <f t="shared" ca="1" si="8"/>
        <v>10</v>
      </c>
      <c r="I43" s="110">
        <f t="shared" ca="1" si="4"/>
        <v>12</v>
      </c>
      <c r="J43" s="111"/>
    </row>
    <row r="44" spans="1:10" ht="16.8" x14ac:dyDescent="0.3">
      <c r="A44" s="116" t="s">
        <v>49</v>
      </c>
      <c r="B44" s="86">
        <v>0</v>
      </c>
      <c r="C44" s="117" t="s">
        <v>20</v>
      </c>
      <c r="D44" s="118" t="str">
        <f>IF(C44="Str",'Personal File'!$C$11,IF(C44="Dex",'Personal File'!$C$12,IF(C44="Con",'Personal File'!$C$13,IF(C44="Int",'Personal File'!$C$14,IF(C44="Wis",'Personal File'!$C$15,IF(C44="Cha",'Personal File'!$C$16))))))</f>
        <v>+1</v>
      </c>
      <c r="E44" s="118" t="str">
        <f t="shared" si="7"/>
        <v>Cha (+1)</v>
      </c>
      <c r="F44" s="89" t="s">
        <v>52</v>
      </c>
      <c r="G44" s="89">
        <f t="shared" si="6"/>
        <v>1</v>
      </c>
      <c r="H44" s="61">
        <f t="shared" ca="1" si="8"/>
        <v>16</v>
      </c>
      <c r="I44" s="89">
        <f t="shared" ca="1" si="4"/>
        <v>17</v>
      </c>
      <c r="J44" s="90"/>
    </row>
    <row r="45" spans="1:10" ht="17.399999999999999" thickBot="1" x14ac:dyDescent="0.35">
      <c r="A45" s="290" t="s">
        <v>50</v>
      </c>
      <c r="B45" s="291">
        <v>2</v>
      </c>
      <c r="C45" s="292" t="s">
        <v>24</v>
      </c>
      <c r="D45" s="293" t="str">
        <f>IF(C45="Str",'Personal File'!$C$11,IF(C45="Dex",'Personal File'!$C$12,IF(C45="Con",'Personal File'!$C$13,IF(C45="Int",'Personal File'!$C$14,IF(C45="Wis",'Personal File'!$C$15,IF(C45="Cha",'Personal File'!$C$16))))))</f>
        <v>+2</v>
      </c>
      <c r="E45" s="293" t="str">
        <f t="shared" si="7"/>
        <v>Dex (+2)</v>
      </c>
      <c r="F45" s="294" t="s">
        <v>52</v>
      </c>
      <c r="G45" s="294">
        <f t="shared" si="6"/>
        <v>4</v>
      </c>
      <c r="H45" s="119">
        <f t="shared" ref="H45" ca="1" si="24">RANDBETWEEN(1,20)</f>
        <v>7</v>
      </c>
      <c r="I45" s="294">
        <f t="shared" ca="1" si="4"/>
        <v>11</v>
      </c>
      <c r="J45" s="295"/>
    </row>
    <row r="46" spans="1:10" ht="16.2" thickTop="1" x14ac:dyDescent="0.3">
      <c r="A46" s="155"/>
      <c r="B46" s="156">
        <f>SUM(B6:B45)+B7+B24+B26</f>
        <v>70</v>
      </c>
      <c r="C46" s="157"/>
      <c r="D46" s="157"/>
      <c r="E46" s="156">
        <f>SUM(E47:E54)</f>
        <v>70</v>
      </c>
      <c r="F46" s="159" t="s">
        <v>53</v>
      </c>
      <c r="G46" s="157"/>
      <c r="H46" s="157"/>
      <c r="I46" s="157"/>
      <c r="J46" s="155"/>
    </row>
    <row r="47" spans="1:10" x14ac:dyDescent="0.3">
      <c r="A47" s="155"/>
      <c r="B47" s="156"/>
      <c r="C47" s="157"/>
      <c r="D47" s="157"/>
      <c r="E47" s="161">
        <f>4*(8+'Personal File'!$C$14)</f>
        <v>32</v>
      </c>
      <c r="F47" s="159" t="s">
        <v>98</v>
      </c>
      <c r="G47" s="157"/>
      <c r="H47" s="157"/>
      <c r="I47" s="157"/>
      <c r="J47" s="155"/>
    </row>
    <row r="48" spans="1:10" x14ac:dyDescent="0.3">
      <c r="A48" s="155"/>
      <c r="B48" s="156"/>
      <c r="C48" s="157"/>
      <c r="D48" s="157"/>
      <c r="E48" s="161">
        <f>8+'Personal File'!$C$14</f>
        <v>8</v>
      </c>
      <c r="F48" s="159" t="s">
        <v>155</v>
      </c>
      <c r="G48" s="157"/>
      <c r="H48" s="157"/>
      <c r="I48" s="157"/>
      <c r="J48" s="155"/>
    </row>
    <row r="49" spans="1:10" x14ac:dyDescent="0.3">
      <c r="A49" s="155"/>
      <c r="B49" s="156"/>
      <c r="C49" s="157"/>
      <c r="D49" s="157"/>
      <c r="E49" s="161">
        <f>8+'Personal File'!$C$14</f>
        <v>8</v>
      </c>
      <c r="F49" s="159" t="s">
        <v>156</v>
      </c>
      <c r="G49" s="157"/>
      <c r="H49" s="157"/>
      <c r="I49" s="157"/>
      <c r="J49" s="155"/>
    </row>
    <row r="50" spans="1:10" x14ac:dyDescent="0.3">
      <c r="A50" s="155"/>
      <c r="B50" s="156"/>
      <c r="C50" s="157"/>
      <c r="D50" s="157"/>
      <c r="E50" s="343">
        <v>0</v>
      </c>
      <c r="F50" s="159" t="s">
        <v>172</v>
      </c>
      <c r="G50" s="157"/>
      <c r="H50" s="157"/>
      <c r="I50" s="157"/>
      <c r="J50" s="155"/>
    </row>
    <row r="51" spans="1:10" x14ac:dyDescent="0.3">
      <c r="A51" s="155"/>
      <c r="B51" s="156"/>
      <c r="C51" s="157"/>
      <c r="D51" s="157"/>
      <c r="E51" s="161">
        <f>8+'Personal File'!$C$14</f>
        <v>8</v>
      </c>
      <c r="F51" s="159" t="s">
        <v>173</v>
      </c>
      <c r="G51" s="157"/>
      <c r="H51" s="157"/>
      <c r="I51" s="157"/>
      <c r="J51" s="155"/>
    </row>
    <row r="52" spans="1:10" x14ac:dyDescent="0.3">
      <c r="A52" s="155"/>
      <c r="B52" s="156"/>
      <c r="C52" s="157"/>
      <c r="D52" s="157"/>
      <c r="E52" s="343">
        <v>0</v>
      </c>
      <c r="F52" s="159" t="s">
        <v>175</v>
      </c>
      <c r="G52" s="157"/>
      <c r="H52" s="157"/>
      <c r="I52" s="157"/>
      <c r="J52" s="155"/>
    </row>
    <row r="53" spans="1:10" x14ac:dyDescent="0.3">
      <c r="A53" s="155"/>
      <c r="B53" s="156"/>
      <c r="C53" s="157"/>
      <c r="D53" s="157"/>
      <c r="E53" s="161">
        <f>8+'Personal File'!$C$14</f>
        <v>8</v>
      </c>
      <c r="F53" s="159" t="s">
        <v>218</v>
      </c>
      <c r="G53" s="157"/>
      <c r="H53" s="157"/>
      <c r="I53" s="157"/>
      <c r="J53" s="155"/>
    </row>
    <row r="54" spans="1:10" x14ac:dyDescent="0.3">
      <c r="A54" s="155"/>
      <c r="B54" s="156"/>
      <c r="C54" s="157"/>
      <c r="D54" s="157"/>
      <c r="E54" s="161">
        <f>6+'Personal File'!$C$14</f>
        <v>6</v>
      </c>
      <c r="F54" s="159" t="s">
        <v>237</v>
      </c>
      <c r="G54" s="157"/>
      <c r="H54" s="157"/>
      <c r="I54" s="157"/>
      <c r="J54" s="155"/>
    </row>
    <row r="55" spans="1:10" x14ac:dyDescent="0.3">
      <c r="A55" s="155"/>
      <c r="B55" s="156"/>
      <c r="C55" s="157"/>
      <c r="D55" s="157"/>
      <c r="E55" s="161"/>
      <c r="F55" s="160"/>
      <c r="G55" s="157"/>
      <c r="H55" s="157"/>
      <c r="I55" s="157"/>
      <c r="J55" s="155"/>
    </row>
    <row r="56" spans="1:10" x14ac:dyDescent="0.3">
      <c r="A56" s="155"/>
      <c r="B56" s="156"/>
      <c r="C56" s="157"/>
      <c r="D56" s="157"/>
      <c r="E56" s="161"/>
      <c r="F56" s="160"/>
      <c r="G56" s="157"/>
      <c r="H56" s="157"/>
      <c r="I56" s="157"/>
      <c r="J56" s="155"/>
    </row>
    <row r="57" spans="1:10" x14ac:dyDescent="0.3">
      <c r="A57" s="155"/>
      <c r="B57" s="156"/>
      <c r="C57" s="157"/>
      <c r="D57" s="157"/>
      <c r="E57" s="161"/>
      <c r="F57" s="160"/>
      <c r="G57" s="157"/>
      <c r="H57" s="157"/>
      <c r="I57" s="157"/>
      <c r="J57" s="155"/>
    </row>
    <row r="58" spans="1:10" x14ac:dyDescent="0.3">
      <c r="A58" s="155"/>
      <c r="B58" s="156"/>
      <c r="C58" s="157"/>
      <c r="D58" s="157"/>
      <c r="E58" s="161"/>
      <c r="F58" s="160"/>
      <c r="G58" s="157"/>
      <c r="H58" s="157"/>
      <c r="I58" s="157"/>
      <c r="J58" s="155"/>
    </row>
    <row r="59" spans="1:10" x14ac:dyDescent="0.3">
      <c r="A59" s="155"/>
      <c r="B59" s="156"/>
      <c r="C59" s="157"/>
      <c r="D59" s="157"/>
      <c r="E59" s="161"/>
      <c r="F59" s="160"/>
      <c r="G59" s="157"/>
      <c r="H59" s="157"/>
      <c r="I59" s="157"/>
      <c r="J59" s="155"/>
    </row>
    <row r="60" spans="1:10" x14ac:dyDescent="0.3">
      <c r="A60" s="155"/>
      <c r="B60" s="156"/>
      <c r="C60" s="157"/>
      <c r="D60" s="157"/>
      <c r="E60" s="161"/>
      <c r="F60" s="160"/>
      <c r="G60" s="157"/>
      <c r="H60" s="157"/>
      <c r="I60" s="157"/>
      <c r="J60" s="155"/>
    </row>
    <row r="61" spans="1:10" x14ac:dyDescent="0.3">
      <c r="A61" s="155"/>
      <c r="B61" s="155"/>
      <c r="C61" s="157"/>
      <c r="D61" s="157"/>
      <c r="E61" s="158"/>
      <c r="F61" s="160"/>
      <c r="G61" s="157"/>
      <c r="H61" s="157"/>
      <c r="I61" s="157"/>
      <c r="J61" s="155"/>
    </row>
    <row r="62" spans="1:10" x14ac:dyDescent="0.3">
      <c r="A62" s="162"/>
      <c r="B62" s="162"/>
      <c r="C62" s="163"/>
      <c r="D62" s="163"/>
      <c r="E62" s="163"/>
      <c r="F62" s="163"/>
      <c r="G62" s="163"/>
      <c r="H62" s="163"/>
      <c r="I62" s="163"/>
      <c r="J62" s="162"/>
    </row>
    <row r="63" spans="1:10" x14ac:dyDescent="0.3">
      <c r="A63" s="162"/>
      <c r="B63" s="162"/>
      <c r="C63" s="163"/>
      <c r="D63" s="163"/>
      <c r="E63" s="163"/>
      <c r="F63" s="163"/>
      <c r="G63" s="163"/>
      <c r="H63" s="163"/>
      <c r="I63" s="163"/>
      <c r="J63" s="16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6"/>
  <sheetViews>
    <sheetView showGridLines="0" workbookViewId="0"/>
  </sheetViews>
  <sheetFormatPr defaultColWidth="13" defaultRowHeight="15.6" x14ac:dyDescent="0.3"/>
  <cols>
    <col min="1" max="1" width="31.796875" style="52" bestFit="1" customWidth="1"/>
    <col min="2" max="2" width="2.09765625" style="50" customWidth="1"/>
    <col min="3" max="3" width="15.296875" style="50" bestFit="1" customWidth="1"/>
    <col min="4" max="4" width="6.19921875" style="50" bestFit="1" customWidth="1"/>
    <col min="5" max="5" width="4.09765625" style="50" bestFit="1" customWidth="1"/>
    <col min="6" max="6" width="6.296875" style="50" bestFit="1" customWidth="1"/>
    <col min="7" max="16384" width="13" style="50"/>
  </cols>
  <sheetData>
    <row r="1" spans="1:6" ht="24" thickTop="1" thickBot="1" x14ac:dyDescent="0.3">
      <c r="A1" s="222" t="s">
        <v>101</v>
      </c>
      <c r="B1" s="329"/>
      <c r="C1" s="330" t="s">
        <v>210</v>
      </c>
      <c r="D1" s="320"/>
      <c r="E1" s="320"/>
      <c r="F1" s="331"/>
    </row>
    <row r="2" spans="1:6" ht="17.399999999999999" thickTop="1" x14ac:dyDescent="0.3">
      <c r="A2" s="382" t="s">
        <v>219</v>
      </c>
      <c r="C2" s="321" t="s">
        <v>60</v>
      </c>
      <c r="D2" s="322" t="s">
        <v>0</v>
      </c>
      <c r="E2" s="360" t="s">
        <v>161</v>
      </c>
    </row>
    <row r="3" spans="1:6" ht="16.8" x14ac:dyDescent="0.3">
      <c r="A3" s="382" t="str">
        <f>CONCATENATE("Aura of Menace DC ",'Personal File'!E3+10)</f>
        <v>Aura of Menace DC 17</v>
      </c>
      <c r="C3" s="323" t="s">
        <v>163</v>
      </c>
      <c r="D3" s="324">
        <v>0</v>
      </c>
      <c r="E3" s="361">
        <f>D3+'Personal File'!$C$15</f>
        <v>1</v>
      </c>
    </row>
    <row r="4" spans="1:6" ht="16.8" x14ac:dyDescent="0.3">
      <c r="A4" s="382" t="s">
        <v>174</v>
      </c>
      <c r="C4" s="325" t="s">
        <v>164</v>
      </c>
      <c r="D4" s="326">
        <v>0</v>
      </c>
      <c r="E4" s="362">
        <f>D4+'Personal File'!$C$15</f>
        <v>1</v>
      </c>
    </row>
    <row r="5" spans="1:6" ht="16.8" x14ac:dyDescent="0.3">
      <c r="A5" s="383" t="s">
        <v>189</v>
      </c>
      <c r="C5" s="325" t="s">
        <v>165</v>
      </c>
      <c r="D5" s="326">
        <v>0</v>
      </c>
      <c r="E5" s="362">
        <f>D5+'Personal File'!$C$15</f>
        <v>1</v>
      </c>
    </row>
    <row r="6" spans="1:6" ht="17.399999999999999" thickBot="1" x14ac:dyDescent="0.35">
      <c r="A6" s="384" t="str">
        <f>CONCATENATE("Tongues, CL ",8+'Personal File'!E3)</f>
        <v>Tongues, CL 15</v>
      </c>
      <c r="C6" s="327" t="s">
        <v>162</v>
      </c>
      <c r="D6" s="328">
        <v>0</v>
      </c>
      <c r="E6" s="363">
        <f>D6+'Personal File'!$C$15</f>
        <v>1</v>
      </c>
    </row>
    <row r="7" spans="1:6" ht="16.8" thickTop="1" thickBot="1" x14ac:dyDescent="0.35"/>
    <row r="8" spans="1:6" ht="22.2" thickTop="1" thickBot="1" x14ac:dyDescent="0.35">
      <c r="A8" s="405" t="s">
        <v>234</v>
      </c>
      <c r="D8" s="53" t="s">
        <v>187</v>
      </c>
      <c r="E8" s="348">
        <f>'Personal File'!$E$5</f>
        <v>6</v>
      </c>
    </row>
    <row r="9" spans="1:6" ht="16.8" x14ac:dyDescent="0.3">
      <c r="A9" s="382" t="s">
        <v>235</v>
      </c>
      <c r="F9" s="120"/>
    </row>
    <row r="10" spans="1:6" ht="16.8" x14ac:dyDescent="0.3">
      <c r="A10" s="406" t="s">
        <v>236</v>
      </c>
    </row>
    <row r="11" spans="1:6" ht="17.399999999999999" thickBot="1" x14ac:dyDescent="0.35">
      <c r="A11" s="384" t="s">
        <v>240</v>
      </c>
    </row>
    <row r="12" spans="1:6" ht="16.8" thickTop="1" thickBot="1" x14ac:dyDescent="0.35"/>
    <row r="13" spans="1:6" ht="22.2" thickTop="1" thickBot="1" x14ac:dyDescent="0.35">
      <c r="A13" s="223" t="s">
        <v>86</v>
      </c>
    </row>
    <row r="14" spans="1:6" ht="16.8" x14ac:dyDescent="0.3">
      <c r="A14" s="382" t="s">
        <v>75</v>
      </c>
    </row>
    <row r="15" spans="1:6" ht="17.399999999999999" thickBot="1" x14ac:dyDescent="0.35">
      <c r="A15" s="216" t="s">
        <v>239</v>
      </c>
    </row>
    <row r="16" spans="1:6" ht="16.8" thickTop="1" thickBot="1" x14ac:dyDescent="0.35"/>
    <row r="17" spans="1:1" ht="22.2" thickTop="1" thickBot="1" x14ac:dyDescent="0.35">
      <c r="A17" s="222" t="s">
        <v>208</v>
      </c>
    </row>
    <row r="18" spans="1:1" ht="16.8" x14ac:dyDescent="0.3">
      <c r="A18" s="385" t="s">
        <v>220</v>
      </c>
    </row>
    <row r="19" spans="1:1" ht="16.8" x14ac:dyDescent="0.3">
      <c r="A19" s="407" t="s">
        <v>266</v>
      </c>
    </row>
    <row r="20" spans="1:1" ht="16.8" x14ac:dyDescent="0.3">
      <c r="A20" s="407" t="s">
        <v>221</v>
      </c>
    </row>
    <row r="21" spans="1:1" ht="17.399999999999999" thickBot="1" x14ac:dyDescent="0.35">
      <c r="A21" s="386" t="s">
        <v>246</v>
      </c>
    </row>
    <row r="22" spans="1:1" ht="16.8" thickTop="1" thickBot="1" x14ac:dyDescent="0.35"/>
    <row r="23" spans="1:1" ht="22.2" thickTop="1" thickBot="1" x14ac:dyDescent="0.35">
      <c r="A23" s="221" t="s">
        <v>61</v>
      </c>
    </row>
    <row r="24" spans="1:1" ht="16.8" x14ac:dyDescent="0.3">
      <c r="A24" s="319" t="s">
        <v>202</v>
      </c>
    </row>
    <row r="25" spans="1:1" ht="17.399999999999999" thickBot="1" x14ac:dyDescent="0.35">
      <c r="A25" s="54" t="s">
        <v>167</v>
      </c>
    </row>
    <row r="26" spans="1:1" ht="16.2" thickTop="1" x14ac:dyDescent="0.3"/>
  </sheetData>
  <conditionalFormatting sqref="F1">
    <cfRule type="cellIs" dxfId="8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0"/>
  <sheetViews>
    <sheetView showGridLines="0" zoomScaleNormal="100" workbookViewId="0"/>
  </sheetViews>
  <sheetFormatPr defaultColWidth="13" defaultRowHeight="15.6" x14ac:dyDescent="0.3"/>
  <cols>
    <col min="1" max="1" width="22.796875" style="21" bestFit="1" customWidth="1"/>
    <col min="2" max="2" width="8.5" style="21" bestFit="1" customWidth="1"/>
    <col min="3" max="3" width="6.8984375" style="21" bestFit="1" customWidth="1"/>
    <col min="4" max="4" width="6.296875" style="21" bestFit="1" customWidth="1"/>
    <col min="5" max="5" width="8.09765625" style="21" bestFit="1" customWidth="1"/>
    <col min="6" max="6" width="8.3984375" style="21" bestFit="1" customWidth="1"/>
    <col min="7" max="7" width="4.796875" style="21" bestFit="1" customWidth="1"/>
    <col min="8" max="8" width="4.69921875" style="21" bestFit="1" customWidth="1"/>
    <col min="9" max="9" width="5.69921875" style="21" bestFit="1" customWidth="1"/>
    <col min="10" max="10" width="6.296875" style="21" bestFit="1" customWidth="1"/>
    <col min="11" max="11" width="19.5" style="21" bestFit="1" customWidth="1"/>
    <col min="12" max="12" width="2" style="13" customWidth="1"/>
    <col min="13" max="13" width="5.796875" style="13" bestFit="1" customWidth="1"/>
    <col min="14" max="16384" width="13" style="13"/>
  </cols>
  <sheetData>
    <row r="1" spans="1:13" ht="23.4" thickBot="1" x14ac:dyDescent="0.35">
      <c r="A1" s="12" t="s">
        <v>85</v>
      </c>
      <c r="B1" s="12"/>
      <c r="C1" s="12"/>
      <c r="D1" s="12"/>
      <c r="E1" s="12"/>
      <c r="F1" s="12"/>
      <c r="G1" s="12"/>
      <c r="H1" s="12"/>
      <c r="I1" s="12"/>
      <c r="J1" s="12"/>
      <c r="K1" s="12"/>
      <c r="M1" s="401"/>
    </row>
    <row r="2" spans="1:13" ht="16.8" thickTop="1" thickBot="1" x14ac:dyDescent="0.35">
      <c r="A2" s="14" t="s">
        <v>2</v>
      </c>
      <c r="B2" s="15" t="s">
        <v>97</v>
      </c>
      <c r="C2" s="15" t="s">
        <v>15</v>
      </c>
      <c r="D2" s="15" t="s">
        <v>16</v>
      </c>
      <c r="E2" s="16" t="s">
        <v>54</v>
      </c>
      <c r="F2" s="15" t="s">
        <v>14</v>
      </c>
      <c r="G2" s="15" t="s">
        <v>17</v>
      </c>
      <c r="H2" s="17" t="s">
        <v>73</v>
      </c>
      <c r="I2" s="18" t="s">
        <v>74</v>
      </c>
      <c r="J2" s="17" t="s">
        <v>67</v>
      </c>
      <c r="K2" s="19" t="s">
        <v>1</v>
      </c>
      <c r="M2" s="170" t="s">
        <v>78</v>
      </c>
    </row>
    <row r="3" spans="1:13" x14ac:dyDescent="0.3">
      <c r="A3" s="368" t="s">
        <v>99</v>
      </c>
      <c r="B3" s="175" t="s">
        <v>188</v>
      </c>
      <c r="C3" s="369">
        <f>'Personal File'!$C$11+0</f>
        <v>2</v>
      </c>
      <c r="D3" s="369">
        <v>0</v>
      </c>
      <c r="E3" s="370" t="s">
        <v>100</v>
      </c>
      <c r="F3" s="371" t="s">
        <v>81</v>
      </c>
      <c r="G3" s="372" t="s">
        <v>83</v>
      </c>
      <c r="H3" s="373" t="str">
        <f>CONCATENATE("+",'Personal File'!$B$9+'Personal File'!$C$11+D3)</f>
        <v>+9</v>
      </c>
      <c r="I3" s="257">
        <f t="shared" ref="I3:I26" ca="1" si="0">RANDBETWEEN(1,20)</f>
        <v>16</v>
      </c>
      <c r="J3" s="374">
        <f t="shared" ref="J3:J5" ca="1" si="1">I3+RIGHT(H3,2)</f>
        <v>25</v>
      </c>
      <c r="K3" s="375" t="s">
        <v>267</v>
      </c>
      <c r="L3" s="359"/>
      <c r="M3" s="260" t="s">
        <v>83</v>
      </c>
    </row>
    <row r="4" spans="1:13" x14ac:dyDescent="0.3">
      <c r="A4" s="251" t="s">
        <v>157</v>
      </c>
      <c r="B4" s="11" t="s">
        <v>113</v>
      </c>
      <c r="C4" s="252">
        <f>'Personal File'!$C$11/2</f>
        <v>1</v>
      </c>
      <c r="D4" s="252">
        <v>0</v>
      </c>
      <c r="E4" s="253" t="s">
        <v>100</v>
      </c>
      <c r="F4" s="254" t="s">
        <v>159</v>
      </c>
      <c r="G4" s="357" t="s">
        <v>83</v>
      </c>
      <c r="H4" s="255" t="str">
        <f>CONCATENATE("+",'Personal File'!$B$9+'Personal File'!$C$11+D4-1)</f>
        <v>+8</v>
      </c>
      <c r="I4" s="257">
        <f t="shared" ca="1" si="0"/>
        <v>14</v>
      </c>
      <c r="J4" s="358">
        <f t="shared" ca="1" si="1"/>
        <v>22</v>
      </c>
      <c r="K4" s="259" t="s">
        <v>267</v>
      </c>
      <c r="L4" s="359"/>
      <c r="M4" s="260" t="s">
        <v>83</v>
      </c>
    </row>
    <row r="5" spans="1:13" x14ac:dyDescent="0.3">
      <c r="A5" s="417" t="s">
        <v>158</v>
      </c>
      <c r="B5" s="418" t="s">
        <v>113</v>
      </c>
      <c r="C5" s="419">
        <f>'Personal File'!$C$11/2</f>
        <v>1</v>
      </c>
      <c r="D5" s="419">
        <v>0</v>
      </c>
      <c r="E5" s="420" t="s">
        <v>100</v>
      </c>
      <c r="F5" s="421" t="s">
        <v>159</v>
      </c>
      <c r="G5" s="434" t="s">
        <v>83</v>
      </c>
      <c r="H5" s="422" t="str">
        <f>CONCATENATE("+",'Personal File'!$B$9+'Personal File'!$C$11+D5-1)</f>
        <v>+8</v>
      </c>
      <c r="I5" s="424">
        <f t="shared" ca="1" si="0"/>
        <v>16</v>
      </c>
      <c r="J5" s="435">
        <f t="shared" ca="1" si="1"/>
        <v>24</v>
      </c>
      <c r="K5" s="426" t="s">
        <v>267</v>
      </c>
      <c r="L5" s="359"/>
      <c r="M5" s="436" t="s">
        <v>83</v>
      </c>
    </row>
    <row r="6" spans="1:13" x14ac:dyDescent="0.3">
      <c r="A6" s="197" t="s">
        <v>228</v>
      </c>
      <c r="B6" s="198" t="s">
        <v>188</v>
      </c>
      <c r="C6" s="427">
        <f>'Personal File'!$C$11+1</f>
        <v>3</v>
      </c>
      <c r="D6" s="427">
        <f>1</f>
        <v>1</v>
      </c>
      <c r="E6" s="428" t="s">
        <v>110</v>
      </c>
      <c r="F6" s="429" t="s">
        <v>111</v>
      </c>
      <c r="G6" s="262">
        <v>4</v>
      </c>
      <c r="H6" s="430" t="str">
        <f>CONCATENATE("+",'Personal File'!$B$9+'Personal File'!$C$11+D6)</f>
        <v>+10</v>
      </c>
      <c r="I6" s="431">
        <f t="shared" ca="1" si="0"/>
        <v>16</v>
      </c>
      <c r="J6" s="432">
        <f t="shared" ref="J6:J26" ca="1" si="2">I6+RIGHT(H6,2)</f>
        <v>26</v>
      </c>
      <c r="K6" s="433"/>
      <c r="M6" s="260">
        <v>2015</v>
      </c>
    </row>
    <row r="7" spans="1:13" x14ac:dyDescent="0.3">
      <c r="A7" s="417" t="s">
        <v>253</v>
      </c>
      <c r="B7" s="418" t="s">
        <v>188</v>
      </c>
      <c r="C7" s="419">
        <f>'Personal File'!$C$11+1</f>
        <v>3</v>
      </c>
      <c r="D7" s="419">
        <f>1</f>
        <v>1</v>
      </c>
      <c r="E7" s="420" t="s">
        <v>110</v>
      </c>
      <c r="F7" s="421" t="s">
        <v>111</v>
      </c>
      <c r="G7" s="434" t="s">
        <v>83</v>
      </c>
      <c r="H7" s="423" t="str">
        <f>CONCATENATE("+",'Personal File'!$B$9+'Personal File'!$C$11+D7-5)</f>
        <v>+5</v>
      </c>
      <c r="I7" s="424">
        <f t="shared" ca="1" si="0"/>
        <v>17</v>
      </c>
      <c r="J7" s="425">
        <f t="shared" ref="J7:J9" ca="1" si="3">I7+RIGHT(H7,2)</f>
        <v>22</v>
      </c>
      <c r="K7" s="426"/>
      <c r="M7" s="436" t="s">
        <v>83</v>
      </c>
    </row>
    <row r="8" spans="1:13" x14ac:dyDescent="0.3">
      <c r="A8" s="197" t="s">
        <v>272</v>
      </c>
      <c r="B8" s="198" t="s">
        <v>188</v>
      </c>
      <c r="C8" s="427">
        <f>3+1</f>
        <v>4</v>
      </c>
      <c r="D8" s="427">
        <f>1</f>
        <v>1</v>
      </c>
      <c r="E8" s="428" t="s">
        <v>193</v>
      </c>
      <c r="F8" s="429" t="s">
        <v>111</v>
      </c>
      <c r="G8" s="261">
        <v>6</v>
      </c>
      <c r="H8" s="430" t="str">
        <f>CONCATENATE("+",'Personal File'!$B$9+'Personal File'!$C$11+D8)</f>
        <v>+10</v>
      </c>
      <c r="I8" s="431">
        <f t="shared" ca="1" si="0"/>
        <v>12</v>
      </c>
      <c r="J8" s="432">
        <f t="shared" ca="1" si="3"/>
        <v>22</v>
      </c>
      <c r="K8" s="433"/>
      <c r="M8" s="260">
        <v>2000</v>
      </c>
    </row>
    <row r="9" spans="1:13" x14ac:dyDescent="0.3">
      <c r="A9" s="417" t="s">
        <v>273</v>
      </c>
      <c r="B9" s="418" t="s">
        <v>188</v>
      </c>
      <c r="C9" s="419">
        <v>4</v>
      </c>
      <c r="D9" s="419">
        <f>1</f>
        <v>1</v>
      </c>
      <c r="E9" s="428" t="s">
        <v>193</v>
      </c>
      <c r="F9" s="421" t="s">
        <v>111</v>
      </c>
      <c r="G9" s="434" t="s">
        <v>83</v>
      </c>
      <c r="H9" s="423" t="str">
        <f>CONCATENATE("+",'Personal File'!$B$9+'Personal File'!$C$11+D9-5)</f>
        <v>+5</v>
      </c>
      <c r="I9" s="424">
        <f t="shared" ca="1" si="0"/>
        <v>19</v>
      </c>
      <c r="J9" s="425">
        <f t="shared" ca="1" si="3"/>
        <v>24</v>
      </c>
      <c r="K9" s="426"/>
      <c r="M9" s="436" t="s">
        <v>83</v>
      </c>
    </row>
    <row r="10" spans="1:13" x14ac:dyDescent="0.3">
      <c r="A10" s="197" t="s">
        <v>248</v>
      </c>
      <c r="B10" s="198" t="s">
        <v>188</v>
      </c>
      <c r="C10" s="427">
        <f>'Personal File'!$C$11+1</f>
        <v>3</v>
      </c>
      <c r="D10" s="427">
        <f>1</f>
        <v>1</v>
      </c>
      <c r="E10" s="428" t="s">
        <v>193</v>
      </c>
      <c r="F10" s="429" t="s">
        <v>81</v>
      </c>
      <c r="G10" s="261" t="s">
        <v>250</v>
      </c>
      <c r="H10" s="430" t="str">
        <f>CONCATENATE("+",'Personal File'!$B$9+'Personal File'!$C$11+D10)</f>
        <v>+10</v>
      </c>
      <c r="I10" s="431">
        <f t="shared" ca="1" si="0"/>
        <v>14</v>
      </c>
      <c r="J10" s="432">
        <f t="shared" ref="J10:J12" ca="1" si="4">I10+RIGHT(H10,2)</f>
        <v>24</v>
      </c>
      <c r="K10" s="433" t="s">
        <v>249</v>
      </c>
      <c r="M10" s="260">
        <v>2305</v>
      </c>
    </row>
    <row r="11" spans="1:13" x14ac:dyDescent="0.3">
      <c r="A11" s="417" t="s">
        <v>254</v>
      </c>
      <c r="B11" s="418" t="s">
        <v>188</v>
      </c>
      <c r="C11" s="419">
        <f>'Personal File'!$C$11+1</f>
        <v>3</v>
      </c>
      <c r="D11" s="419">
        <f>1</f>
        <v>1</v>
      </c>
      <c r="E11" s="420" t="s">
        <v>193</v>
      </c>
      <c r="F11" s="421" t="s">
        <v>81</v>
      </c>
      <c r="G11" s="434" t="s">
        <v>83</v>
      </c>
      <c r="H11" s="423" t="str">
        <f>CONCATENATE("+",'Personal File'!$B$9+'Personal File'!$C$11+D11-5)</f>
        <v>+5</v>
      </c>
      <c r="I11" s="424">
        <f t="shared" ca="1" si="0"/>
        <v>1</v>
      </c>
      <c r="J11" s="425">
        <f t="shared" ref="J11" ca="1" si="5">I11+RIGHT(H11,2)</f>
        <v>6</v>
      </c>
      <c r="K11" s="426" t="s">
        <v>249</v>
      </c>
      <c r="M11" s="436" t="s">
        <v>83</v>
      </c>
    </row>
    <row r="12" spans="1:13" x14ac:dyDescent="0.3">
      <c r="A12" s="197" t="s">
        <v>262</v>
      </c>
      <c r="B12" s="198" t="s">
        <v>188</v>
      </c>
      <c r="C12" s="427" t="str">
        <f>'Personal File'!$C$11</f>
        <v>+2</v>
      </c>
      <c r="D12" s="427">
        <v>0</v>
      </c>
      <c r="E12" s="428" t="s">
        <v>193</v>
      </c>
      <c r="F12" s="429" t="s">
        <v>81</v>
      </c>
      <c r="G12" s="261" t="s">
        <v>252</v>
      </c>
      <c r="H12" s="430" t="str">
        <f>CONCATENATE("+",'Personal File'!$B$9+'Personal File'!$C$11+D12)</f>
        <v>+9</v>
      </c>
      <c r="I12" s="431">
        <f t="shared" ca="1" si="0"/>
        <v>20</v>
      </c>
      <c r="J12" s="432">
        <f t="shared" ca="1" si="4"/>
        <v>29</v>
      </c>
      <c r="K12" s="433" t="s">
        <v>249</v>
      </c>
      <c r="M12" s="260">
        <v>3</v>
      </c>
    </row>
    <row r="13" spans="1:13" x14ac:dyDescent="0.3">
      <c r="A13" s="417" t="s">
        <v>255</v>
      </c>
      <c r="B13" s="418" t="s">
        <v>188</v>
      </c>
      <c r="C13" s="419" t="str">
        <f>'Personal File'!$C$11</f>
        <v>+2</v>
      </c>
      <c r="D13" s="419">
        <v>0</v>
      </c>
      <c r="E13" s="420" t="s">
        <v>193</v>
      </c>
      <c r="F13" s="421" t="s">
        <v>81</v>
      </c>
      <c r="G13" s="434" t="s">
        <v>83</v>
      </c>
      <c r="H13" s="423" t="str">
        <f>CONCATENATE("+",'Personal File'!$B$9+'Personal File'!$C$11+D13-5)</f>
        <v>+4</v>
      </c>
      <c r="I13" s="424">
        <f t="shared" ca="1" si="0"/>
        <v>12</v>
      </c>
      <c r="J13" s="425">
        <f t="shared" ref="J13" ca="1" si="6">I13+RIGHT(H13,2)</f>
        <v>16</v>
      </c>
      <c r="K13" s="426" t="s">
        <v>249</v>
      </c>
      <c r="M13" s="436" t="s">
        <v>83</v>
      </c>
    </row>
    <row r="14" spans="1:13" x14ac:dyDescent="0.3">
      <c r="A14" s="197" t="s">
        <v>231</v>
      </c>
      <c r="B14" s="198" t="s">
        <v>215</v>
      </c>
      <c r="C14" s="427">
        <f>'Personal File'!$C$11+1</f>
        <v>3</v>
      </c>
      <c r="D14" s="427">
        <f>1</f>
        <v>1</v>
      </c>
      <c r="E14" s="428" t="s">
        <v>110</v>
      </c>
      <c r="F14" s="429" t="s">
        <v>81</v>
      </c>
      <c r="G14" s="262">
        <v>2</v>
      </c>
      <c r="H14" s="430" t="str">
        <f>CONCATENATE("+",'Personal File'!$B$9+'Personal File'!$C$11+D14)</f>
        <v>+10</v>
      </c>
      <c r="I14" s="431">
        <f t="shared" ca="1" si="0"/>
        <v>4</v>
      </c>
      <c r="J14" s="432">
        <f t="shared" ref="J14" ca="1" si="7">I14+RIGHT(H14,2)</f>
        <v>14</v>
      </c>
      <c r="K14" s="433"/>
      <c r="M14" s="260">
        <v>300</v>
      </c>
    </row>
    <row r="15" spans="1:13" x14ac:dyDescent="0.3">
      <c r="A15" s="417" t="s">
        <v>256</v>
      </c>
      <c r="B15" s="418" t="s">
        <v>215</v>
      </c>
      <c r="C15" s="419">
        <f>'Personal File'!$C$11+1</f>
        <v>3</v>
      </c>
      <c r="D15" s="419">
        <f>1</f>
        <v>1</v>
      </c>
      <c r="E15" s="420" t="s">
        <v>110</v>
      </c>
      <c r="F15" s="421" t="s">
        <v>81</v>
      </c>
      <c r="G15" s="434" t="s">
        <v>83</v>
      </c>
      <c r="H15" s="423" t="str">
        <f>CONCATENATE("+",'Personal File'!$B$9+'Personal File'!$C$11+D15-5)</f>
        <v>+5</v>
      </c>
      <c r="I15" s="424">
        <f t="shared" ca="1" si="0"/>
        <v>12</v>
      </c>
      <c r="J15" s="425">
        <f t="shared" ref="J15" ca="1" si="8">I15+RIGHT(H15,2)</f>
        <v>17</v>
      </c>
      <c r="K15" s="426"/>
      <c r="M15" s="436" t="s">
        <v>83</v>
      </c>
    </row>
    <row r="16" spans="1:13" x14ac:dyDescent="0.3">
      <c r="A16" s="197" t="s">
        <v>108</v>
      </c>
      <c r="B16" s="198" t="s">
        <v>113</v>
      </c>
      <c r="C16" s="427">
        <f>'Personal File'!$C$11+0</f>
        <v>2</v>
      </c>
      <c r="D16" s="427">
        <v>0</v>
      </c>
      <c r="E16" s="428" t="s">
        <v>110</v>
      </c>
      <c r="F16" s="429" t="s">
        <v>112</v>
      </c>
      <c r="G16" s="262">
        <v>1</v>
      </c>
      <c r="H16" s="430" t="str">
        <f>CONCATENATE("+",'Personal File'!$B$9+'Personal File'!$C$11+D16)</f>
        <v>+9</v>
      </c>
      <c r="I16" s="431">
        <f t="shared" ca="1" si="0"/>
        <v>11</v>
      </c>
      <c r="J16" s="432">
        <f t="shared" ca="1" si="2"/>
        <v>20</v>
      </c>
      <c r="K16" s="433"/>
      <c r="M16" s="260">
        <v>2</v>
      </c>
    </row>
    <row r="17" spans="1:13" x14ac:dyDescent="0.3">
      <c r="A17" s="417" t="s">
        <v>257</v>
      </c>
      <c r="B17" s="418" t="s">
        <v>113</v>
      </c>
      <c r="C17" s="419">
        <f>'Personal File'!$C$11+0</f>
        <v>2</v>
      </c>
      <c r="D17" s="419">
        <v>0</v>
      </c>
      <c r="E17" s="420" t="s">
        <v>110</v>
      </c>
      <c r="F17" s="421" t="s">
        <v>112</v>
      </c>
      <c r="G17" s="434" t="s">
        <v>83</v>
      </c>
      <c r="H17" s="423" t="str">
        <f>CONCATENATE("+",'Personal File'!$B$9+'Personal File'!$C$11+D17-5)</f>
        <v>+4</v>
      </c>
      <c r="I17" s="424">
        <f t="shared" ca="1" si="0"/>
        <v>15</v>
      </c>
      <c r="J17" s="425">
        <f t="shared" ref="J17" ca="1" si="9">I17+RIGHT(H17,2)</f>
        <v>19</v>
      </c>
      <c r="K17" s="426"/>
      <c r="M17" s="436" t="s">
        <v>83</v>
      </c>
    </row>
    <row r="18" spans="1:13" x14ac:dyDescent="0.3">
      <c r="A18" s="197" t="s">
        <v>109</v>
      </c>
      <c r="B18" s="198" t="s">
        <v>113</v>
      </c>
      <c r="C18" s="427">
        <f>'Personal File'!$C$11+0</f>
        <v>2</v>
      </c>
      <c r="D18" s="427">
        <v>0</v>
      </c>
      <c r="E18" s="428" t="s">
        <v>110</v>
      </c>
      <c r="F18" s="429" t="s">
        <v>112</v>
      </c>
      <c r="G18" s="262">
        <v>1</v>
      </c>
      <c r="H18" s="430" t="str">
        <f>CONCATENATE("+",'Personal File'!$B$9+'Personal File'!$C$11+D18)</f>
        <v>+9</v>
      </c>
      <c r="I18" s="431">
        <f t="shared" ca="1" si="0"/>
        <v>17</v>
      </c>
      <c r="J18" s="432">
        <f t="shared" ref="J18" ca="1" si="10">I18+RIGHT(H18,2)</f>
        <v>26</v>
      </c>
      <c r="K18" s="433"/>
      <c r="M18" s="260">
        <v>2</v>
      </c>
    </row>
    <row r="19" spans="1:13" x14ac:dyDescent="0.3">
      <c r="A19" s="417" t="s">
        <v>257</v>
      </c>
      <c r="B19" s="418" t="s">
        <v>113</v>
      </c>
      <c r="C19" s="419">
        <f>'Personal File'!$C$11+0</f>
        <v>2</v>
      </c>
      <c r="D19" s="419">
        <v>0</v>
      </c>
      <c r="E19" s="420" t="s">
        <v>110</v>
      </c>
      <c r="F19" s="421" t="s">
        <v>112</v>
      </c>
      <c r="G19" s="434" t="s">
        <v>83</v>
      </c>
      <c r="H19" s="423" t="str">
        <f>CONCATENATE("+",'Personal File'!$B$9+'Personal File'!$C$11+D19-5)</f>
        <v>+4</v>
      </c>
      <c r="I19" s="424">
        <f t="shared" ca="1" si="0"/>
        <v>17</v>
      </c>
      <c r="J19" s="425">
        <f t="shared" ref="J19:J20" ca="1" si="11">I19+RIGHT(H19,2)</f>
        <v>21</v>
      </c>
      <c r="K19" s="426"/>
      <c r="M19" s="436" t="s">
        <v>83</v>
      </c>
    </row>
    <row r="20" spans="1:13" x14ac:dyDescent="0.3">
      <c r="A20" s="197" t="s">
        <v>269</v>
      </c>
      <c r="B20" s="198" t="s">
        <v>113</v>
      </c>
      <c r="C20" s="427">
        <v>1</v>
      </c>
      <c r="D20" s="427">
        <f>1</f>
        <v>1</v>
      </c>
      <c r="E20" s="428" t="s">
        <v>270</v>
      </c>
      <c r="F20" s="429" t="s">
        <v>271</v>
      </c>
      <c r="G20" s="262">
        <v>1</v>
      </c>
      <c r="H20" s="430" t="str">
        <f>CONCATENATE("+",'Personal File'!$B$9+'Personal File'!$C$11+D20)</f>
        <v>+10</v>
      </c>
      <c r="I20" s="431">
        <f t="shared" ca="1" si="0"/>
        <v>15</v>
      </c>
      <c r="J20" s="432">
        <f t="shared" ca="1" si="11"/>
        <v>25</v>
      </c>
      <c r="K20" s="433"/>
      <c r="M20" s="260">
        <v>8000</v>
      </c>
    </row>
    <row r="21" spans="1:13" x14ac:dyDescent="0.3">
      <c r="A21" s="417" t="s">
        <v>257</v>
      </c>
      <c r="B21" s="418" t="s">
        <v>113</v>
      </c>
      <c r="C21" s="419">
        <v>1</v>
      </c>
      <c r="D21" s="419">
        <f>1</f>
        <v>1</v>
      </c>
      <c r="E21" s="420" t="s">
        <v>270</v>
      </c>
      <c r="F21" s="421" t="s">
        <v>271</v>
      </c>
      <c r="G21" s="434" t="s">
        <v>83</v>
      </c>
      <c r="H21" s="423" t="str">
        <f>CONCATENATE("+",'Personal File'!$B$9+'Personal File'!$C$11+D21-5)</f>
        <v>+5</v>
      </c>
      <c r="I21" s="424">
        <f t="shared" ca="1" si="0"/>
        <v>1</v>
      </c>
      <c r="J21" s="425">
        <f t="shared" ref="J21" ca="1" si="12">I21+RIGHT(H21,2)</f>
        <v>6</v>
      </c>
      <c r="K21" s="426"/>
      <c r="M21" s="436" t="s">
        <v>83</v>
      </c>
    </row>
    <row r="22" spans="1:13" x14ac:dyDescent="0.3">
      <c r="A22" s="197" t="s">
        <v>213</v>
      </c>
      <c r="B22" s="198" t="s">
        <v>215</v>
      </c>
      <c r="C22" s="427">
        <f>'Personal File'!$C$11+0</f>
        <v>2</v>
      </c>
      <c r="D22" s="427">
        <v>0</v>
      </c>
      <c r="E22" s="428" t="s">
        <v>193</v>
      </c>
      <c r="F22" s="429" t="s">
        <v>111</v>
      </c>
      <c r="G22" s="262">
        <v>3</v>
      </c>
      <c r="H22" s="430" t="str">
        <f>CONCATENATE("+",'Personal File'!$B$9+'Personal File'!$C$11+D22)</f>
        <v>+9</v>
      </c>
      <c r="I22" s="431">
        <f t="shared" ca="1" si="0"/>
        <v>17</v>
      </c>
      <c r="J22" s="432">
        <f t="shared" ref="J22:J24" ca="1" si="13">I22+RIGHT(H22,2)</f>
        <v>26</v>
      </c>
      <c r="K22" s="433"/>
      <c r="M22" s="260">
        <v>6</v>
      </c>
    </row>
    <row r="23" spans="1:13" x14ac:dyDescent="0.3">
      <c r="A23" s="417" t="s">
        <v>258</v>
      </c>
      <c r="B23" s="418" t="s">
        <v>215</v>
      </c>
      <c r="C23" s="419">
        <f>'Personal File'!$C$11+0</f>
        <v>2</v>
      </c>
      <c r="D23" s="419">
        <v>0</v>
      </c>
      <c r="E23" s="420" t="s">
        <v>193</v>
      </c>
      <c r="F23" s="421" t="s">
        <v>111</v>
      </c>
      <c r="G23" s="434" t="s">
        <v>83</v>
      </c>
      <c r="H23" s="423" t="str">
        <f>CONCATENATE("+",'Personal File'!$B$9+'Personal File'!$C$11+D23-5)</f>
        <v>+4</v>
      </c>
      <c r="I23" s="424">
        <f t="shared" ca="1" si="0"/>
        <v>15</v>
      </c>
      <c r="J23" s="425">
        <f t="shared" ref="J23" ca="1" si="14">I23+RIGHT(H23,2)</f>
        <v>19</v>
      </c>
      <c r="K23" s="426"/>
      <c r="M23" s="436" t="s">
        <v>83</v>
      </c>
    </row>
    <row r="24" spans="1:13" x14ac:dyDescent="0.3">
      <c r="A24" s="197" t="s">
        <v>214</v>
      </c>
      <c r="B24" s="198" t="s">
        <v>215</v>
      </c>
      <c r="C24" s="427">
        <f>'Personal File'!$C$11-1</f>
        <v>1</v>
      </c>
      <c r="D24" s="427">
        <v>0</v>
      </c>
      <c r="E24" s="428" t="s">
        <v>193</v>
      </c>
      <c r="F24" s="429" t="s">
        <v>111</v>
      </c>
      <c r="G24" s="262">
        <v>3</v>
      </c>
      <c r="H24" s="430" t="str">
        <f>CONCATENATE("+",'Personal File'!$B$9+'Personal File'!$C$11+D24)</f>
        <v>+9</v>
      </c>
      <c r="I24" s="431">
        <f t="shared" ca="1" si="0"/>
        <v>2</v>
      </c>
      <c r="J24" s="432">
        <f t="shared" ca="1" si="13"/>
        <v>11</v>
      </c>
      <c r="K24" s="433"/>
      <c r="M24" s="260">
        <v>26</v>
      </c>
    </row>
    <row r="25" spans="1:13" x14ac:dyDescent="0.3">
      <c r="A25" s="417" t="s">
        <v>258</v>
      </c>
      <c r="B25" s="418" t="s">
        <v>215</v>
      </c>
      <c r="C25" s="419">
        <f>'Personal File'!$C$11-1</f>
        <v>1</v>
      </c>
      <c r="D25" s="419">
        <v>0</v>
      </c>
      <c r="E25" s="420" t="s">
        <v>193</v>
      </c>
      <c r="F25" s="421" t="s">
        <v>111</v>
      </c>
      <c r="G25" s="434" t="s">
        <v>83</v>
      </c>
      <c r="H25" s="423" t="str">
        <f>CONCATENATE("+",'Personal File'!$B$9+'Personal File'!$C$11+D25-5)</f>
        <v>+4</v>
      </c>
      <c r="I25" s="424">
        <f t="shared" ca="1" si="0"/>
        <v>2</v>
      </c>
      <c r="J25" s="425">
        <f t="shared" ref="J25" ca="1" si="15">I25+RIGHT(H25,2)</f>
        <v>6</v>
      </c>
      <c r="K25" s="426"/>
      <c r="M25" s="436" t="s">
        <v>83</v>
      </c>
    </row>
    <row r="26" spans="1:13" ht="16.2" thickBot="1" x14ac:dyDescent="0.35">
      <c r="A26" s="408" t="s">
        <v>211</v>
      </c>
      <c r="B26" s="409" t="s">
        <v>83</v>
      </c>
      <c r="C26" s="410" t="s">
        <v>83</v>
      </c>
      <c r="D26" s="410">
        <v>0</v>
      </c>
      <c r="E26" s="411" t="s">
        <v>83</v>
      </c>
      <c r="F26" s="409" t="s">
        <v>83</v>
      </c>
      <c r="G26" s="412" t="s">
        <v>83</v>
      </c>
      <c r="H26" s="413" t="str">
        <f>CONCATENATE("+",'Personal File'!$B$9+'Personal File'!$C$11+D26)</f>
        <v>+9</v>
      </c>
      <c r="I26" s="414">
        <f t="shared" ca="1" si="0"/>
        <v>19</v>
      </c>
      <c r="J26" s="415">
        <f t="shared" ca="1" si="2"/>
        <v>28</v>
      </c>
      <c r="K26" s="416"/>
      <c r="M26" s="437" t="s">
        <v>83</v>
      </c>
    </row>
    <row r="27" spans="1:13" ht="16.8" thickTop="1" thickBot="1" x14ac:dyDescent="0.35"/>
    <row r="28" spans="1:13" ht="16.8" thickTop="1" thickBot="1" x14ac:dyDescent="0.35">
      <c r="A28" s="14" t="s">
        <v>4</v>
      </c>
      <c r="B28" s="15" t="s">
        <v>97</v>
      </c>
      <c r="C28" s="15" t="s">
        <v>15</v>
      </c>
      <c r="D28" s="15" t="s">
        <v>16</v>
      </c>
      <c r="E28" s="16" t="s">
        <v>54</v>
      </c>
      <c r="F28" s="15" t="s">
        <v>5</v>
      </c>
      <c r="G28" s="15" t="s">
        <v>17</v>
      </c>
      <c r="H28" s="17" t="s">
        <v>73</v>
      </c>
      <c r="I28" s="18" t="s">
        <v>74</v>
      </c>
      <c r="J28" s="17" t="s">
        <v>67</v>
      </c>
      <c r="K28" s="19" t="s">
        <v>1</v>
      </c>
      <c r="M28" s="170" t="s">
        <v>78</v>
      </c>
    </row>
    <row r="29" spans="1:13" x14ac:dyDescent="0.3">
      <c r="A29" s="197" t="s">
        <v>224</v>
      </c>
      <c r="B29" s="198" t="s">
        <v>188</v>
      </c>
      <c r="C29" s="350">
        <f>'Personal File'!$C$11+1</f>
        <v>3</v>
      </c>
      <c r="D29" s="376">
        <v>2</v>
      </c>
      <c r="E29" s="198" t="s">
        <v>193</v>
      </c>
      <c r="F29" s="261" t="s">
        <v>194</v>
      </c>
      <c r="G29" s="261" t="s">
        <v>259</v>
      </c>
      <c r="H29" s="256" t="str">
        <f>CONCATENATE("+",'Personal File'!$B$9+'Personal File'!$C$12+D29)</f>
        <v>+11</v>
      </c>
      <c r="I29" s="257">
        <f t="shared" ref="I29:I33" ca="1" si="16">RANDBETWEEN(1,20)</f>
        <v>14</v>
      </c>
      <c r="J29" s="258">
        <f t="shared" ref="J29:J33" ca="1" si="17">I29+RIGHT(H29,2)</f>
        <v>25</v>
      </c>
      <c r="K29" s="433" t="s">
        <v>249</v>
      </c>
      <c r="M29" s="260">
        <f>100+300+2000+200</f>
        <v>2600</v>
      </c>
    </row>
    <row r="30" spans="1:13" x14ac:dyDescent="0.3">
      <c r="A30" s="197" t="s">
        <v>268</v>
      </c>
      <c r="B30" s="198" t="s">
        <v>188</v>
      </c>
      <c r="C30" s="350">
        <f>'Personal File'!$C$11+1</f>
        <v>3</v>
      </c>
      <c r="D30" s="376">
        <v>2</v>
      </c>
      <c r="E30" s="198" t="s">
        <v>193</v>
      </c>
      <c r="F30" s="261" t="s">
        <v>194</v>
      </c>
      <c r="G30" s="261" t="s">
        <v>259</v>
      </c>
      <c r="H30" s="256" t="str">
        <f>CONCATENATE("+",'Personal File'!$B$9+'Personal File'!$C$12+D30-5)</f>
        <v>+6</v>
      </c>
      <c r="I30" s="257">
        <f t="shared" ca="1" si="16"/>
        <v>18</v>
      </c>
      <c r="J30" s="258">
        <f t="shared" ref="J30" ca="1" si="18">I30+RIGHT(H30,2)</f>
        <v>24</v>
      </c>
      <c r="K30" s="433" t="s">
        <v>249</v>
      </c>
      <c r="M30" s="260">
        <f>100+300+2000+200</f>
        <v>2600</v>
      </c>
    </row>
    <row r="31" spans="1:13" x14ac:dyDescent="0.3">
      <c r="A31" s="197" t="s">
        <v>260</v>
      </c>
      <c r="B31" s="198" t="s">
        <v>215</v>
      </c>
      <c r="C31" s="350" t="str">
        <f>'Personal File'!$C$11</f>
        <v>+2</v>
      </c>
      <c r="D31" s="376">
        <v>0</v>
      </c>
      <c r="E31" s="198">
        <v>20</v>
      </c>
      <c r="F31" s="261" t="s">
        <v>80</v>
      </c>
      <c r="G31" s="261" t="s">
        <v>251</v>
      </c>
      <c r="H31" s="256" t="str">
        <f>CONCATENATE("+",'Personal File'!$B$9+'Personal File'!$C$12+D31)</f>
        <v>+9</v>
      </c>
      <c r="I31" s="257">
        <f t="shared" ca="1" si="16"/>
        <v>4</v>
      </c>
      <c r="J31" s="258">
        <f t="shared" ref="J31:J32" ca="1" si="19">I31+RIGHT(H31,2)</f>
        <v>13</v>
      </c>
      <c r="K31" s="259" t="s">
        <v>249</v>
      </c>
      <c r="M31" s="260">
        <v>12</v>
      </c>
    </row>
    <row r="32" spans="1:13" x14ac:dyDescent="0.3">
      <c r="A32" s="197" t="s">
        <v>261</v>
      </c>
      <c r="B32" s="198" t="s">
        <v>215</v>
      </c>
      <c r="C32" s="350" t="str">
        <f>'Personal File'!$C$11</f>
        <v>+2</v>
      </c>
      <c r="D32" s="376">
        <v>2</v>
      </c>
      <c r="E32" s="198">
        <v>20</v>
      </c>
      <c r="F32" s="261" t="s">
        <v>80</v>
      </c>
      <c r="G32" s="261" t="s">
        <v>251</v>
      </c>
      <c r="H32" s="256" t="str">
        <f>CONCATENATE("+",'Personal File'!$B$9+'Personal File'!$C$12+D32)</f>
        <v>+11</v>
      </c>
      <c r="I32" s="257">
        <f t="shared" ca="1" si="16"/>
        <v>20</v>
      </c>
      <c r="J32" s="258">
        <f t="shared" ca="1" si="19"/>
        <v>31</v>
      </c>
      <c r="K32" s="259" t="s">
        <v>249</v>
      </c>
      <c r="M32" s="260">
        <f>4*301</f>
        <v>1204</v>
      </c>
    </row>
    <row r="33" spans="1:13" x14ac:dyDescent="0.3">
      <c r="A33" s="251" t="s">
        <v>198</v>
      </c>
      <c r="B33" s="11" t="s">
        <v>199</v>
      </c>
      <c r="C33" s="365">
        <v>0</v>
      </c>
      <c r="D33" s="376">
        <v>0</v>
      </c>
      <c r="E33" s="11" t="s">
        <v>83</v>
      </c>
      <c r="F33" s="357" t="s">
        <v>200</v>
      </c>
      <c r="G33" s="255" t="s">
        <v>83</v>
      </c>
      <c r="H33" s="256" t="str">
        <f>CONCATENATE("+",'Personal File'!$B$9+'Personal File'!$C$12+D33)</f>
        <v>+9</v>
      </c>
      <c r="I33" s="257">
        <f t="shared" ca="1" si="16"/>
        <v>3</v>
      </c>
      <c r="J33" s="258">
        <f t="shared" ca="1" si="17"/>
        <v>12</v>
      </c>
      <c r="K33" s="366"/>
      <c r="M33" s="367" t="s">
        <v>83</v>
      </c>
    </row>
    <row r="34" spans="1:13" ht="16.2" thickBot="1" x14ac:dyDescent="0.35">
      <c r="A34" s="202" t="s">
        <v>201</v>
      </c>
      <c r="B34" s="20" t="s">
        <v>199</v>
      </c>
      <c r="C34" s="351">
        <v>0</v>
      </c>
      <c r="D34" s="377">
        <v>0</v>
      </c>
      <c r="E34" s="20" t="s">
        <v>83</v>
      </c>
      <c r="F34" s="203" t="s">
        <v>200</v>
      </c>
      <c r="G34" s="355" t="s">
        <v>83</v>
      </c>
      <c r="H34" s="204" t="str">
        <f>CONCATENATE("+",'Personal File'!$B$9+'Personal File'!$C$12+D34-5)</f>
        <v>+4</v>
      </c>
      <c r="I34" s="195">
        <f t="shared" ref="I34" ca="1" si="20">RANDBETWEEN(1,20)</f>
        <v>19</v>
      </c>
      <c r="J34" s="196">
        <f t="shared" ref="J34" ca="1" si="21">I34+RIGHT(H34,2)</f>
        <v>23</v>
      </c>
      <c r="K34" s="205"/>
      <c r="M34" s="189" t="s">
        <v>83</v>
      </c>
    </row>
    <row r="35" spans="1:13" ht="16.8" thickTop="1" thickBot="1" x14ac:dyDescent="0.35">
      <c r="D35" s="22"/>
      <c r="E35" s="22"/>
      <c r="G35" s="23"/>
      <c r="H35" s="23"/>
      <c r="I35" s="23"/>
      <c r="J35" s="23"/>
    </row>
    <row r="36" spans="1:13" ht="16.8" thickTop="1" thickBot="1" x14ac:dyDescent="0.35">
      <c r="A36" s="14" t="s">
        <v>58</v>
      </c>
      <c r="B36" s="15" t="s">
        <v>8</v>
      </c>
      <c r="C36" s="15" t="s">
        <v>24</v>
      </c>
      <c r="D36" s="15" t="s">
        <v>67</v>
      </c>
      <c r="E36" s="15" t="s">
        <v>68</v>
      </c>
      <c r="F36" s="15" t="s">
        <v>69</v>
      </c>
      <c r="G36" s="15" t="s">
        <v>17</v>
      </c>
      <c r="H36" s="24" t="s">
        <v>1</v>
      </c>
      <c r="I36" s="25"/>
      <c r="J36" s="25"/>
      <c r="K36" s="26"/>
      <c r="M36" s="170" t="s">
        <v>78</v>
      </c>
    </row>
    <row r="37" spans="1:13" x14ac:dyDescent="0.3">
      <c r="A37" s="263" t="s">
        <v>160</v>
      </c>
      <c r="B37" s="264">
        <v>6</v>
      </c>
      <c r="C37" s="265" t="s">
        <v>83</v>
      </c>
      <c r="D37" s="264" t="s">
        <v>83</v>
      </c>
      <c r="E37" s="266" t="s">
        <v>83</v>
      </c>
      <c r="F37" s="264" t="s">
        <v>83</v>
      </c>
      <c r="G37" s="267" t="s">
        <v>83</v>
      </c>
      <c r="H37" s="268"/>
      <c r="I37" s="27"/>
      <c r="J37" s="27"/>
      <c r="K37" s="269"/>
      <c r="M37" s="177" t="s">
        <v>83</v>
      </c>
    </row>
    <row r="38" spans="1:13" x14ac:dyDescent="0.3">
      <c r="A38" s="388" t="s">
        <v>227</v>
      </c>
      <c r="B38" s="389">
        <v>5</v>
      </c>
      <c r="C38" s="390">
        <v>6</v>
      </c>
      <c r="D38" s="389">
        <v>0</v>
      </c>
      <c r="E38" s="391">
        <v>0.1</v>
      </c>
      <c r="F38" s="389" t="s">
        <v>80</v>
      </c>
      <c r="G38" s="392">
        <v>12.5</v>
      </c>
      <c r="H38" s="393"/>
      <c r="I38" s="394"/>
      <c r="J38" s="394"/>
      <c r="K38" s="395"/>
      <c r="M38" s="367">
        <v>3300</v>
      </c>
    </row>
    <row r="39" spans="1:13" ht="16.2" thickBot="1" x14ac:dyDescent="0.35">
      <c r="A39" s="270" t="s">
        <v>185</v>
      </c>
      <c r="B39" s="271">
        <v>1</v>
      </c>
      <c r="C39" s="272" t="s">
        <v>83</v>
      </c>
      <c r="D39" s="272" t="s">
        <v>83</v>
      </c>
      <c r="E39" s="345" t="s">
        <v>83</v>
      </c>
      <c r="F39" s="272" t="s">
        <v>83</v>
      </c>
      <c r="G39" s="346">
        <v>0</v>
      </c>
      <c r="H39" s="273"/>
      <c r="I39" s="37"/>
      <c r="J39" s="37"/>
      <c r="K39" s="274"/>
      <c r="M39" s="189">
        <v>2000</v>
      </c>
    </row>
    <row r="40" spans="1:13" ht="16.8" thickTop="1" thickBot="1" x14ac:dyDescent="0.35"/>
    <row r="41" spans="1:13" ht="16.8" thickTop="1" thickBot="1" x14ac:dyDescent="0.35">
      <c r="A41" s="28"/>
      <c r="B41" s="23"/>
      <c r="D41" s="29" t="s">
        <v>59</v>
      </c>
      <c r="E41" s="30"/>
      <c r="F41" s="24" t="s">
        <v>3</v>
      </c>
      <c r="G41" s="15" t="s">
        <v>17</v>
      </c>
      <c r="H41" s="17" t="s">
        <v>73</v>
      </c>
      <c r="I41" s="24" t="s">
        <v>1</v>
      </c>
      <c r="J41" s="25"/>
      <c r="K41" s="26"/>
      <c r="M41" s="170" t="s">
        <v>78</v>
      </c>
    </row>
    <row r="42" spans="1:13" x14ac:dyDescent="0.3">
      <c r="A42" s="28"/>
      <c r="B42" s="23"/>
      <c r="D42" s="210" t="s">
        <v>196</v>
      </c>
      <c r="E42" s="31"/>
      <c r="F42" s="32">
        <v>33</v>
      </c>
      <c r="G42" s="267" t="s">
        <v>265</v>
      </c>
      <c r="H42" s="33" t="s">
        <v>197</v>
      </c>
      <c r="I42" s="438" t="s">
        <v>249</v>
      </c>
      <c r="J42" s="27"/>
      <c r="K42" s="439"/>
      <c r="M42" s="177">
        <f>F42/20</f>
        <v>1.65</v>
      </c>
    </row>
    <row r="43" spans="1:13" ht="16.2" thickBot="1" x14ac:dyDescent="0.35">
      <c r="D43" s="34" t="s">
        <v>212</v>
      </c>
      <c r="E43" s="35"/>
      <c r="F43" s="36">
        <v>20</v>
      </c>
      <c r="G43" s="346" t="s">
        <v>265</v>
      </c>
      <c r="H43" s="364" t="s">
        <v>197</v>
      </c>
      <c r="I43" s="440" t="s">
        <v>249</v>
      </c>
      <c r="J43" s="37"/>
      <c r="K43" s="441"/>
      <c r="M43" s="189">
        <v>41</v>
      </c>
    </row>
    <row r="44" spans="1:13" ht="16.8" thickTop="1" thickBot="1" x14ac:dyDescent="0.35"/>
    <row r="45" spans="1:13" ht="16.8" thickTop="1" thickBot="1" x14ac:dyDescent="0.35">
      <c r="D45" s="29" t="s">
        <v>76</v>
      </c>
      <c r="E45" s="25"/>
      <c r="F45" s="25"/>
      <c r="G45" s="25"/>
      <c r="H45" s="168" t="s">
        <v>3</v>
      </c>
      <c r="I45" s="168" t="s">
        <v>0</v>
      </c>
      <c r="J45" s="168" t="s">
        <v>77</v>
      </c>
      <c r="K45" s="26" t="s">
        <v>65</v>
      </c>
      <c r="L45" s="169"/>
      <c r="M45" s="170" t="s">
        <v>78</v>
      </c>
    </row>
    <row r="46" spans="1:13" x14ac:dyDescent="0.3">
      <c r="D46" s="171"/>
      <c r="E46" s="172"/>
      <c r="F46" s="172"/>
      <c r="G46" s="173"/>
      <c r="H46" s="174"/>
      <c r="I46" s="175"/>
      <c r="J46" s="175"/>
      <c r="K46" s="176"/>
      <c r="L46" s="169"/>
      <c r="M46" s="177"/>
    </row>
    <row r="47" spans="1:13" x14ac:dyDescent="0.3">
      <c r="D47" s="242"/>
      <c r="E47" s="243"/>
      <c r="F47" s="243"/>
      <c r="G47" s="244"/>
      <c r="H47" s="245"/>
      <c r="I47" s="198"/>
      <c r="J47" s="198"/>
      <c r="K47" s="246"/>
      <c r="L47" s="169"/>
      <c r="M47" s="199"/>
    </row>
    <row r="48" spans="1:13" x14ac:dyDescent="0.3">
      <c r="D48" s="178"/>
      <c r="E48" s="179"/>
      <c r="F48" s="179"/>
      <c r="G48" s="180"/>
      <c r="H48" s="181"/>
      <c r="I48" s="11"/>
      <c r="J48" s="11"/>
      <c r="K48" s="182"/>
      <c r="L48" s="169"/>
      <c r="M48" s="199"/>
    </row>
    <row r="49" spans="4:13" ht="16.2" thickBot="1" x14ac:dyDescent="0.35">
      <c r="D49" s="183"/>
      <c r="E49" s="184"/>
      <c r="F49" s="184"/>
      <c r="G49" s="185"/>
      <c r="H49" s="186"/>
      <c r="I49" s="187"/>
      <c r="J49" s="187"/>
      <c r="K49" s="188"/>
      <c r="L49" s="169"/>
      <c r="M49" s="189"/>
    </row>
    <row r="50" spans="4:13" ht="16.2" thickTop="1" x14ac:dyDescent="0.3"/>
  </sheetData>
  <phoneticPr fontId="0" type="noConversion"/>
  <conditionalFormatting sqref="I26">
    <cfRule type="cellIs" dxfId="80" priority="129" operator="equal">
      <formula>20</formula>
    </cfRule>
    <cfRule type="cellIs" dxfId="79" priority="130" operator="equal">
      <formula>1</formula>
    </cfRule>
  </conditionalFormatting>
  <conditionalFormatting sqref="I3:I5">
    <cfRule type="cellIs" dxfId="78" priority="89" operator="equal">
      <formula>20</formula>
    </cfRule>
    <cfRule type="cellIs" dxfId="77" priority="90" operator="equal">
      <formula>1</formula>
    </cfRule>
  </conditionalFormatting>
  <conditionalFormatting sqref="I16 I18">
    <cfRule type="cellIs" dxfId="76" priority="87" operator="equal">
      <formula>1</formula>
    </cfRule>
    <cfRule type="cellIs" dxfId="75" priority="88" operator="greaterThanOrEqual">
      <formula>19</formula>
    </cfRule>
  </conditionalFormatting>
  <conditionalFormatting sqref="I22 I24">
    <cfRule type="cellIs" dxfId="74" priority="81" operator="equal">
      <formula>1</formula>
    </cfRule>
    <cfRule type="cellIs" dxfId="73" priority="82" operator="greaterThanOrEqual">
      <formula>19</formula>
    </cfRule>
  </conditionalFormatting>
  <conditionalFormatting sqref="I3:I6 I16 I18 I22 I24 I26">
    <cfRule type="cellIs" dxfId="72" priority="79" operator="equal">
      <formula>1</formula>
    </cfRule>
    <cfRule type="cellIs" dxfId="71" priority="80" operator="greaterThanOrEqual">
      <formula>19</formula>
    </cfRule>
  </conditionalFormatting>
  <conditionalFormatting sqref="I34">
    <cfRule type="cellIs" dxfId="70" priority="77" operator="equal">
      <formula>20</formula>
    </cfRule>
    <cfRule type="cellIs" dxfId="69" priority="78" operator="equal">
      <formula>1</formula>
    </cfRule>
  </conditionalFormatting>
  <conditionalFormatting sqref="I34">
    <cfRule type="cellIs" dxfId="68" priority="75" operator="equal">
      <formula>1</formula>
    </cfRule>
    <cfRule type="cellIs" dxfId="67" priority="76" operator="greaterThanOrEqual">
      <formula>19</formula>
    </cfRule>
  </conditionalFormatting>
  <conditionalFormatting sqref="I29:I30 I33">
    <cfRule type="cellIs" dxfId="66" priority="73" operator="equal">
      <formula>1</formula>
    </cfRule>
    <cfRule type="cellIs" dxfId="65" priority="74" operator="greaterThanOrEqual">
      <formula>19</formula>
    </cfRule>
  </conditionalFormatting>
  <conditionalFormatting sqref="I29:I30 I33">
    <cfRule type="cellIs" dxfId="64" priority="71" operator="equal">
      <formula>1</formula>
    </cfRule>
    <cfRule type="cellIs" dxfId="63" priority="72" operator="greaterThanOrEqual">
      <formula>19</formula>
    </cfRule>
  </conditionalFormatting>
  <conditionalFormatting sqref="I6">
    <cfRule type="cellIs" dxfId="62" priority="69" operator="equal">
      <formula>20</formula>
    </cfRule>
    <cfRule type="cellIs" dxfId="61" priority="70" operator="equal">
      <formula>1</formula>
    </cfRule>
  </conditionalFormatting>
  <conditionalFormatting sqref="I14">
    <cfRule type="cellIs" dxfId="60" priority="67" operator="equal">
      <formula>1</formula>
    </cfRule>
    <cfRule type="cellIs" dxfId="59" priority="68" operator="greaterThanOrEqual">
      <formula>19</formula>
    </cfRule>
  </conditionalFormatting>
  <conditionalFormatting sqref="I14">
    <cfRule type="cellIs" dxfId="58" priority="65" operator="equal">
      <formula>20</formula>
    </cfRule>
    <cfRule type="cellIs" dxfId="57" priority="66" operator="equal">
      <formula>1</formula>
    </cfRule>
  </conditionalFormatting>
  <conditionalFormatting sqref="I31:I32">
    <cfRule type="cellIs" dxfId="56" priority="55" operator="equal">
      <formula>1</formula>
    </cfRule>
    <cfRule type="cellIs" dxfId="55" priority="56" operator="greaterThanOrEqual">
      <formula>19</formula>
    </cfRule>
  </conditionalFormatting>
  <conditionalFormatting sqref="I31:I32">
    <cfRule type="cellIs" dxfId="54" priority="53" operator="equal">
      <formula>1</formula>
    </cfRule>
    <cfRule type="cellIs" dxfId="53" priority="54" operator="greaterThanOrEqual">
      <formula>19</formula>
    </cfRule>
  </conditionalFormatting>
  <conditionalFormatting sqref="I10 I12">
    <cfRule type="cellIs" dxfId="52" priority="51" operator="equal">
      <formula>1</formula>
    </cfRule>
    <cfRule type="cellIs" dxfId="51" priority="52" operator="greaterThanOrEqual">
      <formula>19</formula>
    </cfRule>
  </conditionalFormatting>
  <conditionalFormatting sqref="I10 I12">
    <cfRule type="cellIs" dxfId="50" priority="49" operator="equal">
      <formula>20</formula>
    </cfRule>
    <cfRule type="cellIs" dxfId="49" priority="50" operator="equal">
      <formula>1</formula>
    </cfRule>
  </conditionalFormatting>
  <conditionalFormatting sqref="I7">
    <cfRule type="cellIs" dxfId="48" priority="47" operator="equal">
      <formula>1</formula>
    </cfRule>
    <cfRule type="cellIs" dxfId="47" priority="48" operator="greaterThanOrEqual">
      <formula>19</formula>
    </cfRule>
  </conditionalFormatting>
  <conditionalFormatting sqref="I7">
    <cfRule type="cellIs" dxfId="46" priority="45" operator="equal">
      <formula>20</formula>
    </cfRule>
    <cfRule type="cellIs" dxfId="45" priority="46" operator="equal">
      <formula>1</formula>
    </cfRule>
  </conditionalFormatting>
  <conditionalFormatting sqref="I11">
    <cfRule type="cellIs" dxfId="44" priority="43" operator="equal">
      <formula>1</formula>
    </cfRule>
    <cfRule type="cellIs" dxfId="43" priority="44" operator="greaterThanOrEqual">
      <formula>19</formula>
    </cfRule>
  </conditionalFormatting>
  <conditionalFormatting sqref="I11">
    <cfRule type="cellIs" dxfId="42" priority="41" operator="equal">
      <formula>20</formula>
    </cfRule>
    <cfRule type="cellIs" dxfId="41" priority="42" operator="equal">
      <formula>1</formula>
    </cfRule>
  </conditionalFormatting>
  <conditionalFormatting sqref="I13">
    <cfRule type="cellIs" dxfId="40" priority="39" operator="equal">
      <formula>1</formula>
    </cfRule>
    <cfRule type="cellIs" dxfId="39" priority="40" operator="greaterThanOrEqual">
      <formula>19</formula>
    </cfRule>
  </conditionalFormatting>
  <conditionalFormatting sqref="I13">
    <cfRule type="cellIs" dxfId="38" priority="37" operator="equal">
      <formula>20</formula>
    </cfRule>
    <cfRule type="cellIs" dxfId="37" priority="38" operator="equal">
      <formula>1</formula>
    </cfRule>
  </conditionalFormatting>
  <conditionalFormatting sqref="I15">
    <cfRule type="cellIs" dxfId="36" priority="35" operator="equal">
      <formula>1</formula>
    </cfRule>
    <cfRule type="cellIs" dxfId="35" priority="36" operator="greaterThanOrEqual">
      <formula>19</formula>
    </cfRule>
  </conditionalFormatting>
  <conditionalFormatting sqref="I15">
    <cfRule type="cellIs" dxfId="34" priority="33" operator="equal">
      <formula>20</formula>
    </cfRule>
    <cfRule type="cellIs" dxfId="33" priority="34" operator="equal">
      <formula>1</formula>
    </cfRule>
  </conditionalFormatting>
  <conditionalFormatting sqref="I17">
    <cfRule type="cellIs" dxfId="32" priority="31" operator="equal">
      <formula>1</formula>
    </cfRule>
    <cfRule type="cellIs" dxfId="31" priority="32" operator="greaterThanOrEqual">
      <formula>19</formula>
    </cfRule>
  </conditionalFormatting>
  <conditionalFormatting sqref="I17">
    <cfRule type="cellIs" dxfId="30" priority="29" operator="equal">
      <formula>1</formula>
    </cfRule>
    <cfRule type="cellIs" dxfId="29" priority="30" operator="greaterThanOrEqual">
      <formula>19</formula>
    </cfRule>
  </conditionalFormatting>
  <conditionalFormatting sqref="I19">
    <cfRule type="cellIs" dxfId="28" priority="27" operator="equal">
      <formula>1</formula>
    </cfRule>
    <cfRule type="cellIs" dxfId="27" priority="28" operator="greaterThanOrEqual">
      <formula>19</formula>
    </cfRule>
  </conditionalFormatting>
  <conditionalFormatting sqref="I19">
    <cfRule type="cellIs" dxfId="26" priority="25" operator="equal">
      <formula>1</formula>
    </cfRule>
    <cfRule type="cellIs" dxfId="25" priority="26" operator="greaterThanOrEqual">
      <formula>19</formula>
    </cfRule>
  </conditionalFormatting>
  <conditionalFormatting sqref="I23">
    <cfRule type="cellIs" dxfId="24" priority="23" operator="equal">
      <formula>1</formula>
    </cfRule>
    <cfRule type="cellIs" dxfId="23" priority="24" operator="greaterThanOrEqual">
      <formula>19</formula>
    </cfRule>
  </conditionalFormatting>
  <conditionalFormatting sqref="I23">
    <cfRule type="cellIs" dxfId="22" priority="21" operator="equal">
      <formula>1</formula>
    </cfRule>
    <cfRule type="cellIs" dxfId="21" priority="22" operator="greaterThanOrEqual">
      <formula>19</formula>
    </cfRule>
  </conditionalFormatting>
  <conditionalFormatting sqref="I25">
    <cfRule type="cellIs" dxfId="20" priority="19" operator="equal">
      <formula>1</formula>
    </cfRule>
    <cfRule type="cellIs" dxfId="19" priority="20" operator="greaterThanOrEqual">
      <formula>19</formula>
    </cfRule>
  </conditionalFormatting>
  <conditionalFormatting sqref="I25">
    <cfRule type="cellIs" dxfId="18" priority="17" operator="equal">
      <formula>1</formula>
    </cfRule>
    <cfRule type="cellIs" dxfId="17" priority="18" operator="greaterThanOrEqual">
      <formula>19</formula>
    </cfRule>
  </conditionalFormatting>
  <conditionalFormatting sqref="I20">
    <cfRule type="cellIs" dxfId="16" priority="15" operator="equal">
      <formula>1</formula>
    </cfRule>
    <cfRule type="cellIs" dxfId="15" priority="16" operator="greaterThanOrEqual">
      <formula>19</formula>
    </cfRule>
  </conditionalFormatting>
  <conditionalFormatting sqref="I20">
    <cfRule type="cellIs" dxfId="14" priority="13" operator="equal">
      <formula>1</formula>
    </cfRule>
    <cfRule type="cellIs" dxfId="13" priority="14" operator="greaterThanOrEqual">
      <formula>19</formula>
    </cfRule>
  </conditionalFormatting>
  <conditionalFormatting sqref="I21">
    <cfRule type="cellIs" dxfId="12" priority="11" operator="equal">
      <formula>1</formula>
    </cfRule>
    <cfRule type="cellIs" dxfId="11" priority="12" operator="greaterThanOrEqual">
      <formula>19</formula>
    </cfRule>
  </conditionalFormatting>
  <conditionalFormatting sqref="I21">
    <cfRule type="cellIs" dxfId="10" priority="9" operator="equal">
      <formula>1</formula>
    </cfRule>
    <cfRule type="cellIs" dxfId="9" priority="10" operator="greaterThanOrEqual">
      <formula>19</formula>
    </cfRule>
  </conditionalFormatting>
  <conditionalFormatting sqref="I8">
    <cfRule type="cellIs" dxfId="8" priority="7" operator="equal">
      <formula>1</formula>
    </cfRule>
    <cfRule type="cellIs" dxfId="7" priority="8" operator="greaterThanOrEqual">
      <formula>19</formula>
    </cfRule>
  </conditionalFormatting>
  <conditionalFormatting sqref="I8">
    <cfRule type="cellIs" dxfId="6" priority="5" operator="equal">
      <formula>20</formula>
    </cfRule>
    <cfRule type="cellIs" dxfId="5" priority="6" operator="equal">
      <formula>1</formula>
    </cfRule>
  </conditionalFormatting>
  <conditionalFormatting sqref="I9">
    <cfRule type="cellIs" dxfId="4" priority="3" operator="equal">
      <formula>1</formula>
    </cfRule>
    <cfRule type="cellIs" dxfId="3" priority="4" operator="greaterThanOrEqual">
      <formula>19</formula>
    </cfRule>
  </conditionalFormatting>
  <conditionalFormatting sqref="I9">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showGridLines="0" workbookViewId="0"/>
  </sheetViews>
  <sheetFormatPr defaultColWidth="13" defaultRowHeight="15.6" x14ac:dyDescent="0.3"/>
  <cols>
    <col min="1" max="1" width="26.796875" style="21" bestFit="1" customWidth="1"/>
    <col min="2" max="2" width="4.69921875" style="21" bestFit="1" customWidth="1"/>
    <col min="3" max="3" width="4.3984375" style="23" bestFit="1" customWidth="1"/>
    <col min="4" max="5" width="17.09765625" style="13" customWidth="1"/>
    <col min="6" max="6" width="2.69921875" style="13" customWidth="1"/>
    <col min="7" max="7" width="8.296875" style="13" bestFit="1" customWidth="1"/>
    <col min="8" max="16384" width="13" style="13"/>
  </cols>
  <sheetData>
    <row r="1" spans="1:7" ht="23.4" thickBot="1" x14ac:dyDescent="0.35">
      <c r="A1" s="12" t="s">
        <v>62</v>
      </c>
      <c r="B1" s="12"/>
      <c r="C1" s="38"/>
      <c r="D1" s="12"/>
      <c r="E1" s="12"/>
    </row>
    <row r="2" spans="1:7" s="21" customFormat="1" ht="16.8" thickTop="1" thickBot="1" x14ac:dyDescent="0.35">
      <c r="A2" s="39" t="s">
        <v>63</v>
      </c>
      <c r="B2" s="39" t="s">
        <v>3</v>
      </c>
      <c r="C2" s="40" t="s">
        <v>17</v>
      </c>
      <c r="D2" s="41" t="s">
        <v>64</v>
      </c>
      <c r="E2" s="42" t="s">
        <v>65</v>
      </c>
      <c r="G2" s="190" t="s">
        <v>78</v>
      </c>
    </row>
    <row r="3" spans="1:7" x14ac:dyDescent="0.3">
      <c r="A3" s="43" t="s">
        <v>226</v>
      </c>
      <c r="B3" s="207">
        <v>1</v>
      </c>
      <c r="C3" s="396">
        <v>1</v>
      </c>
      <c r="D3" s="48"/>
      <c r="E3" s="49"/>
      <c r="G3" s="191">
        <v>1000</v>
      </c>
    </row>
    <row r="4" spans="1:7" x14ac:dyDescent="0.3">
      <c r="A4" s="43" t="s">
        <v>207</v>
      </c>
      <c r="B4" s="206">
        <v>1</v>
      </c>
      <c r="C4" s="167">
        <v>1</v>
      </c>
      <c r="D4" s="48"/>
      <c r="E4" s="49"/>
      <c r="G4" s="191">
        <v>1</v>
      </c>
    </row>
    <row r="5" spans="1:7" x14ac:dyDescent="0.3">
      <c r="A5" s="43" t="s">
        <v>222</v>
      </c>
      <c r="B5" s="207">
        <v>1</v>
      </c>
      <c r="C5" s="47" t="s">
        <v>223</v>
      </c>
      <c r="D5" s="45"/>
      <c r="E5" s="46"/>
      <c r="G5" s="305">
        <v>0.05</v>
      </c>
    </row>
    <row r="6" spans="1:7" x14ac:dyDescent="0.3">
      <c r="A6" s="43" t="s">
        <v>241</v>
      </c>
      <c r="B6" s="206">
        <v>1</v>
      </c>
      <c r="C6" s="167">
        <v>1</v>
      </c>
      <c r="D6" s="48"/>
      <c r="E6" s="49"/>
      <c r="G6" s="191">
        <v>25</v>
      </c>
    </row>
    <row r="7" spans="1:7" ht="16.2" thickBot="1" x14ac:dyDescent="0.35">
      <c r="A7" s="193"/>
      <c r="B7" s="208"/>
      <c r="C7" s="148"/>
      <c r="D7" s="149"/>
      <c r="E7" s="150"/>
      <c r="G7" s="192"/>
    </row>
    <row r="8" spans="1:7" ht="24" thickTop="1" thickBot="1" x14ac:dyDescent="0.35">
      <c r="A8" s="12" t="s">
        <v>66</v>
      </c>
      <c r="B8" s="12"/>
      <c r="C8" s="151"/>
      <c r="D8" s="12"/>
      <c r="E8" s="152"/>
    </row>
    <row r="9" spans="1:7" ht="16.8" thickTop="1" thickBot="1" x14ac:dyDescent="0.35">
      <c r="A9" s="39" t="s">
        <v>63</v>
      </c>
      <c r="B9" s="39" t="s">
        <v>3</v>
      </c>
      <c r="C9" s="40" t="s">
        <v>17</v>
      </c>
      <c r="D9" s="41" t="s">
        <v>64</v>
      </c>
      <c r="E9" s="42" t="s">
        <v>65</v>
      </c>
      <c r="G9" s="190" t="s">
        <v>78</v>
      </c>
    </row>
    <row r="10" spans="1:7" x14ac:dyDescent="0.3">
      <c r="A10" s="220" t="s">
        <v>203</v>
      </c>
      <c r="B10" s="217">
        <v>95</v>
      </c>
      <c r="C10" s="167">
        <f>B10/100</f>
        <v>0.95</v>
      </c>
      <c r="D10" s="218"/>
      <c r="E10" s="49"/>
      <c r="G10" s="219">
        <f>B10</f>
        <v>95</v>
      </c>
    </row>
    <row r="11" spans="1:7" x14ac:dyDescent="0.3">
      <c r="A11" s="220" t="s">
        <v>263</v>
      </c>
      <c r="B11" s="217">
        <v>1</v>
      </c>
      <c r="C11" s="167">
        <v>2</v>
      </c>
      <c r="D11" s="218"/>
      <c r="E11" s="49"/>
      <c r="G11" s="219">
        <v>2</v>
      </c>
    </row>
    <row r="12" spans="1:7" x14ac:dyDescent="0.3">
      <c r="A12" s="220" t="s">
        <v>204</v>
      </c>
      <c r="B12" s="217">
        <v>0</v>
      </c>
      <c r="C12" s="167">
        <f>B12/100</f>
        <v>0</v>
      </c>
      <c r="D12" s="218"/>
      <c r="E12" s="49"/>
      <c r="G12" s="219">
        <f>B12*5</f>
        <v>0</v>
      </c>
    </row>
    <row r="13" spans="1:7" x14ac:dyDescent="0.3">
      <c r="A13" s="43" t="s">
        <v>243</v>
      </c>
      <c r="B13" s="342">
        <v>1</v>
      </c>
      <c r="C13" s="44">
        <v>4</v>
      </c>
      <c r="D13" s="45" t="s">
        <v>244</v>
      </c>
      <c r="E13" s="46"/>
      <c r="G13" s="219">
        <v>7200</v>
      </c>
    </row>
    <row r="14" spans="1:7" ht="16.2" thickBot="1" x14ac:dyDescent="0.35">
      <c r="A14" s="193" t="s">
        <v>247</v>
      </c>
      <c r="B14" s="208">
        <v>1</v>
      </c>
      <c r="C14" s="148">
        <v>2</v>
      </c>
      <c r="D14" s="239"/>
      <c r="E14" s="150"/>
      <c r="G14" s="192">
        <v>1800</v>
      </c>
    </row>
    <row r="15" spans="1:7" ht="24" thickTop="1" thickBot="1" x14ac:dyDescent="0.35">
      <c r="A15" s="12" t="s">
        <v>166</v>
      </c>
      <c r="B15" s="12"/>
      <c r="C15" s="151"/>
      <c r="D15" s="12"/>
      <c r="E15" s="152"/>
      <c r="G15" s="310">
        <v>2000</v>
      </c>
    </row>
    <row r="16" spans="1:7" ht="16.8" thickTop="1" thickBot="1" x14ac:dyDescent="0.35">
      <c r="A16" s="39" t="s">
        <v>63</v>
      </c>
      <c r="B16" s="39" t="s">
        <v>3</v>
      </c>
      <c r="C16" s="40" t="s">
        <v>17</v>
      </c>
      <c r="D16" s="41" t="s">
        <v>64</v>
      </c>
      <c r="E16" s="42" t="s">
        <v>65</v>
      </c>
      <c r="F16" s="310"/>
      <c r="G16" s="190" t="s">
        <v>78</v>
      </c>
    </row>
    <row r="17" spans="1:7" x14ac:dyDescent="0.3">
      <c r="A17" s="250" t="s">
        <v>204</v>
      </c>
      <c r="B17" s="341">
        <v>60</v>
      </c>
      <c r="C17" s="338">
        <f>B17/100</f>
        <v>0.6</v>
      </c>
      <c r="D17" s="339"/>
      <c r="E17" s="340"/>
      <c r="G17" s="219">
        <f>B17*5</f>
        <v>300</v>
      </c>
    </row>
    <row r="18" spans="1:7" x14ac:dyDescent="0.3">
      <c r="A18" s="356" t="s">
        <v>203</v>
      </c>
      <c r="B18" s="378">
        <v>1300</v>
      </c>
      <c r="C18" s="379">
        <f>B18/100</f>
        <v>13</v>
      </c>
      <c r="D18" s="443"/>
      <c r="E18" s="381"/>
      <c r="G18" s="219">
        <f>B18</f>
        <v>1300</v>
      </c>
    </row>
    <row r="19" spans="1:7" x14ac:dyDescent="0.3">
      <c r="A19" s="356" t="s">
        <v>168</v>
      </c>
      <c r="B19" s="378">
        <v>5</v>
      </c>
      <c r="C19" s="379">
        <v>0</v>
      </c>
      <c r="D19" s="380"/>
      <c r="E19" s="381"/>
      <c r="G19" s="219">
        <f>B19</f>
        <v>5</v>
      </c>
    </row>
    <row r="20" spans="1:7" x14ac:dyDescent="0.3">
      <c r="A20" s="356" t="s">
        <v>95</v>
      </c>
      <c r="B20" s="378">
        <v>0</v>
      </c>
      <c r="C20" s="379">
        <f>B20</f>
        <v>0</v>
      </c>
      <c r="D20" s="380"/>
      <c r="E20" s="381"/>
      <c r="G20" s="219">
        <f>0.05*B20</f>
        <v>0</v>
      </c>
    </row>
    <row r="21" spans="1:7" x14ac:dyDescent="0.3">
      <c r="A21" s="356" t="s">
        <v>96</v>
      </c>
      <c r="B21" s="378">
        <v>1</v>
      </c>
      <c r="C21" s="379">
        <v>4</v>
      </c>
      <c r="D21" s="380"/>
      <c r="E21" s="381"/>
      <c r="G21" s="219">
        <v>1</v>
      </c>
    </row>
    <row r="22" spans="1:7" x14ac:dyDescent="0.3">
      <c r="A22" s="43" t="s">
        <v>92</v>
      </c>
      <c r="B22" s="342">
        <v>1</v>
      </c>
      <c r="C22" s="44">
        <v>0</v>
      </c>
      <c r="D22" s="153"/>
      <c r="E22" s="46"/>
      <c r="G22" s="219">
        <v>1</v>
      </c>
    </row>
    <row r="23" spans="1:7" x14ac:dyDescent="0.3">
      <c r="A23" s="43" t="s">
        <v>114</v>
      </c>
      <c r="B23" s="342">
        <v>1</v>
      </c>
      <c r="C23" s="44">
        <v>0</v>
      </c>
      <c r="D23" s="153"/>
      <c r="E23" s="46"/>
      <c r="G23" s="219">
        <v>1</v>
      </c>
    </row>
    <row r="24" spans="1:7" x14ac:dyDescent="0.3">
      <c r="A24" s="220" t="s">
        <v>206</v>
      </c>
      <c r="B24" s="217">
        <v>6</v>
      </c>
      <c r="C24" s="167">
        <f>B24/12</f>
        <v>0.5</v>
      </c>
      <c r="D24" s="349"/>
      <c r="E24" s="49"/>
      <c r="G24" s="219">
        <f>B24/12</f>
        <v>0.5</v>
      </c>
    </row>
    <row r="25" spans="1:7" x14ac:dyDescent="0.3">
      <c r="A25" s="220" t="s">
        <v>186</v>
      </c>
      <c r="B25" s="217">
        <v>1</v>
      </c>
      <c r="C25" s="167">
        <v>0.5</v>
      </c>
      <c r="D25" s="349"/>
      <c r="E25" s="49"/>
      <c r="G25" s="219">
        <v>0.05</v>
      </c>
    </row>
    <row r="26" spans="1:7" x14ac:dyDescent="0.3">
      <c r="A26" s="220" t="s">
        <v>169</v>
      </c>
      <c r="B26" s="217">
        <v>2</v>
      </c>
      <c r="C26" s="167">
        <f>5*B26</f>
        <v>10</v>
      </c>
      <c r="D26" s="218"/>
      <c r="E26" s="49"/>
      <c r="G26" s="219">
        <f>10*B26</f>
        <v>20</v>
      </c>
    </row>
    <row r="27" spans="1:7" x14ac:dyDescent="0.3">
      <c r="A27" s="220" t="s">
        <v>170</v>
      </c>
      <c r="B27" s="217">
        <v>2</v>
      </c>
      <c r="C27" s="167">
        <v>10</v>
      </c>
      <c r="D27" s="218"/>
      <c r="E27" s="49"/>
      <c r="G27" s="219">
        <v>10</v>
      </c>
    </row>
    <row r="28" spans="1:7" x14ac:dyDescent="0.3">
      <c r="A28" s="448" t="s">
        <v>274</v>
      </c>
      <c r="B28" s="449">
        <v>2</v>
      </c>
      <c r="C28" s="396">
        <f>0.1*B28</f>
        <v>0.2</v>
      </c>
      <c r="D28" s="450"/>
      <c r="E28" s="451"/>
      <c r="F28" s="317"/>
      <c r="G28" s="219">
        <f>B28*10</f>
        <v>20</v>
      </c>
    </row>
    <row r="29" spans="1:7" x14ac:dyDescent="0.3">
      <c r="A29" s="43" t="s">
        <v>94</v>
      </c>
      <c r="B29" s="342">
        <v>1</v>
      </c>
      <c r="C29" s="44">
        <v>5</v>
      </c>
      <c r="D29" s="344"/>
      <c r="E29" s="46"/>
      <c r="G29" s="219">
        <v>80</v>
      </c>
    </row>
    <row r="30" spans="1:7" x14ac:dyDescent="0.3">
      <c r="A30" s="43" t="s">
        <v>93</v>
      </c>
      <c r="B30" s="342">
        <v>1</v>
      </c>
      <c r="C30" s="44">
        <v>1</v>
      </c>
      <c r="D30" s="344"/>
      <c r="E30" s="46"/>
      <c r="G30" s="219">
        <v>50</v>
      </c>
    </row>
    <row r="31" spans="1:7" x14ac:dyDescent="0.3">
      <c r="A31" s="43" t="s">
        <v>179</v>
      </c>
      <c r="B31" s="342">
        <v>1</v>
      </c>
      <c r="C31" s="44">
        <v>1</v>
      </c>
      <c r="D31" s="344"/>
      <c r="E31" s="46"/>
      <c r="G31" s="219">
        <v>10</v>
      </c>
    </row>
    <row r="32" spans="1:7" x14ac:dyDescent="0.3">
      <c r="A32" s="43" t="s">
        <v>184</v>
      </c>
      <c r="B32" s="342">
        <v>1</v>
      </c>
      <c r="C32" s="44">
        <v>1</v>
      </c>
      <c r="D32" s="45" t="s">
        <v>181</v>
      </c>
      <c r="E32" s="46"/>
      <c r="G32" s="219">
        <v>1</v>
      </c>
    </row>
    <row r="33" spans="1:7" x14ac:dyDescent="0.3">
      <c r="A33" s="43" t="s">
        <v>182</v>
      </c>
      <c r="B33" s="342">
        <v>1</v>
      </c>
      <c r="C33" s="44">
        <v>1</v>
      </c>
      <c r="D33" s="45" t="s">
        <v>181</v>
      </c>
      <c r="E33" s="46"/>
      <c r="G33" s="219">
        <v>1</v>
      </c>
    </row>
    <row r="34" spans="1:7" x14ac:dyDescent="0.3">
      <c r="A34" s="43" t="s">
        <v>183</v>
      </c>
      <c r="B34" s="342">
        <v>1</v>
      </c>
      <c r="C34" s="44">
        <v>1</v>
      </c>
      <c r="D34" s="45" t="s">
        <v>181</v>
      </c>
      <c r="E34" s="46"/>
      <c r="G34" s="219">
        <v>1</v>
      </c>
    </row>
    <row r="35" spans="1:7" x14ac:dyDescent="0.3">
      <c r="A35" s="220" t="s">
        <v>192</v>
      </c>
      <c r="B35" s="217">
        <v>6</v>
      </c>
      <c r="C35" s="167">
        <f>B35*0.5</f>
        <v>3</v>
      </c>
      <c r="D35" s="349" t="s">
        <v>242</v>
      </c>
      <c r="E35" s="49"/>
      <c r="G35" s="219">
        <f>40*B35</f>
        <v>240</v>
      </c>
    </row>
    <row r="36" spans="1:7" x14ac:dyDescent="0.3">
      <c r="A36" s="220" t="s">
        <v>205</v>
      </c>
      <c r="B36" s="217">
        <v>1</v>
      </c>
      <c r="C36" s="167">
        <v>0.5</v>
      </c>
      <c r="D36" s="218"/>
      <c r="E36" s="49"/>
      <c r="G36" s="219">
        <v>1</v>
      </c>
    </row>
    <row r="37" spans="1:7" x14ac:dyDescent="0.3">
      <c r="A37" s="220" t="s">
        <v>180</v>
      </c>
      <c r="B37" s="217">
        <v>1</v>
      </c>
      <c r="C37" s="167">
        <v>0.5</v>
      </c>
      <c r="D37" s="349"/>
      <c r="E37" s="49"/>
      <c r="G37" s="219">
        <v>1</v>
      </c>
    </row>
    <row r="38" spans="1:7" ht="16.2" thickBot="1" x14ac:dyDescent="0.35">
      <c r="A38" s="193" t="s">
        <v>190</v>
      </c>
      <c r="B38" s="332">
        <v>1</v>
      </c>
      <c r="C38" s="333">
        <v>1</v>
      </c>
      <c r="D38" s="334" t="s">
        <v>191</v>
      </c>
      <c r="E38" s="335"/>
      <c r="F38" s="310"/>
      <c r="G38" s="192">
        <v>35</v>
      </c>
    </row>
    <row r="39" spans="1:7" ht="16.2" thickTop="1" x14ac:dyDescent="0.3">
      <c r="A39" s="306" t="s">
        <v>264</v>
      </c>
      <c r="B39" s="336">
        <f>C39/120</f>
        <v>0.44833333333333336</v>
      </c>
      <c r="C39" s="337">
        <f>SUM(C16:C38)</f>
        <v>53.800000000000004</v>
      </c>
      <c r="D39" s="317"/>
      <c r="E39" s="317"/>
      <c r="F39" s="317"/>
      <c r="G39" s="442"/>
    </row>
    <row r="40" spans="1:7" x14ac:dyDescent="0.3">
      <c r="E40" s="120" t="s">
        <v>82</v>
      </c>
      <c r="G40" s="347">
        <f>SUM(Martial!M6:M49,Equipment!G3:G38)</f>
        <v>40619.25</v>
      </c>
    </row>
    <row r="41" spans="1:7" x14ac:dyDescent="0.3">
      <c r="E41" s="306" t="s">
        <v>171</v>
      </c>
      <c r="F41" s="310"/>
      <c r="G41" s="347">
        <v>27000</v>
      </c>
    </row>
  </sheetData>
  <phoneticPr fontId="0" type="noConversion"/>
  <conditionalFormatting sqref="B39">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9"/>
  <sheetViews>
    <sheetView showGridLines="0" workbookViewId="0"/>
  </sheetViews>
  <sheetFormatPr defaultColWidth="9" defaultRowHeight="15.6" x14ac:dyDescent="0.3"/>
  <cols>
    <col min="1" max="1" width="62.3984375" style="128" bestFit="1" customWidth="1"/>
    <col min="2" max="2" width="9.5" style="318" customWidth="1"/>
    <col min="3" max="3" width="6.3984375" style="128" customWidth="1"/>
    <col min="4" max="16384" width="9" style="128"/>
  </cols>
  <sheetData>
    <row r="1" spans="1:3" x14ac:dyDescent="0.3">
      <c r="A1" s="306" t="s">
        <v>141</v>
      </c>
      <c r="B1" s="307" t="str">
        <f>'Personal File'!A1</f>
        <v>Bazazath</v>
      </c>
      <c r="C1" s="308" t="s">
        <v>142</v>
      </c>
    </row>
    <row r="2" spans="1:3" x14ac:dyDescent="0.3">
      <c r="A2" s="309" t="s">
        <v>209</v>
      </c>
      <c r="B2" s="310" t="s">
        <v>233</v>
      </c>
      <c r="C2" s="311">
        <v>0.04</v>
      </c>
    </row>
    <row r="3" spans="1:3" x14ac:dyDescent="0.3">
      <c r="A3" s="309" t="s">
        <v>151</v>
      </c>
      <c r="B3" s="310" t="s">
        <v>150</v>
      </c>
      <c r="C3" s="311">
        <v>0.16</v>
      </c>
    </row>
    <row r="4" spans="1:3" x14ac:dyDescent="0.3">
      <c r="A4" s="309" t="s">
        <v>154</v>
      </c>
      <c r="B4" s="310" t="s">
        <v>143</v>
      </c>
      <c r="C4" s="311">
        <v>0.2</v>
      </c>
    </row>
    <row r="5" spans="1:3" x14ac:dyDescent="0.3">
      <c r="A5" s="309" t="s">
        <v>153</v>
      </c>
      <c r="B5" s="310" t="s">
        <v>150</v>
      </c>
      <c r="C5" s="311">
        <v>0.16</v>
      </c>
    </row>
    <row r="6" spans="1:3" x14ac:dyDescent="0.3">
      <c r="A6" s="309" t="s">
        <v>152</v>
      </c>
      <c r="B6" s="310" t="s">
        <v>143</v>
      </c>
      <c r="C6" s="311">
        <v>0.2</v>
      </c>
    </row>
    <row r="7" spans="1:3" x14ac:dyDescent="0.3">
      <c r="A7" s="306" t="s">
        <v>53</v>
      </c>
      <c r="B7" s="307"/>
      <c r="C7" s="308">
        <f>SUM(C2:C6)</f>
        <v>0.76</v>
      </c>
    </row>
    <row r="8" spans="1:3" x14ac:dyDescent="0.3">
      <c r="A8" s="306"/>
      <c r="B8" s="307"/>
      <c r="C8" s="308"/>
    </row>
    <row r="9" spans="1:3" x14ac:dyDescent="0.3">
      <c r="A9" s="306" t="s">
        <v>144</v>
      </c>
      <c r="B9" s="312">
        <v>0</v>
      </c>
      <c r="C9" s="313"/>
    </row>
    <row r="10" spans="1:3" x14ac:dyDescent="0.3">
      <c r="A10" s="306" t="s">
        <v>145</v>
      </c>
      <c r="B10" s="312"/>
      <c r="C10" s="313"/>
    </row>
    <row r="11" spans="1:3" x14ac:dyDescent="0.3">
      <c r="A11" s="306" t="s">
        <v>146</v>
      </c>
      <c r="B11" s="312">
        <f>IF(B9=0,B10*C7,(B10*C7*(1-(B9/4))))</f>
        <v>0</v>
      </c>
      <c r="C11" s="313"/>
    </row>
    <row r="12" spans="1:3" x14ac:dyDescent="0.3">
      <c r="A12" s="306" t="s">
        <v>147</v>
      </c>
      <c r="B12" s="314">
        <v>0</v>
      </c>
      <c r="C12" s="315"/>
    </row>
    <row r="13" spans="1:3" x14ac:dyDescent="0.3">
      <c r="A13" s="306" t="s">
        <v>53</v>
      </c>
      <c r="B13" s="316">
        <f>SUM(B11:B12)</f>
        <v>0</v>
      </c>
      <c r="C13" s="313"/>
    </row>
    <row r="14" spans="1:3" x14ac:dyDescent="0.3">
      <c r="A14" s="306" t="s">
        <v>148</v>
      </c>
      <c r="B14" s="312"/>
      <c r="C14" s="313"/>
    </row>
    <row r="15" spans="1:3" x14ac:dyDescent="0.3">
      <c r="A15" s="306" t="s">
        <v>149</v>
      </c>
      <c r="B15" s="316">
        <f>SUM(B13:B14)</f>
        <v>0</v>
      </c>
      <c r="C15" s="313"/>
    </row>
    <row r="17" spans="1:2" x14ac:dyDescent="0.3">
      <c r="A17" s="306" t="s">
        <v>216</v>
      </c>
      <c r="B17" s="128"/>
    </row>
    <row r="18" spans="1:2" x14ac:dyDescent="0.3">
      <c r="A18" s="317"/>
      <c r="B18" s="128"/>
    </row>
    <row r="19" spans="1:2" x14ac:dyDescent="0.3">
      <c r="B19" s="128"/>
    </row>
  </sheetData>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Feats</vt:lpstr>
      <vt:lpstr>Martial</vt:lpstr>
      <vt:lpstr>Equipment</vt:lpstr>
      <vt:lpstr>XP Awards</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2022-03-06T12:38:32Z</dcterms:modified>
</cp:coreProperties>
</file>