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C:\A\Juegos\FoL\Used\Characters\Part II\"/>
    </mc:Choice>
  </mc:AlternateContent>
  <xr:revisionPtr revIDLastSave="0" documentId="13_ncr:1_{B6896C2C-6F38-4C3E-AC71-5619FEED4D87}" xr6:coauthVersionLast="47" xr6:coauthVersionMax="47"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Feats" sheetId="23" r:id="rId3"/>
    <sheet name="Martial" sheetId="6" r:id="rId4"/>
    <sheet name="Equipment" sheetId="19" r:id="rId5"/>
    <sheet name="XP Awards" sheetId="24" r:id="rId6"/>
  </sheets>
  <externalReferences>
    <externalReference r:id="rId7"/>
  </externalReferences>
  <definedNames>
    <definedName name="NoShade">'[1]Spell Sheet'!$FH$1</definedName>
    <definedName name="OLE_LINK1" localSheetId="2">Feats!$A$2</definedName>
    <definedName name="_xlnm.Print_Area" localSheetId="4">Equipment!#REF!</definedName>
    <definedName name="_xlnm.Print_Area" localSheetId="2">Feats!#REF!</definedName>
    <definedName name="_xlnm.Print_Area" localSheetId="3">Martial!#REF!</definedName>
    <definedName name="_xlnm.Print_Area" localSheetId="0">'Personal File'!$A$1:$H$16</definedName>
    <definedName name="_xlnm.Print_Area" localSheetId="1">Skills!$A$1:$K$29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5" i="6" l="1"/>
  <c r="H23" i="6"/>
  <c r="H21" i="6"/>
  <c r="H19" i="6"/>
  <c r="H17" i="6"/>
  <c r="H15" i="6"/>
  <c r="H13" i="6"/>
  <c r="H11" i="6"/>
  <c r="H9" i="6"/>
  <c r="H7" i="6"/>
  <c r="D21" i="6"/>
  <c r="D20" i="6"/>
  <c r="D15" i="6"/>
  <c r="D14" i="6"/>
  <c r="D11" i="6"/>
  <c r="D10" i="6"/>
  <c r="D9" i="6"/>
  <c r="D8" i="6"/>
  <c r="D7" i="6"/>
  <c r="D6" i="6"/>
  <c r="B9" i="4" l="1"/>
  <c r="G28" i="19" l="1"/>
  <c r="C28" i="19"/>
  <c r="C8" i="6" l="1"/>
  <c r="I9" i="6"/>
  <c r="I8" i="6"/>
  <c r="H8" i="6"/>
  <c r="J8" i="6" l="1"/>
  <c r="J9" i="6"/>
  <c r="I21" i="6" l="1"/>
  <c r="I20" i="6"/>
  <c r="H20" i="6"/>
  <c r="B12" i="4"/>
  <c r="B11" i="4"/>
  <c r="J20" i="6" l="1"/>
  <c r="J21" i="6"/>
  <c r="M30" i="6"/>
  <c r="I30" i="6"/>
  <c r="G35" i="19"/>
  <c r="C35" i="19"/>
  <c r="G26" i="19"/>
  <c r="C26" i="19"/>
  <c r="G24" i="19"/>
  <c r="C24" i="19"/>
  <c r="G20" i="19"/>
  <c r="C20" i="19"/>
  <c r="G19" i="19"/>
  <c r="G18" i="19"/>
  <c r="C18" i="19"/>
  <c r="G17" i="19"/>
  <c r="C17" i="19"/>
  <c r="C39" i="19" l="1"/>
  <c r="B39" i="19" s="1"/>
  <c r="M32" i="6"/>
  <c r="I25" i="6"/>
  <c r="I23" i="6"/>
  <c r="I19" i="6"/>
  <c r="I17" i="6"/>
  <c r="I15" i="6"/>
  <c r="I13" i="6"/>
  <c r="I11" i="6"/>
  <c r="I7" i="6"/>
  <c r="I12" i="6"/>
  <c r="I10" i="6"/>
  <c r="I32" i="6"/>
  <c r="I31" i="6"/>
  <c r="B46" i="15" l="1"/>
  <c r="H25" i="15"/>
  <c r="D25" i="15"/>
  <c r="G25" i="15" s="1"/>
  <c r="E54" i="15"/>
  <c r="B5" i="15"/>
  <c r="B4" i="15"/>
  <c r="B3" i="15"/>
  <c r="E13" i="4"/>
  <c r="I25" i="15" l="1"/>
  <c r="E25" i="15"/>
  <c r="I14" i="6" l="1"/>
  <c r="I6" i="6" l="1"/>
  <c r="I33" i="6"/>
  <c r="I29" i="6"/>
  <c r="I34" i="6"/>
  <c r="I26" i="6"/>
  <c r="I24" i="6"/>
  <c r="I22" i="6"/>
  <c r="I18" i="6"/>
  <c r="I16" i="6"/>
  <c r="I5" i="6"/>
  <c r="I4" i="6"/>
  <c r="I3" i="6"/>
  <c r="A3" i="23"/>
  <c r="G10" i="19" l="1"/>
  <c r="G12" i="19" l="1"/>
  <c r="C12" i="19"/>
  <c r="C10" i="19"/>
  <c r="H36" i="15" l="1"/>
  <c r="H35" i="15"/>
  <c r="H34" i="15"/>
  <c r="H33" i="15"/>
  <c r="H32" i="15"/>
  <c r="H31" i="15"/>
  <c r="H30" i="15"/>
  <c r="H29" i="15"/>
  <c r="H28" i="15"/>
  <c r="H27" i="15"/>
  <c r="H26" i="15"/>
  <c r="H24" i="15"/>
  <c r="H23" i="15"/>
  <c r="H22" i="15"/>
  <c r="H21" i="15"/>
  <c r="H20" i="15"/>
  <c r="H19" i="15"/>
  <c r="H18" i="15"/>
  <c r="H17" i="15"/>
  <c r="H16" i="15"/>
  <c r="H15" i="15"/>
  <c r="H14" i="15"/>
  <c r="H13" i="15"/>
  <c r="H12" i="15"/>
  <c r="H11" i="15"/>
  <c r="H10" i="15"/>
  <c r="H9" i="15"/>
  <c r="H8" i="15"/>
  <c r="H7" i="15"/>
  <c r="E53" i="15"/>
  <c r="E5" i="4"/>
  <c r="E8" i="23" l="1"/>
  <c r="M42" i="6" l="1"/>
  <c r="E12" i="4"/>
  <c r="M29" i="6" l="1"/>
  <c r="A6" i="23" l="1"/>
  <c r="B1" i="24" l="1"/>
  <c r="C7" i="24"/>
  <c r="B11" i="24" s="1"/>
  <c r="B13" i="24" s="1"/>
  <c r="B15" i="24" s="1"/>
  <c r="G40" i="19" l="1"/>
  <c r="F20" i="15"/>
  <c r="H44" i="15"/>
  <c r="H43" i="15"/>
  <c r="H42" i="15"/>
  <c r="H41" i="15"/>
  <c r="H40" i="15"/>
  <c r="H39" i="15"/>
  <c r="H38" i="15"/>
  <c r="H37" i="15"/>
  <c r="F43" i="15" l="1"/>
  <c r="F37" i="15"/>
  <c r="F28" i="15"/>
  <c r="F23" i="15"/>
  <c r="F21" i="15"/>
  <c r="F16" i="15"/>
  <c r="F7" i="15"/>
  <c r="F9" i="15" l="1"/>
  <c r="H45" i="15" l="1"/>
  <c r="H5" i="15"/>
  <c r="H4" i="15"/>
  <c r="H3" i="15"/>
  <c r="H6" i="15"/>
  <c r="C16" i="4" l="1"/>
  <c r="C15" i="4"/>
  <c r="C14" i="4"/>
  <c r="C13" i="4"/>
  <c r="C12" i="4"/>
  <c r="C11" i="4"/>
  <c r="H30" i="6" l="1"/>
  <c r="J30" i="6" s="1"/>
  <c r="H32" i="6"/>
  <c r="J32" i="6" s="1"/>
  <c r="H31" i="6"/>
  <c r="J31" i="6" s="1"/>
  <c r="E14" i="4"/>
  <c r="B10" i="4"/>
  <c r="C30" i="6"/>
  <c r="C32" i="6"/>
  <c r="J25" i="6"/>
  <c r="C13" i="6"/>
  <c r="C31" i="6"/>
  <c r="H10" i="6"/>
  <c r="J10" i="6" s="1"/>
  <c r="C19" i="6"/>
  <c r="C25" i="6"/>
  <c r="J17" i="6"/>
  <c r="C14" i="6"/>
  <c r="C17" i="6"/>
  <c r="J11" i="6"/>
  <c r="C29" i="6"/>
  <c r="C10" i="6"/>
  <c r="C15" i="6"/>
  <c r="C7" i="6"/>
  <c r="J15" i="6"/>
  <c r="J23" i="6"/>
  <c r="C11" i="6"/>
  <c r="C23" i="6"/>
  <c r="C12" i="6"/>
  <c r="J7" i="6"/>
  <c r="J19" i="6"/>
  <c r="H12" i="6"/>
  <c r="J12" i="6" s="1"/>
  <c r="J13" i="6"/>
  <c r="C6" i="6"/>
  <c r="H14" i="6"/>
  <c r="J14" i="6" s="1"/>
  <c r="C18" i="6"/>
  <c r="C3" i="6"/>
  <c r="C22" i="6"/>
  <c r="C16" i="6"/>
  <c r="H33" i="6"/>
  <c r="J33" i="6" s="1"/>
  <c r="H34" i="6"/>
  <c r="J34" i="6" s="1"/>
  <c r="C24" i="6"/>
  <c r="H24" i="6"/>
  <c r="J24" i="6" s="1"/>
  <c r="H22" i="6"/>
  <c r="J22" i="6" s="1"/>
  <c r="C5" i="6"/>
  <c r="H5" i="6"/>
  <c r="J5" i="6" s="1"/>
  <c r="H3" i="6"/>
  <c r="J3" i="6" s="1"/>
  <c r="H6" i="6"/>
  <c r="J6" i="6" s="1"/>
  <c r="C4" i="6"/>
  <c r="H4" i="6"/>
  <c r="J4" i="6" s="1"/>
  <c r="D26" i="15"/>
  <c r="E51" i="15"/>
  <c r="D32" i="15"/>
  <c r="D33" i="15"/>
  <c r="E6" i="23"/>
  <c r="E3" i="23"/>
  <c r="E4" i="23"/>
  <c r="E5" i="23"/>
  <c r="E49" i="15"/>
  <c r="E48" i="15"/>
  <c r="E47" i="15"/>
  <c r="D38" i="15"/>
  <c r="H18" i="6"/>
  <c r="J18" i="6" s="1"/>
  <c r="E16" i="4"/>
  <c r="E15" i="4" s="1"/>
  <c r="H29" i="6"/>
  <c r="H26" i="6"/>
  <c r="J26" i="6" s="1"/>
  <c r="H16" i="6"/>
  <c r="D24" i="15"/>
  <c r="D6" i="15"/>
  <c r="G6" i="15" s="1"/>
  <c r="D4" i="15"/>
  <c r="G4" i="15" s="1"/>
  <c r="D5" i="15"/>
  <c r="G5" i="15" s="1"/>
  <c r="D3" i="15"/>
  <c r="G3" i="15" s="1"/>
  <c r="D39" i="15"/>
  <c r="D41" i="15"/>
  <c r="D31" i="15"/>
  <c r="D43" i="15"/>
  <c r="D40" i="15"/>
  <c r="D42" i="15"/>
  <c r="D35" i="15"/>
  <c r="D19" i="15"/>
  <c r="D44" i="15"/>
  <c r="D29" i="15"/>
  <c r="D37" i="15"/>
  <c r="D14" i="15"/>
  <c r="D12" i="15"/>
  <c r="D45" i="15"/>
  <c r="D36" i="15"/>
  <c r="D34" i="15"/>
  <c r="D30" i="15"/>
  <c r="D28" i="15"/>
  <c r="D27" i="15"/>
  <c r="D23" i="15"/>
  <c r="D22" i="15"/>
  <c r="D21" i="15"/>
  <c r="D20" i="15"/>
  <c r="D18" i="15"/>
  <c r="D17" i="15"/>
  <c r="D16" i="15"/>
  <c r="D15" i="15"/>
  <c r="D13" i="15"/>
  <c r="D11" i="15"/>
  <c r="D10" i="15"/>
  <c r="D9" i="15"/>
  <c r="D8" i="15"/>
  <c r="D7" i="15"/>
  <c r="E46" i="15" l="1"/>
  <c r="E33" i="15"/>
  <c r="G33" i="15"/>
  <c r="I33" i="15" s="1"/>
  <c r="G32" i="15"/>
  <c r="I32" i="15" s="1"/>
  <c r="E32" i="15"/>
  <c r="E26" i="15"/>
  <c r="G26" i="15"/>
  <c r="I26" i="15" s="1"/>
  <c r="E38" i="15"/>
  <c r="G38" i="15"/>
  <c r="I38" i="15" s="1"/>
  <c r="J29" i="6"/>
  <c r="J16" i="6"/>
  <c r="G24" i="15"/>
  <c r="I24" i="15" s="1"/>
  <c r="E24" i="15"/>
  <c r="E6" i="15"/>
  <c r="I6" i="15"/>
  <c r="E22" i="15"/>
  <c r="G22" i="15"/>
  <c r="E8" i="15"/>
  <c r="G8" i="15"/>
  <c r="E18" i="15"/>
  <c r="G18" i="15"/>
  <c r="E23" i="15"/>
  <c r="G23" i="15"/>
  <c r="E34" i="15"/>
  <c r="G34" i="15"/>
  <c r="E14" i="15"/>
  <c r="G14" i="15"/>
  <c r="E19" i="15"/>
  <c r="G19" i="15"/>
  <c r="E43" i="15"/>
  <c r="G43" i="15"/>
  <c r="E41" i="15"/>
  <c r="G41" i="15"/>
  <c r="E11" i="15"/>
  <c r="G11" i="15"/>
  <c r="E12" i="15"/>
  <c r="G12" i="15"/>
  <c r="E9" i="15"/>
  <c r="G9" i="15"/>
  <c r="E20" i="15"/>
  <c r="G20" i="15"/>
  <c r="E36" i="15"/>
  <c r="G36" i="15"/>
  <c r="E35" i="15"/>
  <c r="G35" i="15"/>
  <c r="E31" i="15"/>
  <c r="G31" i="15"/>
  <c r="E4" i="15"/>
  <c r="E7" i="15"/>
  <c r="G7" i="15"/>
  <c r="E30" i="15"/>
  <c r="G30" i="15"/>
  <c r="E13" i="15"/>
  <c r="G13" i="15"/>
  <c r="E15" i="15"/>
  <c r="G15" i="15"/>
  <c r="E27" i="15"/>
  <c r="G27" i="15"/>
  <c r="E37" i="15"/>
  <c r="G37" i="15"/>
  <c r="E10" i="15"/>
  <c r="G10" i="15"/>
  <c r="E16" i="15"/>
  <c r="G16" i="15"/>
  <c r="E21" i="15"/>
  <c r="G21" i="15"/>
  <c r="E28" i="15"/>
  <c r="G28" i="15"/>
  <c r="E45" i="15"/>
  <c r="G45" i="15"/>
  <c r="E29" i="15"/>
  <c r="G29" i="15"/>
  <c r="E42" i="15"/>
  <c r="G42" i="15"/>
  <c r="E39" i="15"/>
  <c r="G39" i="15"/>
  <c r="E17" i="15"/>
  <c r="G17" i="15"/>
  <c r="E44" i="15"/>
  <c r="G44" i="15"/>
  <c r="E40" i="15"/>
  <c r="G40" i="15"/>
  <c r="E3" i="15"/>
  <c r="E5" i="15"/>
  <c r="I3" i="15" l="1"/>
  <c r="I28" i="15"/>
  <c r="I16" i="15"/>
  <c r="I15" i="15"/>
  <c r="I30" i="15"/>
  <c r="I40" i="15"/>
  <c r="I17" i="15"/>
  <c r="I42" i="15"/>
  <c r="I45" i="15"/>
  <c r="I21" i="15"/>
  <c r="I10" i="15"/>
  <c r="I27" i="15"/>
  <c r="I13" i="15"/>
  <c r="I7" i="15"/>
  <c r="I31" i="15"/>
  <c r="I36" i="15"/>
  <c r="I9" i="15"/>
  <c r="I11" i="15"/>
  <c r="I41" i="15"/>
  <c r="I19" i="15"/>
  <c r="I34" i="15"/>
  <c r="I39" i="15"/>
  <c r="I29" i="15"/>
  <c r="I37" i="15"/>
  <c r="I4" i="15"/>
  <c r="I35" i="15"/>
  <c r="I20" i="15"/>
  <c r="I12" i="15"/>
  <c r="I43" i="15"/>
  <c r="I14" i="15"/>
  <c r="I23" i="15"/>
  <c r="I5" i="15"/>
  <c r="I44" i="15"/>
  <c r="I8" i="15"/>
  <c r="I18" i="15"/>
  <c r="I22"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9" authorId="0" shapeId="0" xr:uid="{C9036028-352C-4782-9135-756B2027C243}">
      <text>
        <r>
          <rPr>
            <i/>
            <sz val="12"/>
            <color indexed="81"/>
            <rFont val="Times New Roman"/>
            <family val="1"/>
          </rPr>
          <t>aid +1
haste +1
Negative Levels -4
Crushing Despair -2</t>
        </r>
      </text>
    </comment>
    <comment ref="C10" authorId="0" shapeId="0" xr:uid="{88AF2B61-E341-4D3C-A69F-136CA84DACB3}">
      <text>
        <r>
          <rPr>
            <sz val="12"/>
            <color indexed="81"/>
            <rFont val="Times New Roman"/>
            <family val="1"/>
          </rPr>
          <t xml:space="preserve">You can react more quickly than normal in a fight.
</t>
        </r>
        <r>
          <rPr>
            <b/>
            <sz val="12"/>
            <color indexed="81"/>
            <rFont val="Times New Roman"/>
            <family val="1"/>
          </rPr>
          <t xml:space="preserve">Benefit:  </t>
        </r>
        <r>
          <rPr>
            <sz val="12"/>
            <color indexed="81"/>
            <rFont val="Times New Roman"/>
            <family val="1"/>
          </rPr>
          <t xml:space="preserve">You get a +4 bonus on initiative checks.
</t>
        </r>
        <r>
          <rPr>
            <b/>
            <sz val="12"/>
            <color indexed="81"/>
            <rFont val="Times New Roman"/>
            <family val="1"/>
          </rPr>
          <t xml:space="preserve">Special:  </t>
        </r>
        <r>
          <rPr>
            <sz val="12"/>
            <color indexed="81"/>
            <rFont val="Times New Roman"/>
            <family val="1"/>
          </rPr>
          <t>A fighter may select Improved Initiative as one of his fighter bonus feats (see page 38).
PHB 96</t>
        </r>
      </text>
    </comment>
    <comment ref="E10" authorId="0" shapeId="0" xr:uid="{678AE05E-5D52-4FD4-BEA4-81B176E9158F}">
      <text>
        <r>
          <rPr>
            <sz val="12"/>
            <color indexed="81"/>
            <rFont val="Times New Roman"/>
            <family val="1"/>
          </rPr>
          <t>Next level at 36,000 XPs</t>
        </r>
      </text>
    </comment>
    <comment ref="B11" authorId="0" shapeId="0" xr:uid="{9825BF8E-DA1D-4B71-A5FC-B4CE914C7A4E}">
      <text>
        <r>
          <rPr>
            <i/>
            <sz val="12"/>
            <color indexed="81"/>
            <rFont val="Times New Roman"/>
            <family val="1"/>
          </rPr>
          <t>bull’s strength +4
Exhaustion -6</t>
        </r>
      </text>
    </comment>
    <comment ref="E11" authorId="0" shapeId="0" xr:uid="{E44BC9F8-DC49-4A57-BC57-E5D7E4EF7837}">
      <text>
        <r>
          <rPr>
            <sz val="12"/>
            <color indexed="81"/>
            <rFont val="Times New Roman"/>
            <family val="1"/>
          </rPr>
          <t>See PHB 162</t>
        </r>
      </text>
    </comment>
    <comment ref="B12" authorId="0" shapeId="0" xr:uid="{6D9AAE51-E41D-4FBD-912B-B548F272A045}">
      <text>
        <r>
          <rPr>
            <i/>
            <sz val="12"/>
            <color indexed="81"/>
            <rFont val="Times New Roman"/>
            <family val="1"/>
          </rPr>
          <t>Exhaustion -6</t>
        </r>
      </text>
    </comment>
    <comment ref="E13" authorId="0" shapeId="0" xr:uid="{00000000-0006-0000-0000-000006000000}">
      <text>
        <r>
          <rPr>
            <sz val="12"/>
            <color indexed="81"/>
            <rFont val="Times New Roman"/>
            <family val="1"/>
          </rPr>
          <t>[(5 * 8 Hound Archon) * 75%] +
[(1 * 8 Ranger) * 75%] +
(6 * 3 Con)</t>
        </r>
      </text>
    </comment>
    <comment ref="E14" authorId="0" shapeId="0" xr:uid="{FE6F6CBB-A87B-4CB4-895F-6E1DC72F244D}">
      <text>
        <r>
          <rPr>
            <i/>
            <sz val="12"/>
            <color indexed="81"/>
            <rFont val="Times New Roman"/>
            <family val="1"/>
          </rPr>
          <t>protection from evil +2
haste +1</t>
        </r>
      </text>
    </comment>
    <comment ref="E15" authorId="0" shapeId="0" xr:uid="{00000000-0006-0000-0000-000009000000}">
      <text>
        <r>
          <rPr>
            <i/>
            <sz val="12"/>
            <color indexed="81"/>
            <rFont val="Times New Roman"/>
            <family val="1"/>
          </rPr>
          <t>protection from evil +2</t>
        </r>
      </text>
    </comment>
    <comment ref="E16" authorId="0" shapeId="0" xr:uid="{2B63F6EE-E664-4C18-87C2-B960A2A7F654}">
      <text>
        <r>
          <rPr>
            <i/>
            <sz val="12"/>
            <color indexed="81"/>
            <rFont val="Times New Roman"/>
            <family val="1"/>
          </rPr>
          <t>protection from evil +2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3" authorId="0" shapeId="0" xr:uid="{72FB563C-9820-4147-85B8-DEDBC7A9514F}">
      <text>
        <r>
          <rPr>
            <sz val="12"/>
            <color indexed="81"/>
            <rFont val="Times New Roman"/>
            <family val="1"/>
          </rPr>
          <t>Cloak of Resistance +1</t>
        </r>
      </text>
    </comment>
    <comment ref="G3" authorId="0" shapeId="0" xr:uid="{3458E7E1-865C-4D6A-BEC5-B52D3924129B}">
      <text>
        <r>
          <rPr>
            <sz val="12"/>
            <color indexed="81"/>
            <rFont val="Times New Roman"/>
            <family val="1"/>
          </rPr>
          <t>Shaken -2</t>
        </r>
      </text>
    </comment>
    <comment ref="F4" authorId="0" shapeId="0" xr:uid="{785F1FB2-89DE-4621-8233-A7B727FAB0BC}">
      <text>
        <r>
          <rPr>
            <sz val="12"/>
            <color indexed="81"/>
            <rFont val="Times New Roman"/>
            <family val="1"/>
          </rPr>
          <t>Cloak of Resistance +1</t>
        </r>
      </text>
    </comment>
    <comment ref="G4" authorId="0" shapeId="0" xr:uid="{E99BF798-4E81-4F1B-B37D-405EAF02BBE4}">
      <text>
        <r>
          <rPr>
            <sz val="12"/>
            <color indexed="81"/>
            <rFont val="Times New Roman"/>
            <family val="1"/>
          </rPr>
          <t>Shaken -2</t>
        </r>
      </text>
    </comment>
    <comment ref="F5" authorId="0" shapeId="0" xr:uid="{79C34A1D-3104-4FCD-82DD-EC6E3287A5CE}">
      <text>
        <r>
          <rPr>
            <sz val="12"/>
            <color indexed="81"/>
            <rFont val="Times New Roman"/>
            <family val="1"/>
          </rPr>
          <t>Cloak of Resistance +1</t>
        </r>
      </text>
    </comment>
    <comment ref="G5" authorId="0" shapeId="0" xr:uid="{30D58448-C034-418B-8165-B7E78989A934}">
      <text>
        <r>
          <rPr>
            <sz val="12"/>
            <color indexed="81"/>
            <rFont val="Times New Roman"/>
            <family val="1"/>
          </rPr>
          <t>Shaken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3" authorId="0" shapeId="0" xr:uid="{EF4B8D7C-7E28-4DF1-9638-79BB3D5FC93B}">
      <text>
        <r>
          <rPr>
            <sz val="12"/>
            <color indexed="81"/>
            <rFont val="Times New Roman"/>
            <family val="1"/>
          </rPr>
          <t>A hound archon of 7th level or higher is surrounded by a 20-foot aura.
Creatures within the area must succeed on a Will save (DC 10 + archon’s HD from class levels) or take a –2 morale penalty on attacks, AC, and saves for one day.
Savage Species 179</t>
        </r>
      </text>
    </comment>
    <comment ref="A9" authorId="0" shapeId="0" xr:uid="{37B23955-E429-4555-8C9A-6BE3DA812C1D}">
      <text>
        <r>
          <rPr>
            <sz val="12"/>
            <color indexed="81"/>
            <rFont val="Times New Roman"/>
            <family val="1"/>
          </rPr>
          <t xml:space="preserve">You can follow the trails of creatures and characters across most
types of terrain.
</t>
        </r>
        <r>
          <rPr>
            <b/>
            <sz val="12"/>
            <color indexed="81"/>
            <rFont val="Times New Roman"/>
            <family val="1"/>
          </rPr>
          <t xml:space="preserve">Benefit:  </t>
        </r>
        <r>
          <rPr>
            <sz val="12"/>
            <color indexed="81"/>
            <rFont val="Times New Roman"/>
            <family val="1"/>
          </rPr>
          <t xml:space="preserve">To find tracks or to follow them for 1 mile requires a successful Survival check.  You must make another Survival check every time the tracks become difficult to follow, such as when other tracks cross them or when the tracks backtrack and diverge.
You move at half your normal speed (or at your normal speed with a –5 penalty on the check, or at up to twice your normal speed with a –20 penalty on the check).
If you fail a Survival check, you can retry after 1 hour (outdoors) or 10 minutes (indoors) of searching.
</t>
        </r>
        <r>
          <rPr>
            <b/>
            <sz val="12"/>
            <color indexed="81"/>
            <rFont val="Times New Roman"/>
            <family val="1"/>
          </rPr>
          <t xml:space="preserve">Normal:  </t>
        </r>
        <r>
          <rPr>
            <sz val="12"/>
            <color indexed="81"/>
            <rFont val="Times New Roman"/>
            <family val="1"/>
          </rPr>
          <t xml:space="preserve">Without this feat, you can use the Survival skill to find tracks, but you can follow them only if the DC for the task is 10 or lower. Alternatively, you can use the Search skill to find a footprint or similar sign of a creature’s passage using the DCs given above, but you can’t use Search to follow tracks, even if someone else has already found them.
</t>
        </r>
        <r>
          <rPr>
            <b/>
            <sz val="12"/>
            <color indexed="81"/>
            <rFont val="Times New Roman"/>
            <family val="1"/>
          </rPr>
          <t xml:space="preserve">Special:  </t>
        </r>
        <r>
          <rPr>
            <sz val="12"/>
            <color indexed="81"/>
            <rFont val="Times New Roman"/>
            <family val="1"/>
          </rPr>
          <t>A ranger automatically has Track as a bonus feat. He
need not select it.  This feat does not allow you to find or follow the tracks made by a subject of a pass without trace spell.
PHB 101</t>
        </r>
      </text>
    </comment>
    <comment ref="A18" authorId="0" shapeId="0" xr:uid="{25EA40DC-139B-4E64-9FEF-B6FA32EA2A75}">
      <text>
        <r>
          <rPr>
            <sz val="12"/>
            <color indexed="81"/>
            <rFont val="Times New Roman"/>
            <family val="1"/>
          </rPr>
          <t xml:space="preserve">You can fight with a weapon in each hand. You can make one extra attack each round with the second weapon.
</t>
        </r>
        <r>
          <rPr>
            <b/>
            <sz val="12"/>
            <color indexed="81"/>
            <rFont val="Times New Roman"/>
            <family val="1"/>
          </rPr>
          <t xml:space="preserve">Prerequisite:  </t>
        </r>
        <r>
          <rPr>
            <sz val="12"/>
            <color indexed="81"/>
            <rFont val="Times New Roman"/>
            <family val="1"/>
          </rPr>
          <t xml:space="preserve">Dex 15.
</t>
        </r>
        <r>
          <rPr>
            <b/>
            <sz val="12"/>
            <color indexed="81"/>
            <rFont val="Times New Roman"/>
            <family val="1"/>
          </rPr>
          <t xml:space="preserve">Benefit:  </t>
        </r>
        <r>
          <rPr>
            <sz val="12"/>
            <color indexed="81"/>
            <rFont val="Times New Roman"/>
            <family val="1"/>
          </rPr>
          <t xml:space="preserve">Your penalties on attack rolls for fighting with two weapons are reduced. The penalty for your primary hand lessens by 2 and the one for your off hand lessens by 6.
</t>
        </r>
        <r>
          <rPr>
            <b/>
            <sz val="12"/>
            <color indexed="81"/>
            <rFont val="Times New Roman"/>
            <family val="1"/>
          </rPr>
          <t xml:space="preserve">Normal:  </t>
        </r>
        <r>
          <rPr>
            <sz val="12"/>
            <color indexed="81"/>
            <rFont val="Times New Roman"/>
            <family val="1"/>
          </rPr>
          <t xml:space="preserve">See Two-Weapon Fighting, page 160, and Table 8–10: Two-Weapon Fighting Penalties, page 160.
</t>
        </r>
        <r>
          <rPr>
            <b/>
            <sz val="12"/>
            <color indexed="81"/>
            <rFont val="Times New Roman"/>
            <family val="1"/>
          </rPr>
          <t xml:space="preserve">Special:  </t>
        </r>
        <r>
          <rPr>
            <sz val="12"/>
            <color indexed="81"/>
            <rFont val="Times New Roman"/>
            <family val="1"/>
          </rPr>
          <t>A 2nd-level ranger who has chosen the two-weapon combat style is treated as having Two-Weapon Fighting, even if he does not have the prerequisite for it, but only when he is wearing light or no armor (see page 48).
A fighter may select Two-Weapon Fighting as one of his fighter bonus feats (see page 38).
PHB 102</t>
        </r>
      </text>
    </comment>
    <comment ref="A19" authorId="0" shapeId="0" xr:uid="{C6B14F2B-5C42-4E77-AA86-2CEAEBADE35C}">
      <text>
        <r>
          <rPr>
            <sz val="12"/>
            <color indexed="81"/>
            <rFont val="Times New Roman"/>
            <family val="1"/>
          </rPr>
          <t xml:space="preserve">You can focus holy power into your natural attacks.
</t>
        </r>
        <r>
          <rPr>
            <b/>
            <sz val="12"/>
            <color indexed="81"/>
            <rFont val="Times New Roman"/>
            <family val="1"/>
          </rPr>
          <t xml:space="preserve">Prerequisites: </t>
        </r>
        <r>
          <rPr>
            <sz val="12"/>
            <color indexed="81"/>
            <rFont val="Times New Roman"/>
            <family val="1"/>
          </rPr>
          <t xml:space="preserve">One or more natural weapon attacks, base attack bonus +5.
</t>
        </r>
        <r>
          <rPr>
            <b/>
            <sz val="12"/>
            <color indexed="81"/>
            <rFont val="Times New Roman"/>
            <family val="1"/>
          </rPr>
          <t xml:space="preserve">Benefit: </t>
        </r>
        <r>
          <rPr>
            <sz val="12"/>
            <color indexed="81"/>
            <rFont val="Times New Roman"/>
            <family val="1"/>
          </rPr>
          <t>Each time you deal damage with a natural attack, you deal 1 extra point of damage to evil creatures, or 1d4 points to evil outsiders and evil undead. In addition, your natural attacks are considered good-aligned for purposes of overcoming damage reduction.
PHB 98</t>
        </r>
      </text>
    </comment>
    <comment ref="A20" authorId="0" shapeId="0" xr:uid="{28AC85C2-A044-4E45-9E33-A206CD861CE3}">
      <text>
        <r>
          <rPr>
            <sz val="12"/>
            <color indexed="81"/>
            <rFont val="Times New Roman"/>
            <family val="1"/>
          </rPr>
          <t xml:space="preserve">You can draw weapons with startling speed.
</t>
        </r>
        <r>
          <rPr>
            <b/>
            <sz val="12"/>
            <color indexed="81"/>
            <rFont val="Times New Roman"/>
            <family val="1"/>
          </rPr>
          <t xml:space="preserve">Prerequisite: </t>
        </r>
        <r>
          <rPr>
            <sz val="12"/>
            <color indexed="81"/>
            <rFont val="Times New Roman"/>
            <family val="1"/>
          </rPr>
          <t xml:space="preserve">Base attack bonus +1.
</t>
        </r>
        <r>
          <rPr>
            <b/>
            <sz val="12"/>
            <color indexed="81"/>
            <rFont val="Times New Roman"/>
            <family val="1"/>
          </rPr>
          <t xml:space="preserve">Benefit: </t>
        </r>
        <r>
          <rPr>
            <sz val="12"/>
            <color indexed="81"/>
            <rFont val="Times New Roman"/>
            <family val="1"/>
          </rPr>
          <t xml:space="preserve">You can draw a weapon as a free action instead of as a move action.  You can draw a hidden weapon (see the Sleight of Hand skill, page 81) as a move action.
A character who has selected this feat may throw weapons at his full normal rate of attacks (much like a character with a bow).
</t>
        </r>
        <r>
          <rPr>
            <b/>
            <sz val="12"/>
            <color indexed="81"/>
            <rFont val="Times New Roman"/>
            <family val="1"/>
          </rPr>
          <t xml:space="preserve">Normal: </t>
        </r>
        <r>
          <rPr>
            <sz val="12"/>
            <color indexed="81"/>
            <rFont val="Times New Roman"/>
            <family val="1"/>
          </rPr>
          <t xml:space="preserve">Without this feat, you may draw a weapon as a move action, or (if your base attack bonus is +1 or higher) as a free action as part of movement (see page 142).  Without this feat, you can draw a hidden weapon as a standard action.
</t>
        </r>
        <r>
          <rPr>
            <b/>
            <sz val="12"/>
            <color indexed="81"/>
            <rFont val="Times New Roman"/>
            <family val="1"/>
          </rPr>
          <t>Special:</t>
        </r>
        <r>
          <rPr>
            <sz val="12"/>
            <color indexed="81"/>
            <rFont val="Times New Roman"/>
            <family val="1"/>
          </rPr>
          <t xml:space="preserve"> A fighter may select Quick Draw as one of his fighter bonus feats (see page 38).
PHB 98</t>
        </r>
      </text>
    </comment>
    <comment ref="A21" authorId="0" shapeId="0" xr:uid="{FAD05F38-6221-4992-8F34-597D27E3100D}">
      <text>
        <r>
          <rPr>
            <sz val="12"/>
            <color indexed="81"/>
            <rFont val="Times New Roman"/>
            <family val="1"/>
          </rPr>
          <t xml:space="preserve">You are adept at dodging blows.
</t>
        </r>
        <r>
          <rPr>
            <b/>
            <sz val="12"/>
            <color indexed="81"/>
            <rFont val="Times New Roman"/>
            <family val="1"/>
          </rPr>
          <t xml:space="preserve">Prerequisite:  </t>
        </r>
        <r>
          <rPr>
            <sz val="12"/>
            <color indexed="81"/>
            <rFont val="Times New Roman"/>
            <family val="1"/>
          </rPr>
          <t xml:space="preserve">Dex 13.
</t>
        </r>
        <r>
          <rPr>
            <b/>
            <sz val="12"/>
            <color indexed="81"/>
            <rFont val="Times New Roman"/>
            <family val="1"/>
          </rPr>
          <t xml:space="preserve">Benefit:  </t>
        </r>
        <r>
          <rPr>
            <sz val="12"/>
            <color indexed="81"/>
            <rFont val="Times New Roman"/>
            <family val="1"/>
          </rPr>
          <t>During your action, you designate an opponent and receive a +1 dodge bonus to Armor Class against attacks from that opponent.  You can select a new opponent on any action.
A condition that makes you lose your Dexterity bonus to Armor Class (if any) also makes you lose dodge bonuses. Also, dodge bonuses (such as this one and a dwarf’s racial bonus on dodge attempts against giants) stack with each other, unlike most other types of bonuses.
PHB 93</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3" authorId="0" shapeId="0" xr:uid="{D75807C4-CEBA-424A-9A2C-AAA009BABAF7}">
      <text>
        <r>
          <rPr>
            <sz val="12"/>
            <color indexed="81"/>
            <rFont val="Times New Roman"/>
            <family val="1"/>
          </rPr>
          <t>Inspire Courage +2</t>
        </r>
      </text>
    </comment>
    <comment ref="K3" authorId="0" shapeId="0" xr:uid="{99380EA4-6247-45D4-97F2-75D36AE4D1AC}">
      <text>
        <r>
          <rPr>
            <sz val="12"/>
            <color indexed="81"/>
            <rFont val="Times New Roman"/>
            <family val="1"/>
          </rPr>
          <t xml:space="preserve">You can focus holy power into your natural attacks.
</t>
        </r>
        <r>
          <rPr>
            <b/>
            <sz val="12"/>
            <color indexed="81"/>
            <rFont val="Times New Roman"/>
            <family val="1"/>
          </rPr>
          <t xml:space="preserve">Prerequisites: </t>
        </r>
        <r>
          <rPr>
            <sz val="12"/>
            <color indexed="81"/>
            <rFont val="Times New Roman"/>
            <family val="1"/>
          </rPr>
          <t xml:space="preserve">One or more natural weapon attacks, base attack bonus +5.
</t>
        </r>
        <r>
          <rPr>
            <b/>
            <sz val="12"/>
            <color indexed="81"/>
            <rFont val="Times New Roman"/>
            <family val="1"/>
          </rPr>
          <t xml:space="preserve">Benefit: </t>
        </r>
        <r>
          <rPr>
            <sz val="12"/>
            <color indexed="81"/>
            <rFont val="Times New Roman"/>
            <family val="1"/>
          </rPr>
          <t>Each time you deal damage with a natural attack, you deal 1 extra point of damage to evil creatures, or 1d4 points to evil outsiders and evil undead. In addition, your natural attacks are considered good-aligned for purposes of overcoming damage reduction.
PHB 98</t>
        </r>
      </text>
    </comment>
    <comment ref="D4" authorId="0" shapeId="0" xr:uid="{90DFADD0-5BF8-40B3-88E3-A910AF584D32}">
      <text>
        <r>
          <rPr>
            <sz val="12"/>
            <color indexed="81"/>
            <rFont val="Times New Roman"/>
            <family val="1"/>
          </rPr>
          <t>Inspire Courage +2</t>
        </r>
      </text>
    </comment>
    <comment ref="K4" authorId="0" shapeId="0" xr:uid="{40F94C87-2A0E-45BF-B05B-2519BD248B83}">
      <text>
        <r>
          <rPr>
            <sz val="12"/>
            <color indexed="81"/>
            <rFont val="Times New Roman"/>
            <family val="1"/>
          </rPr>
          <t xml:space="preserve">You can focus holy power into your natural attacks.
</t>
        </r>
        <r>
          <rPr>
            <b/>
            <sz val="12"/>
            <color indexed="81"/>
            <rFont val="Times New Roman"/>
            <family val="1"/>
          </rPr>
          <t xml:space="preserve">Prerequisites: </t>
        </r>
        <r>
          <rPr>
            <sz val="12"/>
            <color indexed="81"/>
            <rFont val="Times New Roman"/>
            <family val="1"/>
          </rPr>
          <t xml:space="preserve">One or more natural weapon attacks, base attack bonus +5.
</t>
        </r>
        <r>
          <rPr>
            <b/>
            <sz val="12"/>
            <color indexed="81"/>
            <rFont val="Times New Roman"/>
            <family val="1"/>
          </rPr>
          <t xml:space="preserve">Benefit: </t>
        </r>
        <r>
          <rPr>
            <sz val="12"/>
            <color indexed="81"/>
            <rFont val="Times New Roman"/>
            <family val="1"/>
          </rPr>
          <t>Each time you deal damage with a natural attack, you deal 1 extra point of damage to evil creatures, or 1d4 points to evil outsiders and evil undead. In addition, your natural attacks are considered good-aligned for purposes of overcoming damage reduction.
PHB 98</t>
        </r>
      </text>
    </comment>
    <comment ref="D5" authorId="0" shapeId="0" xr:uid="{D6413B91-9A00-40F3-B12B-07690A89BB72}">
      <text>
        <r>
          <rPr>
            <sz val="12"/>
            <color indexed="81"/>
            <rFont val="Times New Roman"/>
            <family val="1"/>
          </rPr>
          <t>Inspire Courage +2</t>
        </r>
      </text>
    </comment>
    <comment ref="K5" authorId="0" shapeId="0" xr:uid="{35099455-46D1-457F-89B4-0828BD940D91}">
      <text>
        <r>
          <rPr>
            <sz val="12"/>
            <color indexed="81"/>
            <rFont val="Times New Roman"/>
            <family val="1"/>
          </rPr>
          <t xml:space="preserve">You can focus holy power into your natural attacks.
</t>
        </r>
        <r>
          <rPr>
            <b/>
            <sz val="12"/>
            <color indexed="81"/>
            <rFont val="Times New Roman"/>
            <family val="1"/>
          </rPr>
          <t xml:space="preserve">Prerequisites: </t>
        </r>
        <r>
          <rPr>
            <sz val="12"/>
            <color indexed="81"/>
            <rFont val="Times New Roman"/>
            <family val="1"/>
          </rPr>
          <t xml:space="preserve">One or more natural weapon attacks, base attack bonus +5.
</t>
        </r>
        <r>
          <rPr>
            <b/>
            <sz val="12"/>
            <color indexed="81"/>
            <rFont val="Times New Roman"/>
            <family val="1"/>
          </rPr>
          <t xml:space="preserve">Benefit: </t>
        </r>
        <r>
          <rPr>
            <sz val="12"/>
            <color indexed="81"/>
            <rFont val="Times New Roman"/>
            <family val="1"/>
          </rPr>
          <t>Each time you deal damage with a natural attack, you deal 1 extra point of damage to evil creatures, or 1d4 points to evil outsiders and evil undead. In addition, your natural attacks are considered good-aligned for purposes of overcoming damage reduction.
PHB 98</t>
        </r>
      </text>
    </comment>
    <comment ref="D6" authorId="0" shapeId="0" xr:uid="{BCB7FB16-AA1C-42A7-9783-A1813612EFB0}">
      <text>
        <r>
          <rPr>
            <sz val="12"/>
            <color indexed="81"/>
            <rFont val="Times New Roman"/>
            <family val="1"/>
          </rPr>
          <t>Inspire Courage +2</t>
        </r>
      </text>
    </comment>
    <comment ref="D7" authorId="0" shapeId="0" xr:uid="{18643590-FF36-4E6B-A354-482AC403E96D}">
      <text>
        <r>
          <rPr>
            <sz val="12"/>
            <color indexed="81"/>
            <rFont val="Times New Roman"/>
            <family val="1"/>
          </rPr>
          <t>Inspire Courage +2</t>
        </r>
      </text>
    </comment>
    <comment ref="D8" authorId="0" shapeId="0" xr:uid="{795545F5-840D-4A4C-9273-EC9EBDD0B3BD}">
      <text>
        <r>
          <rPr>
            <sz val="12"/>
            <color indexed="81"/>
            <rFont val="Times New Roman"/>
            <family val="1"/>
          </rPr>
          <t>Inspire Courage +2</t>
        </r>
      </text>
    </comment>
    <comment ref="D9" authorId="0" shapeId="0" xr:uid="{8BE3E342-5223-4A2F-A346-C1EECDFFF4B9}">
      <text>
        <r>
          <rPr>
            <sz val="12"/>
            <color indexed="81"/>
            <rFont val="Times New Roman"/>
            <family val="1"/>
          </rPr>
          <t>Inspire Courage +2</t>
        </r>
      </text>
    </comment>
    <comment ref="D10" authorId="0" shapeId="0" xr:uid="{4693C31F-C7B3-4127-9D77-3A34F2BB3680}">
      <text>
        <r>
          <rPr>
            <sz val="12"/>
            <color indexed="81"/>
            <rFont val="Times New Roman"/>
            <family val="1"/>
          </rPr>
          <t>Inspire Courage +2</t>
        </r>
      </text>
    </comment>
    <comment ref="D11" authorId="0" shapeId="0" xr:uid="{0193B614-EE45-4849-9C0D-5F5B5A641F65}">
      <text>
        <r>
          <rPr>
            <sz val="12"/>
            <color indexed="81"/>
            <rFont val="Times New Roman"/>
            <family val="1"/>
          </rPr>
          <t>Inspire Courage +2</t>
        </r>
      </text>
    </comment>
    <comment ref="D12" authorId="0" shapeId="0" xr:uid="{F8677342-D919-4C0E-B980-4109B506DAFF}">
      <text>
        <r>
          <rPr>
            <sz val="12"/>
            <color indexed="81"/>
            <rFont val="Times New Roman"/>
            <family val="1"/>
          </rPr>
          <t>Inspire Courage +2</t>
        </r>
      </text>
    </comment>
    <comment ref="D13" authorId="0" shapeId="0" xr:uid="{178FC1C9-A5AA-4085-8CD5-27477A9C9631}">
      <text>
        <r>
          <rPr>
            <sz val="12"/>
            <color indexed="81"/>
            <rFont val="Times New Roman"/>
            <family val="1"/>
          </rPr>
          <t>Inspire Courage +2</t>
        </r>
      </text>
    </comment>
    <comment ref="D14" authorId="0" shapeId="0" xr:uid="{E91DB6EF-2C40-4E10-AA73-F5B1E3CF6DBB}">
      <text>
        <r>
          <rPr>
            <sz val="12"/>
            <color indexed="81"/>
            <rFont val="Times New Roman"/>
            <family val="1"/>
          </rPr>
          <t>Inspire Courage +2</t>
        </r>
      </text>
    </comment>
    <comment ref="D15" authorId="0" shapeId="0" xr:uid="{23FED46F-2B3A-4B5F-ACF4-8B203F11B62E}">
      <text>
        <r>
          <rPr>
            <sz val="12"/>
            <color indexed="81"/>
            <rFont val="Times New Roman"/>
            <family val="1"/>
          </rPr>
          <t>Inspire Courage +2</t>
        </r>
      </text>
    </comment>
    <comment ref="D16" authorId="0" shapeId="0" xr:uid="{0DEACBB4-E6B8-4476-B8AD-401CDA1458C9}">
      <text>
        <r>
          <rPr>
            <sz val="12"/>
            <color indexed="81"/>
            <rFont val="Times New Roman"/>
            <family val="1"/>
          </rPr>
          <t>Inspire Courage +2</t>
        </r>
      </text>
    </comment>
    <comment ref="D17" authorId="0" shapeId="0" xr:uid="{CC587806-9442-40BB-B30A-E4F237193B59}">
      <text>
        <r>
          <rPr>
            <sz val="12"/>
            <color indexed="81"/>
            <rFont val="Times New Roman"/>
            <family val="1"/>
          </rPr>
          <t>Inspire Courage +2</t>
        </r>
      </text>
    </comment>
    <comment ref="D18" authorId="0" shapeId="0" xr:uid="{E74D6AA7-7B59-4E15-821A-8C074AD0A1F5}">
      <text>
        <r>
          <rPr>
            <sz val="12"/>
            <color indexed="81"/>
            <rFont val="Times New Roman"/>
            <family val="1"/>
          </rPr>
          <t>Inspire Courage +2</t>
        </r>
      </text>
    </comment>
    <comment ref="D19" authorId="0" shapeId="0" xr:uid="{C13A881B-1760-4BE5-8A6F-643E160581F6}">
      <text>
        <r>
          <rPr>
            <sz val="12"/>
            <color indexed="81"/>
            <rFont val="Times New Roman"/>
            <family val="1"/>
          </rPr>
          <t>Inspire Courage +2</t>
        </r>
      </text>
    </comment>
    <comment ref="D20" authorId="0" shapeId="0" xr:uid="{90E35AF7-16B8-43BB-9BB8-26F737ADF451}">
      <text>
        <r>
          <rPr>
            <sz val="12"/>
            <color indexed="81"/>
            <rFont val="Times New Roman"/>
            <family val="1"/>
          </rPr>
          <t>Inspire Courage +2</t>
        </r>
      </text>
    </comment>
    <comment ref="D21" authorId="0" shapeId="0" xr:uid="{399C9B95-B4A1-457C-B1F2-601AA1CE14D3}">
      <text>
        <r>
          <rPr>
            <sz val="12"/>
            <color indexed="81"/>
            <rFont val="Times New Roman"/>
            <family val="1"/>
          </rPr>
          <t>Inspire Courage +2</t>
        </r>
      </text>
    </comment>
    <comment ref="D22" authorId="0" shapeId="0" xr:uid="{8009AED1-CFDC-4399-821D-A1F9B531B5DE}">
      <text>
        <r>
          <rPr>
            <sz val="12"/>
            <color indexed="81"/>
            <rFont val="Times New Roman"/>
            <family val="1"/>
          </rPr>
          <t>Inspire Courage +2</t>
        </r>
      </text>
    </comment>
    <comment ref="D23" authorId="0" shapeId="0" xr:uid="{39C96975-1FD5-4827-9C63-B2C4E2948FF2}">
      <text>
        <r>
          <rPr>
            <sz val="12"/>
            <color indexed="81"/>
            <rFont val="Times New Roman"/>
            <family val="1"/>
          </rPr>
          <t>Inspire Courage +2</t>
        </r>
      </text>
    </comment>
    <comment ref="D24" authorId="0" shapeId="0" xr:uid="{BF426627-DD8C-4CF6-AD1E-7DC328F5CD04}">
      <text>
        <r>
          <rPr>
            <sz val="12"/>
            <color indexed="81"/>
            <rFont val="Times New Roman"/>
            <family val="1"/>
          </rPr>
          <t>Inspire Courage +2</t>
        </r>
      </text>
    </comment>
    <comment ref="D25" authorId="0" shapeId="0" xr:uid="{7987811F-99C3-4279-B663-9B0538244EF2}">
      <text>
        <r>
          <rPr>
            <sz val="12"/>
            <color indexed="81"/>
            <rFont val="Times New Roman"/>
            <family val="1"/>
          </rPr>
          <t>Inspire Courage +2</t>
        </r>
      </text>
    </comment>
    <comment ref="D26" authorId="0" shapeId="0" xr:uid="{02881516-6F34-4FCB-8479-0042147AB4F6}">
      <text>
        <r>
          <rPr>
            <sz val="12"/>
            <color indexed="81"/>
            <rFont val="Times New Roman"/>
            <family val="1"/>
          </rPr>
          <t>Inspire Courage +2</t>
        </r>
      </text>
    </comment>
    <comment ref="D29" authorId="0" shapeId="0" xr:uid="{D25BFE17-0B1C-4569-A525-CC0F4901A8C6}">
      <text>
        <r>
          <rPr>
            <sz val="12"/>
            <color indexed="81"/>
            <rFont val="Times New Roman"/>
            <family val="1"/>
          </rPr>
          <t>Weapon +1
Inspire Courage +2</t>
        </r>
      </text>
    </comment>
    <comment ref="D31" authorId="0" shapeId="0" xr:uid="{2BF75A45-7F95-4330-9031-257BCCDDDD61}">
      <text>
        <r>
          <rPr>
            <sz val="12"/>
            <color indexed="81"/>
            <rFont val="Times New Roman"/>
            <family val="1"/>
          </rPr>
          <t>Inspire Courage +2</t>
        </r>
      </text>
    </comment>
    <comment ref="D32" authorId="0" shapeId="0" xr:uid="{A840B23A-491B-4A02-8A2C-3D24481FF246}">
      <text>
        <r>
          <rPr>
            <sz val="12"/>
            <color indexed="81"/>
            <rFont val="Times New Roman"/>
            <family val="1"/>
          </rPr>
          <t>Masterwork +1
Inspire Courage +2</t>
        </r>
      </text>
    </comment>
    <comment ref="D33" authorId="0" shapeId="0" xr:uid="{F8E435ED-6590-436C-8935-DC8E00CB6EED}">
      <text>
        <r>
          <rPr>
            <sz val="12"/>
            <color indexed="81"/>
            <rFont val="Times New Roman"/>
            <family val="1"/>
          </rPr>
          <t>Inspire Courage +2</t>
        </r>
      </text>
    </comment>
    <comment ref="D34" authorId="0" shapeId="0" xr:uid="{D7060A9C-888E-4572-B044-EC03B5C1E943}">
      <text>
        <r>
          <rPr>
            <sz val="12"/>
            <color indexed="81"/>
            <rFont val="Times New Roman"/>
            <family val="1"/>
          </rPr>
          <t>Inspire Courage +2</t>
        </r>
      </text>
    </comment>
    <comment ref="D36" authorId="0" shapeId="0" xr:uid="{00000000-0006-0000-0500-00000A000000}">
      <text>
        <r>
          <rPr>
            <sz val="12"/>
            <color indexed="81"/>
            <rFont val="Times New Roman"/>
            <family val="1"/>
          </rPr>
          <t>Balance, Climb, Escape Artist, Hide, Jump, Move Silently, Sleight of Hand, Tumble.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14" authorId="0" shapeId="0" xr:uid="{55A9CD9C-B3DE-4AA4-AA78-F06733638C67}">
      <text>
        <r>
          <rPr>
            <sz val="12"/>
            <color indexed="81"/>
            <rFont val="Times New Roman"/>
            <family val="1"/>
          </rPr>
          <t>This appears to be a typical arrow container capable of holding about twenty arrows.  It has three distinct portions, each with a nondimensional space allowing it to store far more than would normally be possible.  The first and smallest one can contain up to sixty objects of the same general size and shape as an arrow.  The second slightly longer compartment holds up to eighteen objects of the same general size and shape as a javelin.  The third and longest portion of the case contains as many as six objects of the same general size and shape as a bow (spears, staffs, or the like).  Once the owner has filled it, the quiver can produce any item she wishes, as if from a regular quiver or scabbard.  The quiver of Ehlonna weighs the same no matter what’s placed inside it.
DMG 265</t>
        </r>
      </text>
    </comment>
    <comment ref="A15" authorId="0" shapeId="0" xr:uid="{BFEBF03B-5812-42CB-A476-5F7E41F8231D}">
      <text>
        <r>
          <rPr>
            <sz val="12"/>
            <color indexed="81"/>
            <rFont val="Times New Roman"/>
            <family val="1"/>
          </rPr>
          <t>A backpack of this sort appears to be well made, well used, and quite ordinary.  It is constructed of finely tanned leather, and the straps have brass hardware and buckles.  It has two side pouches, each of which appears large enough to hold about a quart of material.  In fact, each is like a bag of holding and can actually hold material of as much as 2 cubic feet in volume or 20 pounds in weight. The large central portion of the pack can contain up to 8 cubic feet or 80 pounds of material.  Even when so filled, the backpack always weighs only 5 pounds.
While such storage is useful enough, the pack has an even greater power in addition. When the wearer reaches into it for a specific item, that item is always on top.  Thus, no digging around and fumbling is ever necessary to find what a haversack contains.  Retrieving any specific item from a haversack is a move action, but it does not provoke the attacks of opportunity that retrieving a stored item usually does.
DMG 259</t>
        </r>
      </text>
    </comment>
    <comment ref="A36" authorId="0" shapeId="0" xr:uid="{2743FB77-CFA4-4FD2-B38B-E91C0F3C79D8}">
      <text>
        <r>
          <rPr>
            <sz val="12"/>
            <color indexed="81"/>
            <rFont val="Times New Roman"/>
            <family val="1"/>
          </rPr>
          <t>A folding boat looks like a small wooden box—about 12 inches long, 6 inches wide, and 6 inches deep.  It can be used to store items like any other box.  If a command word is given, however, the box unfolds itself to form a boat 10 feet long, 4 feet wide, and 2 feet in depth.  A second command word causes it to unfold to a ship 24 feet long, 8 feet wide, and 6 feet deep.  Any objects formerly stored in the box now rest inside the boat or ship.
In its smaller form, the boat has one pair of oars, an anchor, a mast, and a lateen sail.  In its larger form, the boat has a deck, single rowing seats, five sets of oars, a steering oar, an anchor, a deck cabin, and a mast with a square sail.  The boat can hold four people comfortably, while the ship carries fifteen with ease.
A third word of command causes the boat or ship to fold itself into a box once again.  The words of command may be inscribed visibly or invisibly on the box, or they may be written elsewhere— perhaps on an item within the box.
Faint transmutation; CL 6th; Craft Wondrous Item, fabricate, creator must have 2 ranks in the Craft (shipmaking) skill; Price 7,200 gp; Weight 4 lb.
DMG 249</t>
        </r>
      </text>
    </comment>
  </commentList>
</comments>
</file>

<file path=xl/sharedStrings.xml><?xml version="1.0" encoding="utf-8"?>
<sst xmlns="http://schemas.openxmlformats.org/spreadsheetml/2006/main" count="544" uniqueCount="277">
  <si>
    <t>Level</t>
  </si>
  <si>
    <t>Properties</t>
  </si>
  <si>
    <t>Melee Weapon</t>
  </si>
  <si>
    <t>Qty.</t>
  </si>
  <si>
    <t>Ranged Weapon</t>
  </si>
  <si>
    <t>Rng.</t>
  </si>
  <si>
    <t>Skills</t>
  </si>
  <si>
    <t>Concentration</t>
  </si>
  <si>
    <t>AC Mod.</t>
  </si>
  <si>
    <t>Handle Animal</t>
  </si>
  <si>
    <t>Move Silently</t>
  </si>
  <si>
    <t>Ride</t>
  </si>
  <si>
    <t>Search</t>
  </si>
  <si>
    <t>Swim</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</si>
  <si>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</si>
  <si>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</si>
  <si>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</si>
  <si>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</si>
  <si>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</si>
  <si>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</si>
  <si>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</si>
  <si>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</si>
  <si>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</si>
  <si>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</si>
  <si>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</si>
  <si>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</si>
  <si>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</si>
  <si>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</si>
  <si>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</si>
  <si>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</si>
  <si>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</si>
  <si>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</si>
  <si>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</si>
  <si>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</si>
  <si>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</si>
  <si>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</si>
  <si>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</si>
  <si>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</si>
  <si>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</si>
  <si>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</si>
  <si>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</si>
  <si>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</si>
  <si>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</si>
  <si>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</si>
  <si>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</si>
  <si>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</si>
  <si>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</si>
  <si>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</si>
  <si>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</si>
  <si>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</si>
  <si>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</si>
  <si>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</si>
  <si>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</si>
  <si>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</si>
  <si>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</si>
  <si>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Fortitude</t>
  </si>
  <si>
    <t>Reflex</t>
  </si>
  <si>
    <t>Will</t>
  </si>
  <si>
    <t>Armor &amp; Shield</t>
  </si>
  <si>
    <t>Missiles</t>
  </si>
  <si>
    <t>Spell</t>
  </si>
  <si>
    <t>Languages</t>
  </si>
  <si>
    <t>Equipment Worn</t>
  </si>
  <si>
    <t>Item</t>
  </si>
  <si>
    <t>Effects/</t>
  </si>
  <si>
    <t>Notes</t>
  </si>
  <si>
    <t>Equipment Carried</t>
  </si>
  <si>
    <t>Check</t>
  </si>
  <si>
    <t>Arcane</t>
  </si>
  <si>
    <t>Speed</t>
  </si>
  <si>
    <t>Perform:  (type)</t>
  </si>
  <si>
    <t>Sleight of Hand</t>
  </si>
  <si>
    <t>Survival</t>
  </si>
  <si>
    <t>Atk</t>
  </si>
  <si>
    <t>Roll</t>
  </si>
  <si>
    <t>Simple and Martial Weapons</t>
  </si>
  <si>
    <t>Scrolls and Potions</t>
  </si>
  <si>
    <t>CLev</t>
  </si>
  <si>
    <t>Value</t>
  </si>
  <si>
    <t>Male</t>
  </si>
  <si>
    <t>30’</t>
  </si>
  <si>
    <t>Piercing</t>
  </si>
  <si>
    <t>Total Equity:</t>
  </si>
  <si>
    <t>-</t>
  </si>
  <si>
    <t>Skill/Save</t>
  </si>
  <si>
    <t>Weapons and Armor</t>
  </si>
  <si>
    <t>Weapon Proficiency</t>
  </si>
  <si>
    <t>Bazazath</t>
  </si>
  <si>
    <t>“Barkley” Anath</t>
  </si>
  <si>
    <t>Played by Edward Kilcullen</t>
  </si>
  <si>
    <t>Hound Archon</t>
  </si>
  <si>
    <t>6’ 2”</t>
  </si>
  <si>
    <t>Flint &amp; Steel</t>
  </si>
  <si>
    <t>Healer’s Kit</t>
  </si>
  <si>
    <t>Climber’s Kit</t>
  </si>
  <si>
    <t>Rations</t>
  </si>
  <si>
    <t>Waterskin</t>
  </si>
  <si>
    <t>Dmg</t>
  </si>
  <si>
    <t>Hound Archon 1</t>
  </si>
  <si>
    <t>Bite</t>
  </si>
  <si>
    <t>20</t>
  </si>
  <si>
    <t>Archon Features</t>
  </si>
  <si>
    <r>
      <t>58</t>
    </r>
    <r>
      <rPr>
        <sz val="13"/>
        <rFont val="Times New Roman"/>
        <family val="1"/>
      </rPr>
      <t>/</t>
    </r>
    <r>
      <rPr>
        <sz val="13"/>
        <color indexed="51"/>
        <rFont val="Times New Roman"/>
        <family val="1"/>
      </rPr>
      <t>116</t>
    </r>
    <r>
      <rPr>
        <sz val="13"/>
        <rFont val="Times New Roman"/>
        <family val="1"/>
      </rPr>
      <t>/</t>
    </r>
    <r>
      <rPr>
        <sz val="13"/>
        <color indexed="10"/>
        <rFont val="Times New Roman"/>
        <family val="1"/>
      </rPr>
      <t>175</t>
    </r>
  </si>
  <si>
    <t>40’ / 60’</t>
  </si>
  <si>
    <t>215 lbs.</t>
  </si>
  <si>
    <t>Craft:  Leatherworking</t>
  </si>
  <si>
    <t>Knowledge:  Arcana</t>
  </si>
  <si>
    <t>Profession:  Brewer</t>
  </si>
  <si>
    <t>Dagger 1</t>
  </si>
  <si>
    <t>Dagger 2</t>
  </si>
  <si>
    <t>19-20/x2</t>
  </si>
  <si>
    <t>Slashing</t>
  </si>
  <si>
    <t>Slsh/Prc</t>
  </si>
  <si>
    <t>1d4</t>
  </si>
  <si>
    <t>Tindertwig</t>
  </si>
  <si>
    <t>Celestia</t>
  </si>
  <si>
    <t>Race</t>
  </si>
  <si>
    <t>Subtype</t>
  </si>
  <si>
    <t>Class</t>
  </si>
  <si>
    <t>Region</t>
  </si>
  <si>
    <t>Height</t>
  </si>
  <si>
    <t>Sex</t>
  </si>
  <si>
    <t>Weight</t>
  </si>
  <si>
    <t>Age</t>
  </si>
  <si>
    <t>Alignment</t>
  </si>
  <si>
    <t>Deity</t>
  </si>
  <si>
    <t>Attack Bonus</t>
  </si>
  <si>
    <t>Initiative</t>
  </si>
  <si>
    <t>XP</t>
  </si>
  <si>
    <t>Strength</t>
  </si>
  <si>
    <t>Lb. Capacity</t>
  </si>
  <si>
    <t>Dexterity</t>
  </si>
  <si>
    <t>Lb. Carried</t>
  </si>
  <si>
    <t>Constitution</t>
  </si>
  <si>
    <t>Hit Points</t>
  </si>
  <si>
    <t>Intelligence</t>
  </si>
  <si>
    <t>Touch AC</t>
  </si>
  <si>
    <t>Wisdom</t>
  </si>
  <si>
    <t>FF AC</t>
  </si>
  <si>
    <t>Charisma</t>
  </si>
  <si>
    <t>AC</t>
  </si>
  <si>
    <t>Character:</t>
  </si>
  <si>
    <t>%</t>
  </si>
  <si>
    <t>Excellent</t>
  </si>
  <si>
    <t>Missed Posts</t>
  </si>
  <si>
    <t>Maximum award for this segment</t>
  </si>
  <si>
    <t xml:space="preserve"> Character award for this segment</t>
  </si>
  <si>
    <t>Extra XPs</t>
  </si>
  <si>
    <t>Previous XP Balance</t>
  </si>
  <si>
    <t>Current XP Balance</t>
  </si>
  <si>
    <t>Good</t>
  </si>
  <si>
    <t>Thoroughness and clarity</t>
  </si>
  <si>
    <t>Consistency with other characters’ actions and setting description</t>
  </si>
  <si>
    <t>Convincing role-playing and character development</t>
  </si>
  <si>
    <t>Level-appropriate use of skills, feats, limitations, and other features</t>
  </si>
  <si>
    <t>Hound Archon 2</t>
  </si>
  <si>
    <t>Hound Archon 3</t>
  </si>
  <si>
    <t>Slam 1</t>
  </si>
  <si>
    <t>Slam 2</t>
  </si>
  <si>
    <t>Bludgeon</t>
  </si>
  <si>
    <t>Natural Armor</t>
  </si>
  <si>
    <t>DC</t>
  </si>
  <si>
    <t>Message</t>
  </si>
  <si>
    <t>Aid</t>
  </si>
  <si>
    <t>Continual Flame</t>
  </si>
  <si>
    <t>Detect Evil</t>
  </si>
  <si>
    <t>Heward’s Handy Haversack</t>
  </si>
  <si>
    <t>Celestial, Infernal, Draconic</t>
  </si>
  <si>
    <t>Iron Rations</t>
  </si>
  <si>
    <t>Silk Rope, 50’</t>
  </si>
  <si>
    <t>Spare Clothing</t>
  </si>
  <si>
    <t>Soft Equity Ceiling:</t>
  </si>
  <si>
    <t>Hound Archon 4</t>
  </si>
  <si>
    <t>Hound Archon 5</t>
  </si>
  <si>
    <t>DR 5/+1</t>
  </si>
  <si>
    <t>Hound Archon 6</t>
  </si>
  <si>
    <t>Knowledge:  Religion</t>
  </si>
  <si>
    <t>Profession:  Winemaker</t>
  </si>
  <si>
    <t>Profession:  Distiller</t>
  </si>
  <si>
    <t>Leatherworking Kit</t>
  </si>
  <si>
    <t>Platinum Tankard</t>
  </si>
  <si>
    <t>50 pages</t>
  </si>
  <si>
    <t>Brewer’s Book</t>
  </si>
  <si>
    <t>Distiller’s Book</t>
  </si>
  <si>
    <t>Winepresser’s Book</t>
  </si>
  <si>
    <t>Ring of Protection +1</t>
  </si>
  <si>
    <t>Sack</t>
  </si>
  <si>
    <t>CL:</t>
  </si>
  <si>
    <t>1d8</t>
  </si>
  <si>
    <t>Scent 30’</t>
  </si>
  <si>
    <t>6-pack Holder</t>
  </si>
  <si>
    <t>Custom-made</t>
  </si>
  <si>
    <t>Platinum Corked Bottles</t>
  </si>
  <si>
    <t>x3</t>
  </si>
  <si>
    <t>110’</t>
  </si>
  <si>
    <t>Speak Language:  [language]</t>
  </si>
  <si>
    <t>Arrows</t>
  </si>
  <si>
    <t>+0</t>
  </si>
  <si>
    <t>Thrown Item</t>
  </si>
  <si>
    <t>varies</t>
  </si>
  <si>
    <t>10’</t>
  </si>
  <si>
    <t>2nd Thrown Item</t>
  </si>
  <si>
    <t xml:space="preserve">Tongues, Common, </t>
  </si>
  <si>
    <t>Gold Coins</t>
  </si>
  <si>
    <t>Platinum Coins</t>
  </si>
  <si>
    <t>Sturdy Bowl</t>
  </si>
  <si>
    <t>MW Candles</t>
  </si>
  <si>
    <t>Belt with Pouches</t>
  </si>
  <si>
    <t>Feats</t>
  </si>
  <si>
    <t>Attention to spelling &amp; punctuation; consistent use of past tense, third person</t>
  </si>
  <si>
    <t>At-Will Abilities</t>
  </si>
  <si>
    <t>Touch/Grapple</t>
  </si>
  <si>
    <t>Arrows, Silver</t>
  </si>
  <si>
    <t>Hand Axe</t>
  </si>
  <si>
    <t>Hand Axe, Silver</t>
  </si>
  <si>
    <t>1d6</t>
  </si>
  <si>
    <t>Wish List:</t>
  </si>
  <si>
    <t>HD</t>
  </si>
  <si>
    <t>Hound Archon 7</t>
  </si>
  <si>
    <t>Electricity Resistance 15</t>
  </si>
  <si>
    <t>1st:  Two-Weapon Fighting</t>
  </si>
  <si>
    <t>3rd:  Quick Draw</t>
  </si>
  <si>
    <t>Tabard</t>
  </si>
  <si>
    <t>one</t>
  </si>
  <si>
    <t>Composite +2 Longbow +1</t>
  </si>
  <si>
    <t>CROSS-CLASS SKILL</t>
  </si>
  <si>
    <t>Cloak of Resistance +1</t>
  </si>
  <si>
    <t>Mithral Chain Shirt +1</t>
  </si>
  <si>
    <t>Longsword +1</t>
  </si>
  <si>
    <t>+4 vs. Poison</t>
  </si>
  <si>
    <t>Ranger</t>
  </si>
  <si>
    <t>MW Short Sword</t>
  </si>
  <si>
    <r>
      <t xml:space="preserve">+1 </t>
    </r>
    <r>
      <rPr>
        <i/>
        <sz val="13"/>
        <rFont val="Times New Roman"/>
        <family val="1"/>
      </rPr>
      <t>haste</t>
    </r>
  </si>
  <si>
    <t>Poor</t>
  </si>
  <si>
    <t>Ranger Features</t>
  </si>
  <si>
    <t>Track</t>
  </si>
  <si>
    <t>Wild Empathy</t>
  </si>
  <si>
    <t>Ranger 1</t>
  </si>
  <si>
    <t>Knowledge:  Nature</t>
  </si>
  <si>
    <t>Light Armor and Shields</t>
  </si>
  <si>
    <t>Favored Enemy:  Undead</t>
  </si>
  <si>
    <t>Holy Symbol of Cayden Cailean</t>
  </si>
  <si>
    <t>Filled with dragon’s breath bourbon</t>
  </si>
  <si>
    <t>Folding Boat/Ship</t>
  </si>
  <si>
    <t>Scarab Motif</t>
  </si>
  <si>
    <t>Cayden C</t>
  </si>
  <si>
    <t>6th:  Dodge</t>
  </si>
  <si>
    <t>Quiver of Ehlonna</t>
  </si>
  <si>
    <t>Longspear +1</t>
  </si>
  <si>
    <t>In Quiver</t>
  </si>
  <si>
    <t>nine</t>
  </si>
  <si>
    <t>2 ea.</t>
  </si>
  <si>
    <t>6 ea.</t>
  </si>
  <si>
    <t>Longsword, 2nd Attack</t>
  </si>
  <si>
    <t>Longspear, 2nd Attack</t>
  </si>
  <si>
    <t>Spear, 2nd Attack</t>
  </si>
  <si>
    <t>Short Sword, 2nd Attack</t>
  </si>
  <si>
    <t>Dagger, 2nd Attack</t>
  </si>
  <si>
    <t>Hand Axe, 2nd Attack</t>
  </si>
  <si>
    <t>three</t>
  </si>
  <si>
    <t>Javelins, 12</t>
  </si>
  <si>
    <t>MW Javelins, 4</t>
  </si>
  <si>
    <t>Spears, 3</t>
  </si>
  <si>
    <t>Mess Kit</t>
  </si>
  <si>
    <t>% Full:</t>
  </si>
  <si>
    <t>qvr.</t>
  </si>
  <si>
    <t>Regional:  Sanctify Natural Attack</t>
  </si>
  <si>
    <t>Sanctify Natural Attack</t>
  </si>
  <si>
    <t>Longbow, 2nd Shot</t>
  </si>
  <si>
    <t>Returning Dagger +1</t>
  </si>
  <si>
    <t>19-20, x2</t>
  </si>
  <si>
    <t>Prcg/Slsh</t>
  </si>
  <si>
    <t>Battle Axe +1</t>
  </si>
  <si>
    <t>Battle Axe, 2nd Swing</t>
  </si>
  <si>
    <t>Antitoxin</t>
  </si>
  <si>
    <t>Neutral Good</t>
  </si>
  <si>
    <t>-4 Negative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</si>
</sst>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474]"/>
  </numFmts>
  <fonts count="56" x14ac:knownFonts="1">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81"/>
      <name val="Times New Roman"/>
      <family val="1"/>
    </font>
    <font>
      <i/>
      <sz val="12"/>
      <color indexed="52"/>
      <name val="Times New Roman"/>
      <family val="1"/>
    </font>
    <font>
      <b/>
      <sz val="13"/>
      <color rgb="FF00CC00"/>
      <name val="Times New Roman"/>
      <family val="1"/>
    </font>
    <font>
      <b/>
      <sz val="13"/>
      <color rgb="FFFF0000"/>
      <name val="Times New Roman"/>
      <family val="1"/>
    </font>
    <font>
      <b/>
      <sz val="13"/>
      <color rgb="FF0000FF"/>
      <name val="Times New Roman"/>
      <family val="1"/>
    </font>
    <font>
      <sz val="13"/>
      <color rgb="FFFFC000"/>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sz val="12"/>
      <name val="Times New Roman"/>
      <family val="1"/>
      <charset val="1"/>
    </font>
    <font>
      <sz val="10"/>
      <name val="Arial"/>
      <family val="2"/>
    </font>
    <font>
      <b/>
      <sz val="12"/>
      <color indexed="81"/>
      <name val="Times New Roman"/>
      <family val="1"/>
    </font>
    <font>
      <i/>
      <sz val="16"/>
      <color indexed="21"/>
      <name val="Times New Roman"/>
      <family val="1"/>
    </font>
    <font>
      <i/>
      <sz val="16"/>
      <color indexed="53"/>
      <name val="Times New Roman"/>
      <family val="1"/>
    </font>
    <font>
      <i/>
      <sz val="16"/>
      <color indexed="10"/>
      <name val="Times New Roman"/>
      <family val="1"/>
    </font>
    <font>
      <i/>
      <sz val="22"/>
      <color rgb="FFFF0000"/>
      <name val="Times New Roman"/>
      <family val="1"/>
    </font>
    <font>
      <i/>
      <sz val="16"/>
      <color indexed="12"/>
      <name val="Times New Roman"/>
      <family val="1"/>
    </font>
    <font>
      <sz val="12"/>
      <color theme="1"/>
      <name val="Wingdings"/>
      <charset val="2"/>
    </font>
    <font>
      <i/>
      <sz val="13"/>
      <name val="Times New Roman"/>
      <family val="1"/>
    </font>
    <font>
      <i/>
      <sz val="16"/>
      <color rgb="FF00B050"/>
      <name val="Times New Roman"/>
      <family val="1"/>
    </font>
    <font>
      <b/>
      <sz val="13"/>
      <color rgb="FF00B0F0"/>
      <name val="Times New Roman"/>
      <family val="1"/>
    </font>
  </fonts>
  <fills count="18">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11"/>
        <bgColor indexed="64"/>
      </patternFill>
    </fill>
    <fill>
      <patternFill patternType="solid">
        <fgColor indexed="12"/>
        <bgColor indexed="64"/>
      </patternFill>
    </fill>
    <fill>
      <patternFill patternType="solid">
        <fgColor rgb="FF7030A0"/>
        <bgColor indexed="64"/>
      </patternFill>
    </fill>
    <fill>
      <patternFill patternType="solid">
        <fgColor theme="0" tint="-0.249977111117893"/>
        <bgColor indexed="64"/>
      </patternFill>
    </fill>
    <fill>
      <patternFill patternType="solid">
        <fgColor rgb="FFFF0000"/>
        <bgColor indexed="64"/>
      </patternFill>
    </fill>
    <fill>
      <patternFill patternType="solid">
        <fgColor rgb="FFCCFFCC"/>
        <bgColor indexed="64"/>
      </patternFill>
    </fill>
    <fill>
      <patternFill patternType="solid">
        <fgColor theme="0"/>
        <bgColor indexed="64"/>
      </patternFill>
    </fill>
    <fill>
      <patternFill patternType="solid">
        <fgColor rgb="FFFFFF00"/>
        <bgColor indexed="64"/>
      </patternFill>
    </fill>
    <fill>
      <patternFill patternType="solid">
        <fgColor rgb="FFCC99FF"/>
        <bgColor indexed="64"/>
      </patternFill>
    </fill>
    <fill>
      <patternFill patternType="solid">
        <fgColor rgb="FF33CC33"/>
        <bgColor indexed="64"/>
      </patternFill>
    </fill>
  </fills>
  <borders count="125">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dotted">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double">
        <color indexed="64"/>
      </right>
      <top style="hair">
        <color indexed="64"/>
      </top>
      <bottom style="double">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medium">
        <color indexed="64"/>
      </left>
      <right style="thin">
        <color indexed="64"/>
      </right>
      <top/>
      <bottom style="thin">
        <color indexed="9"/>
      </bottom>
      <diagonal/>
    </border>
    <border>
      <left/>
      <right/>
      <top style="double">
        <color indexed="64"/>
      </top>
      <bottom style="thick">
        <color indexed="61"/>
      </bottom>
      <diagonal/>
    </border>
    <border>
      <left/>
      <right style="double">
        <color indexed="64"/>
      </right>
      <top style="double">
        <color indexed="64"/>
      </top>
      <bottom style="thick">
        <color indexed="61"/>
      </bottom>
      <diagonal/>
    </border>
    <border>
      <left style="double">
        <color indexed="64"/>
      </left>
      <right/>
      <top style="double">
        <color indexed="64"/>
      </top>
      <bottom style="thick">
        <color indexed="61"/>
      </bottom>
      <diagonal/>
    </border>
    <border>
      <left/>
      <right style="double">
        <color indexed="64"/>
      </right>
      <top style="medium">
        <color indexed="64"/>
      </top>
      <bottom style="medium">
        <color indexed="64"/>
      </bottom>
      <diagonal/>
    </border>
    <border>
      <left style="thin">
        <color auto="1"/>
      </left>
      <right style="double">
        <color auto="1"/>
      </right>
      <top style="double">
        <color auto="1"/>
      </top>
      <bottom style="thin">
        <color auto="1"/>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hair">
        <color indexed="64"/>
      </left>
      <right style="hair">
        <color indexed="64"/>
      </right>
      <top style="hair">
        <color indexed="64"/>
      </top>
      <bottom/>
      <diagonal/>
    </border>
    <border>
      <left style="medium">
        <color auto="1"/>
      </left>
      <right style="thin">
        <color indexed="64"/>
      </right>
      <top style="double">
        <color auto="1"/>
      </top>
      <bottom style="thin">
        <color auto="1"/>
      </bottom>
      <diagonal/>
    </border>
    <border>
      <left style="thin">
        <color indexed="64"/>
      </left>
      <right style="thin">
        <color indexed="64"/>
      </right>
      <top style="double">
        <color indexed="64"/>
      </top>
      <bottom style="medium">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double">
        <color indexed="64"/>
      </right>
      <top style="medium">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right style="hair">
        <color indexed="64"/>
      </right>
      <top style="hair">
        <color indexed="64"/>
      </top>
      <bottom style="double">
        <color indexed="64"/>
      </bottom>
      <diagonal/>
    </border>
    <border>
      <left style="thin">
        <color auto="1"/>
      </left>
      <right style="medium">
        <color auto="1"/>
      </right>
      <top style="double">
        <color auto="1"/>
      </top>
      <bottom style="thin">
        <color auto="1"/>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style="hair">
        <color indexed="64"/>
      </right>
      <top style="hair">
        <color indexed="64"/>
      </top>
      <bottom/>
      <diagonal/>
    </border>
    <border>
      <left style="double">
        <color indexed="64"/>
      </left>
      <right style="double">
        <color indexed="64"/>
      </right>
      <top/>
      <bottom style="hair">
        <color indexed="64"/>
      </bottom>
      <diagonal/>
    </border>
    <border>
      <left style="double">
        <color indexed="64"/>
      </left>
      <right style="double">
        <color indexed="64"/>
      </right>
      <top/>
      <bottom/>
      <diagonal/>
    </border>
    <border>
      <left style="double">
        <color indexed="64"/>
      </left>
      <right/>
      <top/>
      <bottom style="hair">
        <color indexed="64"/>
      </bottom>
      <diagonal/>
    </border>
    <border>
      <left/>
      <right/>
      <top/>
      <bottom style="hair">
        <color indexed="64"/>
      </bottom>
      <diagonal/>
    </border>
    <border>
      <left style="double">
        <color indexed="64"/>
      </left>
      <right style="thin">
        <color indexed="64"/>
      </right>
      <top style="thin">
        <color indexed="64"/>
      </top>
      <bottom style="double">
        <color indexed="64"/>
      </bottom>
      <diagonal/>
    </border>
    <border>
      <left/>
      <right style="medium">
        <color auto="1"/>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bottom style="double">
        <color indexed="64"/>
      </bottom>
      <diagonal/>
    </border>
    <border>
      <left/>
      <right style="hair">
        <color indexed="64"/>
      </right>
      <top style="hair">
        <color indexed="64"/>
      </top>
      <bottom/>
      <diagonal/>
    </border>
    <border>
      <left/>
      <right style="double">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double">
        <color indexed="64"/>
      </left>
      <right style="thin">
        <color indexed="64"/>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style="hair">
        <color indexed="64"/>
      </left>
      <right style="double">
        <color indexed="64"/>
      </right>
      <top style="medium">
        <color indexed="64"/>
      </top>
      <bottom style="hair">
        <color indexed="64"/>
      </bottom>
      <diagonal/>
    </border>
    <border>
      <left style="medium">
        <color indexed="64"/>
      </left>
      <right style="double">
        <color indexed="64"/>
      </right>
      <top style="double">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double">
        <color indexed="64"/>
      </right>
      <top style="hair">
        <color indexed="64"/>
      </top>
      <bottom style="thin">
        <color indexed="64"/>
      </bottom>
      <diagonal/>
    </border>
    <border>
      <left style="double">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double">
        <color indexed="64"/>
      </left>
      <right/>
      <top style="hair">
        <color indexed="64"/>
      </top>
      <bottom/>
      <diagonal/>
    </border>
  </borders>
  <cellStyleXfs count="11">
    <xf numFmtId="0" fontId="0" fillId="0" borderId="0"/>
    <xf numFmtId="0" fontId="32" fillId="0" borderId="0" applyNumberFormat="0" applyFill="0" applyBorder="0" applyAlignment="0" applyProtection="0">
      <alignment vertical="top"/>
      <protection locked="0"/>
    </xf>
    <xf numFmtId="9" fontId="2" fillId="0" borderId="0" applyFont="0" applyFill="0" applyBorder="0" applyAlignment="0" applyProtection="0"/>
    <xf numFmtId="0" fontId="2" fillId="0" borderId="0"/>
    <xf numFmtId="0" fontId="44" fillId="0" borderId="0"/>
    <xf numFmtId="0" fontId="45"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cellStyleXfs>
  <cellXfs count="454">
    <xf numFmtId="0" fontId="0" fillId="0" borderId="0" xfId="0"/>
    <xf numFmtId="0" fontId="5" fillId="0" borderId="0" xfId="0" applyFont="1" applyBorder="1" applyAlignment="1"/>
    <xf numFmtId="0" fontId="4" fillId="0" borderId="0" xfId="0" applyFont="1" applyBorder="1" applyAlignment="1">
      <alignment horizontal="right"/>
    </xf>
    <xf numFmtId="0" fontId="5" fillId="0" borderId="0" xfId="0" applyFont="1" applyBorder="1" applyAlignment="1">
      <alignment horizontal="left"/>
    </xf>
    <xf numFmtId="0" fontId="18" fillId="0" borderId="0" xfId="0" applyFont="1" applyBorder="1" applyAlignment="1"/>
    <xf numFmtId="0" fontId="28" fillId="0" borderId="0" xfId="0" applyFont="1" applyBorder="1" applyAlignment="1"/>
    <xf numFmtId="0" fontId="29" fillId="0" borderId="0" xfId="0" applyFont="1" applyBorder="1" applyAlignment="1"/>
    <xf numFmtId="0" fontId="30" fillId="0" borderId="0" xfId="0" applyFont="1" applyBorder="1" applyAlignment="1"/>
    <xf numFmtId="0" fontId="31" fillId="0" borderId="0" xfId="0" applyFont="1" applyBorder="1" applyAlignment="1"/>
    <xf numFmtId="0" fontId="5" fillId="0" borderId="0" xfId="0" applyNumberFormat="1" applyFont="1" applyBorder="1" applyAlignment="1">
      <alignment horizontal="left"/>
    </xf>
    <xf numFmtId="0" fontId="11" fillId="3" borderId="18" xfId="0" applyFont="1" applyFill="1" applyBorder="1" applyAlignment="1">
      <alignment horizontal="center" vertical="center" wrapText="1"/>
    </xf>
    <xf numFmtId="0" fontId="2" fillId="0" borderId="36" xfId="0" applyFont="1" applyFill="1" applyBorder="1" applyAlignment="1">
      <alignment horizontal="center" vertical="center"/>
    </xf>
    <xf numFmtId="0" fontId="3" fillId="0" borderId="0" xfId="0" applyFont="1" applyBorder="1" applyAlignment="1">
      <alignment horizontal="centerContinuous" vertical="center"/>
    </xf>
    <xf numFmtId="0" fontId="5" fillId="0" borderId="0" xfId="0" applyFont="1" applyBorder="1" applyAlignment="1">
      <alignment vertical="center"/>
    </xf>
    <xf numFmtId="0" fontId="20" fillId="12" borderId="11" xfId="0" applyFont="1" applyFill="1" applyBorder="1" applyAlignment="1">
      <alignment horizontal="center" vertical="center"/>
    </xf>
    <xf numFmtId="0" fontId="20" fillId="12" borderId="12" xfId="0" applyFont="1" applyFill="1" applyBorder="1" applyAlignment="1">
      <alignment horizontal="center" vertical="center"/>
    </xf>
    <xf numFmtId="49" fontId="20" fillId="12" borderId="12" xfId="0" applyNumberFormat="1" applyFont="1" applyFill="1" applyBorder="1" applyAlignment="1">
      <alignment horizontal="center" vertical="center"/>
    </xf>
    <xf numFmtId="0" fontId="20" fillId="12" borderId="16" xfId="0" applyFont="1" applyFill="1" applyBorder="1" applyAlignment="1">
      <alignment horizontal="center" vertical="center"/>
    </xf>
    <xf numFmtId="0" fontId="42" fillId="10" borderId="16" xfId="0" applyFont="1" applyFill="1" applyBorder="1" applyAlignment="1">
      <alignment horizontal="center" vertical="center"/>
    </xf>
    <xf numFmtId="0" fontId="20" fillId="12" borderId="13" xfId="0" applyFont="1" applyFill="1" applyBorder="1" applyAlignment="1">
      <alignment horizontal="center" vertical="center"/>
    </xf>
    <xf numFmtId="0" fontId="2" fillId="0" borderId="42"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centerContinuous" vertical="center"/>
    </xf>
    <xf numFmtId="164" fontId="5" fillId="0" borderId="0" xfId="0" applyNumberFormat="1" applyFont="1" applyBorder="1" applyAlignment="1">
      <alignment horizontal="center" vertical="center"/>
    </xf>
    <xf numFmtId="0" fontId="20" fillId="12" borderId="16" xfId="0" applyFont="1" applyFill="1" applyBorder="1" applyAlignment="1">
      <alignment horizontal="centerContinuous" vertical="center"/>
    </xf>
    <xf numFmtId="0" fontId="20" fillId="12" borderId="52" xfId="0" applyFont="1" applyFill="1" applyBorder="1" applyAlignment="1">
      <alignment horizontal="centerContinuous" vertical="center"/>
    </xf>
    <xf numFmtId="0" fontId="20" fillId="12" borderId="53" xfId="0" applyFont="1" applyFill="1" applyBorder="1" applyAlignment="1">
      <alignment horizontal="centerContinuous" vertical="center"/>
    </xf>
    <xf numFmtId="164" fontId="5" fillId="0" borderId="55" xfId="0" applyNumberFormat="1" applyFont="1" applyFill="1" applyBorder="1" applyAlignment="1">
      <alignment horizontal="centerContinuous" vertical="center"/>
    </xf>
    <xf numFmtId="0" fontId="17" fillId="0" borderId="0" xfId="0" applyFont="1" applyBorder="1" applyAlignment="1">
      <alignment horizontal="right" vertical="center"/>
    </xf>
    <xf numFmtId="0" fontId="20" fillId="12" borderId="14" xfId="0" applyFont="1" applyFill="1" applyBorder="1" applyAlignment="1">
      <alignment horizontal="centerContinuous" vertical="center"/>
    </xf>
    <xf numFmtId="0" fontId="20" fillId="12" borderId="15" xfId="0" applyFont="1" applyFill="1" applyBorder="1" applyAlignment="1">
      <alignment horizontal="centerContinuous" vertical="center"/>
    </xf>
    <xf numFmtId="0" fontId="5" fillId="0" borderId="55" xfId="0" applyFont="1" applyFill="1" applyBorder="1" applyAlignment="1">
      <alignment horizontal="centerContinuous" vertical="center"/>
    </xf>
    <xf numFmtId="0" fontId="5" fillId="0" borderId="69" xfId="0" applyFont="1" applyFill="1" applyBorder="1" applyAlignment="1">
      <alignment horizontal="centerContinuous" vertical="center"/>
    </xf>
    <xf numFmtId="49" fontId="2" fillId="0" borderId="69" xfId="0" applyNumberFormat="1" applyFont="1" applyFill="1" applyBorder="1" applyAlignment="1">
      <alignment horizontal="center" vertical="center"/>
    </xf>
    <xf numFmtId="0" fontId="5" fillId="0" borderId="41" xfId="0" applyFont="1" applyFill="1" applyBorder="1" applyAlignment="1">
      <alignment horizontal="centerContinuous" vertical="center"/>
    </xf>
    <xf numFmtId="0" fontId="5" fillId="0" borderId="72" xfId="0" applyFont="1" applyFill="1" applyBorder="1" applyAlignment="1">
      <alignment horizontal="centerContinuous" vertical="center"/>
    </xf>
    <xf numFmtId="0" fontId="5" fillId="0" borderId="70" xfId="0" applyFont="1" applyFill="1" applyBorder="1" applyAlignment="1">
      <alignment horizontal="centerContinuous" vertical="center"/>
    </xf>
    <xf numFmtId="164" fontId="5" fillId="0" borderId="73" xfId="0" applyNumberFormat="1" applyFont="1" applyBorder="1" applyAlignment="1">
      <alignment horizontal="centerContinuous" vertical="center"/>
    </xf>
    <xf numFmtId="164" fontId="3" fillId="0" borderId="0" xfId="0" applyNumberFormat="1" applyFont="1" applyBorder="1" applyAlignment="1">
      <alignment horizontal="centerContinuous" vertical="center"/>
    </xf>
    <xf numFmtId="0" fontId="20" fillId="3" borderId="33" xfId="0" applyFont="1" applyFill="1" applyBorder="1" applyAlignment="1">
      <alignment horizontal="center" vertical="center"/>
    </xf>
    <xf numFmtId="164" fontId="20" fillId="3" borderId="34" xfId="0" applyNumberFormat="1" applyFont="1" applyFill="1" applyBorder="1" applyAlignment="1">
      <alignment horizontal="center" vertical="center"/>
    </xf>
    <xf numFmtId="0" fontId="20" fillId="3" borderId="33" xfId="0" applyFont="1" applyFill="1" applyBorder="1" applyAlignment="1">
      <alignment horizontal="right" vertical="center"/>
    </xf>
    <xf numFmtId="0" fontId="20" fillId="3" borderId="35" xfId="0" applyFont="1" applyFill="1" applyBorder="1" applyAlignment="1">
      <alignment vertical="center"/>
    </xf>
    <xf numFmtId="0" fontId="2" fillId="0" borderId="60" xfId="0" applyFont="1" applyBorder="1" applyAlignment="1">
      <alignment horizontal="center" vertical="center" shrinkToFit="1"/>
    </xf>
    <xf numFmtId="164" fontId="5" fillId="0" borderId="36" xfId="0" applyNumberFormat="1" applyFont="1" applyBorder="1" applyAlignment="1">
      <alignment horizontal="center" vertical="center" shrinkToFit="1"/>
    </xf>
    <xf numFmtId="0" fontId="5" fillId="0" borderId="37" xfId="0" applyFont="1" applyBorder="1" applyAlignment="1">
      <alignment horizontal="left" vertical="center"/>
    </xf>
    <xf numFmtId="0" fontId="5" fillId="0" borderId="38" xfId="0" applyFont="1" applyBorder="1" applyAlignment="1">
      <alignment horizontal="left" vertical="center" shrinkToFit="1"/>
    </xf>
    <xf numFmtId="164" fontId="2" fillId="0" borderId="36" xfId="0" applyNumberFormat="1" applyFont="1" applyBorder="1" applyAlignment="1">
      <alignment horizontal="center" vertical="center" shrinkToFit="1"/>
    </xf>
    <xf numFmtId="0" fontId="5" fillId="0" borderId="39" xfId="0" applyFont="1" applyBorder="1" applyAlignment="1">
      <alignment horizontal="left" vertical="center"/>
    </xf>
    <xf numFmtId="0" fontId="5" fillId="0" borderId="40" xfId="0" applyFont="1" applyBorder="1" applyAlignment="1">
      <alignment horizontal="left" vertical="center" shrinkToFit="1"/>
    </xf>
    <xf numFmtId="0" fontId="5" fillId="0" borderId="0" xfId="0" applyFont="1" applyBorder="1" applyAlignment="1">
      <alignment vertical="center" wrapText="1"/>
    </xf>
    <xf numFmtId="0" fontId="5" fillId="0" borderId="0" xfId="0" applyFont="1" applyBorder="1" applyAlignment="1">
      <alignment horizontal="left" vertical="center"/>
    </xf>
    <xf numFmtId="0" fontId="5" fillId="0" borderId="0" xfId="0" applyFont="1" applyBorder="1" applyAlignment="1">
      <alignment horizontal="left" vertical="center" wrapText="1"/>
    </xf>
    <xf numFmtId="0" fontId="4" fillId="0" borderId="0" xfId="0" applyFont="1" applyBorder="1" applyAlignment="1">
      <alignment horizontal="right" vertical="center" wrapText="1"/>
    </xf>
    <xf numFmtId="0" fontId="7" fillId="0" borderId="51" xfId="0" applyFont="1" applyFill="1" applyBorder="1" applyAlignment="1">
      <alignment horizontal="center" vertical="center" shrinkToFit="1"/>
    </xf>
    <xf numFmtId="0" fontId="24" fillId="0" borderId="19" xfId="0" applyFont="1" applyBorder="1" applyAlignment="1">
      <alignment horizontal="centerContinuous" vertical="center"/>
    </xf>
    <xf numFmtId="0" fontId="14" fillId="0" borderId="0" xfId="0" applyFont="1" applyBorder="1" applyAlignment="1">
      <alignment horizontal="centerContinuous" vertical="center"/>
    </xf>
    <xf numFmtId="0" fontId="14" fillId="0" borderId="0" xfId="0" applyNumberFormat="1" applyFont="1" applyBorder="1" applyAlignment="1">
      <alignment horizontal="centerContinuous" vertical="center"/>
    </xf>
    <xf numFmtId="0" fontId="7" fillId="0" borderId="21" xfId="0" applyFont="1" applyFill="1" applyBorder="1" applyAlignment="1">
      <alignment horizontal="center" vertical="center"/>
    </xf>
    <xf numFmtId="0" fontId="26" fillId="0" borderId="22" xfId="0" applyNumberFormat="1" applyFont="1" applyFill="1" applyBorder="1" applyAlignment="1">
      <alignment horizontal="center" vertical="center"/>
    </xf>
    <xf numFmtId="49" fontId="7" fillId="0" borderId="21" xfId="0" applyNumberFormat="1" applyFont="1" applyFill="1" applyBorder="1" applyAlignment="1">
      <alignment horizontal="center" vertical="center"/>
    </xf>
    <xf numFmtId="0" fontId="39" fillId="10" borderId="22" xfId="0" applyNumberFormat="1" applyFont="1" applyFill="1" applyBorder="1" applyAlignment="1">
      <alignment horizontal="center" vertical="center"/>
    </xf>
    <xf numFmtId="0" fontId="40" fillId="0" borderId="1" xfId="0" applyFont="1" applyFill="1" applyBorder="1" applyAlignment="1">
      <alignment vertical="center"/>
    </xf>
    <xf numFmtId="0" fontId="23" fillId="0" borderId="22" xfId="0" applyNumberFormat="1" applyFont="1" applyFill="1" applyBorder="1" applyAlignment="1">
      <alignment horizontal="center" vertical="center"/>
    </xf>
    <xf numFmtId="0" fontId="12" fillId="0" borderId="22" xfId="0" applyNumberFormat="1" applyFont="1" applyFill="1" applyBorder="1" applyAlignment="1">
      <alignment horizontal="center" vertical="center"/>
    </xf>
    <xf numFmtId="0" fontId="7" fillId="0" borderId="23" xfId="0" applyNumberFormat="1" applyFont="1" applyFill="1" applyBorder="1" applyAlignment="1">
      <alignment horizontal="center" vertical="center"/>
    </xf>
    <xf numFmtId="0" fontId="7" fillId="0" borderId="46" xfId="0" applyFont="1" applyFill="1" applyBorder="1" applyAlignment="1">
      <alignment horizontal="center" vertical="center"/>
    </xf>
    <xf numFmtId="0" fontId="27" fillId="0" borderId="9" xfId="0" applyNumberFormat="1" applyFont="1" applyFill="1" applyBorder="1" applyAlignment="1">
      <alignment horizontal="center" vertical="center"/>
    </xf>
    <xf numFmtId="0" fontId="27" fillId="0" borderId="46" xfId="0" applyNumberFormat="1" applyFont="1" applyFill="1" applyBorder="1" applyAlignment="1">
      <alignment horizontal="center" vertical="center"/>
    </xf>
    <xf numFmtId="0" fontId="39" fillId="10" borderId="46" xfId="0" applyNumberFormat="1" applyFont="1" applyFill="1" applyBorder="1" applyAlignment="1">
      <alignment horizontal="center" vertical="center"/>
    </xf>
    <xf numFmtId="0" fontId="10" fillId="0" borderId="1" xfId="0" applyFont="1" applyFill="1" applyBorder="1" applyAlignment="1">
      <alignment vertical="center"/>
    </xf>
    <xf numFmtId="0" fontId="7" fillId="0" borderId="21" xfId="0" applyNumberFormat="1" applyFont="1" applyFill="1" applyBorder="1" applyAlignment="1">
      <alignment horizontal="center" vertical="center"/>
    </xf>
    <xf numFmtId="49" fontId="15" fillId="0" borderId="21" xfId="0" applyNumberFormat="1" applyFont="1" applyFill="1" applyBorder="1" applyAlignment="1">
      <alignment horizontal="center" vertical="center"/>
    </xf>
    <xf numFmtId="0" fontId="15" fillId="0" borderId="22" xfId="0" applyNumberFormat="1" applyFont="1" applyFill="1" applyBorder="1" applyAlignment="1">
      <alignment horizontal="center" vertical="center"/>
    </xf>
    <xf numFmtId="0" fontId="7" fillId="0" borderId="22" xfId="0" applyNumberFormat="1" applyFont="1" applyFill="1" applyBorder="1" applyAlignment="1">
      <alignment horizontal="center" vertical="center"/>
    </xf>
    <xf numFmtId="49" fontId="7" fillId="0" borderId="22" xfId="0" applyNumberFormat="1" applyFont="1" applyFill="1" applyBorder="1" applyAlignment="1">
      <alignment horizontal="center" vertical="center"/>
    </xf>
    <xf numFmtId="0" fontId="12" fillId="0" borderId="1" xfId="0" applyFont="1" applyFill="1" applyBorder="1" applyAlignment="1">
      <alignment vertical="center"/>
    </xf>
    <xf numFmtId="49" fontId="23" fillId="0" borderId="21" xfId="0" applyNumberFormat="1" applyFont="1" applyFill="1" applyBorder="1" applyAlignment="1">
      <alignment horizontal="center" vertical="center"/>
    </xf>
    <xf numFmtId="0" fontId="13" fillId="0" borderId="1" xfId="0" applyFont="1" applyFill="1" applyBorder="1" applyAlignment="1">
      <alignment vertical="center"/>
    </xf>
    <xf numFmtId="49" fontId="22" fillId="0" borderId="21" xfId="0" applyNumberFormat="1" applyFont="1" applyFill="1" applyBorder="1" applyAlignment="1">
      <alignment horizontal="center" vertical="center"/>
    </xf>
    <xf numFmtId="0" fontId="22" fillId="0" borderId="22" xfId="0" applyNumberFormat="1" applyFont="1" applyFill="1" applyBorder="1" applyAlignment="1">
      <alignment horizontal="center" vertical="center"/>
    </xf>
    <xf numFmtId="0" fontId="13" fillId="0" borderId="22" xfId="0" applyNumberFormat="1" applyFont="1" applyFill="1" applyBorder="1" applyAlignment="1">
      <alignment horizontal="center" vertical="center"/>
    </xf>
    <xf numFmtId="0" fontId="7" fillId="13" borderId="21" xfId="0" applyNumberFormat="1" applyFont="1" applyFill="1" applyBorder="1" applyAlignment="1">
      <alignment horizontal="center" vertical="center"/>
    </xf>
    <xf numFmtId="49" fontId="7" fillId="13" borderId="22" xfId="0" applyNumberFormat="1" applyFont="1" applyFill="1" applyBorder="1" applyAlignment="1">
      <alignment horizontal="center" vertical="center"/>
    </xf>
    <xf numFmtId="0" fontId="7" fillId="13" borderId="23" xfId="0" applyNumberFormat="1" applyFont="1" applyFill="1" applyBorder="1" applyAlignment="1">
      <alignment horizontal="center" vertical="center"/>
    </xf>
    <xf numFmtId="0" fontId="10" fillId="5" borderId="1" xfId="0" applyFont="1" applyFill="1" applyBorder="1" applyAlignment="1">
      <alignment vertical="center"/>
    </xf>
    <xf numFmtId="0" fontId="7" fillId="5" borderId="21" xfId="0" applyNumberFormat="1" applyFont="1" applyFill="1" applyBorder="1" applyAlignment="1">
      <alignment horizontal="center" vertical="center"/>
    </xf>
    <xf numFmtId="49" fontId="15" fillId="5" borderId="21" xfId="0" applyNumberFormat="1" applyFont="1" applyFill="1" applyBorder="1" applyAlignment="1">
      <alignment horizontal="center" vertical="center"/>
    </xf>
    <xf numFmtId="0" fontId="15" fillId="5" borderId="22" xfId="0" applyNumberFormat="1" applyFont="1" applyFill="1" applyBorder="1" applyAlignment="1">
      <alignment horizontal="center" vertical="center"/>
    </xf>
    <xf numFmtId="49" fontId="7" fillId="5" borderId="22" xfId="0" applyNumberFormat="1" applyFont="1" applyFill="1" applyBorder="1" applyAlignment="1">
      <alignment horizontal="center" vertical="center"/>
    </xf>
    <xf numFmtId="0" fontId="7" fillId="5" borderId="23" xfId="0" applyNumberFormat="1" applyFont="1" applyFill="1" applyBorder="1" applyAlignment="1">
      <alignment horizontal="center" vertical="center"/>
    </xf>
    <xf numFmtId="0" fontId="13" fillId="13" borderId="1" xfId="0" applyFont="1" applyFill="1" applyBorder="1" applyAlignment="1">
      <alignment vertical="center"/>
    </xf>
    <xf numFmtId="0" fontId="10" fillId="6" borderId="1" xfId="0" applyFont="1" applyFill="1" applyBorder="1" applyAlignment="1">
      <alignment vertical="center"/>
    </xf>
    <xf numFmtId="0" fontId="7" fillId="6" borderId="21" xfId="0" applyNumberFormat="1" applyFont="1" applyFill="1" applyBorder="1" applyAlignment="1">
      <alignment horizontal="center" vertical="center"/>
    </xf>
    <xf numFmtId="49" fontId="15" fillId="6" borderId="21" xfId="0" applyNumberFormat="1" applyFont="1" applyFill="1" applyBorder="1" applyAlignment="1">
      <alignment horizontal="center" vertical="center"/>
    </xf>
    <xf numFmtId="0" fontId="15" fillId="6" borderId="22" xfId="0" applyNumberFormat="1" applyFont="1" applyFill="1" applyBorder="1" applyAlignment="1">
      <alignment horizontal="center" vertical="center"/>
    </xf>
    <xf numFmtId="49" fontId="7" fillId="6" borderId="22" xfId="0" applyNumberFormat="1" applyFont="1" applyFill="1" applyBorder="1" applyAlignment="1">
      <alignment horizontal="center" vertical="center"/>
    </xf>
    <xf numFmtId="0" fontId="13" fillId="6" borderId="1" xfId="0" applyFont="1" applyFill="1" applyBorder="1" applyAlignment="1">
      <alignment vertical="center"/>
    </xf>
    <xf numFmtId="49" fontId="22" fillId="7" borderId="21" xfId="0" applyNumberFormat="1" applyFont="1" applyFill="1" applyBorder="1" applyAlignment="1">
      <alignment horizontal="center" vertical="center"/>
    </xf>
    <xf numFmtId="0" fontId="22" fillId="7" borderId="22" xfId="0" applyNumberFormat="1" applyFont="1" applyFill="1" applyBorder="1" applyAlignment="1">
      <alignment horizontal="center" vertical="center"/>
    </xf>
    <xf numFmtId="0" fontId="10" fillId="13" borderId="1" xfId="0" applyFont="1" applyFill="1" applyBorder="1" applyAlignment="1">
      <alignment vertical="center"/>
    </xf>
    <xf numFmtId="49" fontId="15" fillId="13" borderId="21" xfId="0" applyNumberFormat="1" applyFont="1" applyFill="1" applyBorder="1" applyAlignment="1">
      <alignment horizontal="center" vertical="center"/>
    </xf>
    <xf numFmtId="0" fontId="15" fillId="13" borderId="22" xfId="0" applyNumberFormat="1" applyFont="1" applyFill="1" applyBorder="1" applyAlignment="1">
      <alignment horizontal="center" vertical="center"/>
    </xf>
    <xf numFmtId="0" fontId="12" fillId="5" borderId="1" xfId="0" applyFont="1" applyFill="1" applyBorder="1" applyAlignment="1">
      <alignment vertical="center"/>
    </xf>
    <xf numFmtId="49" fontId="23" fillId="5" borderId="21" xfId="0" applyNumberFormat="1" applyFont="1" applyFill="1" applyBorder="1" applyAlignment="1">
      <alignment horizontal="center" vertical="center"/>
    </xf>
    <xf numFmtId="0" fontId="23" fillId="5" borderId="22" xfId="0" applyNumberFormat="1" applyFont="1" applyFill="1" applyBorder="1" applyAlignment="1">
      <alignment horizontal="center" vertical="center"/>
    </xf>
    <xf numFmtId="0" fontId="10" fillId="4" borderId="1" xfId="0" applyFont="1" applyFill="1" applyBorder="1" applyAlignment="1">
      <alignment vertical="center"/>
    </xf>
    <xf numFmtId="0" fontId="7" fillId="4" borderId="21" xfId="0" applyNumberFormat="1" applyFont="1" applyFill="1" applyBorder="1" applyAlignment="1">
      <alignment horizontal="center" vertical="center"/>
    </xf>
    <xf numFmtId="49" fontId="15" fillId="4" borderId="21" xfId="0" applyNumberFormat="1" applyFont="1" applyFill="1" applyBorder="1" applyAlignment="1">
      <alignment horizontal="center" vertical="center"/>
    </xf>
    <xf numFmtId="0" fontId="15" fillId="4" borderId="22" xfId="0" applyNumberFormat="1" applyFont="1" applyFill="1" applyBorder="1" applyAlignment="1">
      <alignment horizontal="center" vertical="center"/>
    </xf>
    <xf numFmtId="49" fontId="7" fillId="4" borderId="22" xfId="0" applyNumberFormat="1" applyFont="1" applyFill="1" applyBorder="1" applyAlignment="1">
      <alignment horizontal="center" vertical="center"/>
    </xf>
    <xf numFmtId="0" fontId="7" fillId="4" borderId="23" xfId="0" applyNumberFormat="1" applyFont="1" applyFill="1" applyBorder="1" applyAlignment="1">
      <alignment horizontal="center" vertical="center"/>
    </xf>
    <xf numFmtId="0" fontId="7" fillId="0" borderId="23" xfId="0" quotePrefix="1" applyNumberFormat="1" applyFont="1" applyFill="1" applyBorder="1" applyAlignment="1">
      <alignment horizontal="center" vertical="center"/>
    </xf>
    <xf numFmtId="0" fontId="12" fillId="4" borderId="1" xfId="0" applyFont="1" applyFill="1" applyBorder="1" applyAlignment="1">
      <alignment vertical="center"/>
    </xf>
    <xf numFmtId="49" fontId="23" fillId="4" borderId="21" xfId="0" applyNumberFormat="1" applyFont="1" applyFill="1" applyBorder="1" applyAlignment="1">
      <alignment horizontal="center" vertical="center"/>
    </xf>
    <xf numFmtId="0" fontId="23" fillId="4" borderId="22" xfId="0" applyNumberFormat="1" applyFont="1" applyFill="1" applyBorder="1" applyAlignment="1">
      <alignment horizontal="center" vertical="center"/>
    </xf>
    <xf numFmtId="0" fontId="13" fillId="5" borderId="1" xfId="0" applyFont="1" applyFill="1" applyBorder="1" applyAlignment="1">
      <alignment vertical="center"/>
    </xf>
    <xf numFmtId="49" fontId="22" fillId="5" borderId="21" xfId="0" applyNumberFormat="1" applyFont="1" applyFill="1" applyBorder="1" applyAlignment="1">
      <alignment horizontal="center" vertical="center"/>
    </xf>
    <xf numFmtId="0" fontId="22" fillId="5" borderId="22" xfId="0" applyNumberFormat="1" applyFont="1" applyFill="1" applyBorder="1" applyAlignment="1">
      <alignment horizontal="center" vertical="center"/>
    </xf>
    <xf numFmtId="0" fontId="39" fillId="10" borderId="48" xfId="0" applyNumberFormat="1" applyFont="1" applyFill="1" applyBorder="1" applyAlignment="1">
      <alignment horizontal="center" vertical="center"/>
    </xf>
    <xf numFmtId="0" fontId="4" fillId="0" borderId="0" xfId="0" applyFont="1" applyBorder="1" applyAlignment="1">
      <alignment horizontal="right" vertical="center"/>
    </xf>
    <xf numFmtId="0" fontId="19" fillId="2" borderId="63" xfId="0" applyFont="1" applyFill="1" applyBorder="1" applyAlignment="1">
      <alignment horizontal="left" vertical="center"/>
    </xf>
    <xf numFmtId="0" fontId="4" fillId="2" borderId="63" xfId="0" applyFont="1" applyFill="1" applyBorder="1" applyAlignment="1">
      <alignment horizontal="centerContinuous" vertical="center"/>
    </xf>
    <xf numFmtId="0" fontId="35" fillId="2" borderId="64" xfId="1" applyFont="1" applyFill="1" applyBorder="1" applyAlignment="1" applyProtection="1">
      <alignment horizontal="right" vertical="center"/>
    </xf>
    <xf numFmtId="0" fontId="6" fillId="0" borderId="1" xfId="0" applyFont="1" applyBorder="1" applyAlignment="1">
      <alignment horizontal="right" vertical="center"/>
    </xf>
    <xf numFmtId="0" fontId="7" fillId="0" borderId="0" xfId="0" applyFont="1" applyBorder="1" applyAlignment="1">
      <alignment horizontal="centerContinuous"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49" xfId="0" applyFont="1" applyFill="1" applyBorder="1" applyAlignment="1">
      <alignment horizontal="right" vertical="center"/>
    </xf>
    <xf numFmtId="0" fontId="7" fillId="0" borderId="0" xfId="0" applyFont="1" applyBorder="1" applyAlignment="1">
      <alignment horizontal="left" vertical="center"/>
    </xf>
    <xf numFmtId="0" fontId="8" fillId="2" borderId="8" xfId="0" applyFont="1" applyFill="1" applyBorder="1" applyAlignment="1">
      <alignment horizontal="right" vertical="center"/>
    </xf>
    <xf numFmtId="0" fontId="25" fillId="0" borderId="9" xfId="0" applyNumberFormat="1" applyFont="1" applyBorder="1" applyAlignment="1">
      <alignment horizontal="center" vertical="center"/>
    </xf>
    <xf numFmtId="0" fontId="9" fillId="4" borderId="62" xfId="0" applyFont="1" applyFill="1" applyBorder="1" applyAlignment="1">
      <alignment horizontal="right" vertical="center"/>
    </xf>
    <xf numFmtId="0" fontId="12" fillId="2" borderId="4" xfId="0" applyFont="1" applyFill="1" applyBorder="1" applyAlignment="1">
      <alignment horizontal="right" vertical="center"/>
    </xf>
    <xf numFmtId="49" fontId="25" fillId="0" borderId="9" xfId="0" applyNumberFormat="1" applyFont="1" applyBorder="1" applyAlignment="1">
      <alignment horizontal="center" vertical="center"/>
    </xf>
    <xf numFmtId="0" fontId="9" fillId="4" borderId="57" xfId="0" applyFont="1" applyFill="1" applyBorder="1" applyAlignment="1">
      <alignment horizontal="right" vertical="center"/>
    </xf>
    <xf numFmtId="164" fontId="6" fillId="8" borderId="26" xfId="0" applyNumberFormat="1" applyFont="1" applyFill="1" applyBorder="1" applyAlignment="1">
      <alignment horizontal="center" vertical="center"/>
    </xf>
    <xf numFmtId="49" fontId="25" fillId="0" borderId="3" xfId="0" applyNumberFormat="1" applyFont="1" applyBorder="1" applyAlignment="1">
      <alignment horizontal="center" vertical="center"/>
    </xf>
    <xf numFmtId="0" fontId="8" fillId="4" borderId="57" xfId="0" applyFont="1" applyFill="1" applyBorder="1" applyAlignment="1">
      <alignment horizontal="right" vertical="center"/>
    </xf>
    <xf numFmtId="0" fontId="36" fillId="2" borderId="4" xfId="0" applyFont="1" applyFill="1" applyBorder="1" applyAlignment="1">
      <alignment horizontal="right" vertical="center"/>
    </xf>
    <xf numFmtId="0" fontId="21" fillId="2" borderId="4" xfId="0" applyFont="1" applyFill="1" applyBorder="1" applyAlignment="1">
      <alignment horizontal="right" vertical="center"/>
    </xf>
    <xf numFmtId="0" fontId="10" fillId="4" borderId="57" xfId="0" applyFont="1" applyFill="1" applyBorder="1" applyAlignment="1">
      <alignment horizontal="right" vertical="center"/>
    </xf>
    <xf numFmtId="0" fontId="13" fillId="2" borderId="10" xfId="0" applyFont="1" applyFill="1" applyBorder="1" applyAlignment="1">
      <alignment horizontal="right" vertical="center"/>
    </xf>
    <xf numFmtId="0" fontId="10" fillId="4" borderId="58" xfId="0" applyFont="1" applyFill="1" applyBorder="1" applyAlignment="1">
      <alignment horizontal="right" vertical="center"/>
    </xf>
    <xf numFmtId="0" fontId="7" fillId="0" borderId="6" xfId="0" applyFont="1" applyBorder="1" applyAlignment="1">
      <alignment vertical="center"/>
    </xf>
    <xf numFmtId="0" fontId="7" fillId="0" borderId="7" xfId="0" applyFont="1" applyBorder="1" applyAlignment="1">
      <alignment vertical="center"/>
    </xf>
    <xf numFmtId="164" fontId="5" fillId="0" borderId="42" xfId="0" applyNumberFormat="1" applyFont="1" applyBorder="1" applyAlignment="1">
      <alignment horizontal="center" vertical="center" shrinkToFit="1"/>
    </xf>
    <xf numFmtId="0" fontId="5" fillId="0" borderId="43" xfId="0" applyFont="1" applyBorder="1" applyAlignment="1">
      <alignment horizontal="left" vertical="center"/>
    </xf>
    <xf numFmtId="0" fontId="5" fillId="0" borderId="44" xfId="0" applyFont="1" applyBorder="1" applyAlignment="1">
      <alignment horizontal="left" vertical="center" shrinkToFit="1"/>
    </xf>
    <xf numFmtId="164" fontId="3" fillId="0" borderId="0" xfId="0" applyNumberFormat="1" applyFont="1" applyBorder="1" applyAlignment="1">
      <alignment horizontal="centerContinuous" vertical="center" shrinkToFit="1"/>
    </xf>
    <xf numFmtId="0" fontId="3" fillId="0" borderId="0" xfId="0" applyFont="1" applyBorder="1" applyAlignment="1">
      <alignment horizontal="centerContinuous" vertical="center" shrinkToFit="1"/>
    </xf>
    <xf numFmtId="0" fontId="5" fillId="0" borderId="36" xfId="0" applyFont="1" applyBorder="1" applyAlignment="1">
      <alignment horizontal="left" vertical="center"/>
    </xf>
    <xf numFmtId="0" fontId="6" fillId="4" borderId="76" xfId="0" applyFont="1" applyFill="1" applyBorder="1" applyAlignment="1">
      <alignment horizontal="right" vertical="center"/>
    </xf>
    <xf numFmtId="1" fontId="4" fillId="0" borderId="0" xfId="0" applyNumberFormat="1" applyFont="1" applyBorder="1" applyAlignment="1">
      <alignment horizontal="right" vertical="center"/>
    </xf>
    <xf numFmtId="1" fontId="4" fillId="0" borderId="0" xfId="0" applyNumberFormat="1" applyFont="1" applyBorder="1" applyAlignment="1">
      <alignment horizontal="center" vertical="center"/>
    </xf>
    <xf numFmtId="1" fontId="5" fillId="0" borderId="0" xfId="0" applyNumberFormat="1" applyFont="1" applyBorder="1" applyAlignment="1">
      <alignment horizontal="left" vertical="center"/>
    </xf>
    <xf numFmtId="1" fontId="5" fillId="0" borderId="0" xfId="0" applyNumberFormat="1" applyFont="1" applyBorder="1" applyAlignment="1">
      <alignment horizontal="center" vertical="center"/>
    </xf>
    <xf numFmtId="1" fontId="4" fillId="0" borderId="0" xfId="0" applyNumberFormat="1" applyFont="1" applyBorder="1" applyAlignment="1">
      <alignment horizontal="left" vertical="center"/>
    </xf>
    <xf numFmtId="1" fontId="2" fillId="0" borderId="0" xfId="0" applyNumberFormat="1" applyFont="1" applyBorder="1" applyAlignment="1">
      <alignment horizontal="left" vertical="center"/>
    </xf>
    <xf numFmtId="1" fontId="2" fillId="0" borderId="0" xfId="0" applyNumberFormat="1" applyFont="1" applyBorder="1" applyAlignment="1">
      <alignment horizontal="center" vertical="center"/>
    </xf>
    <xf numFmtId="1" fontId="4" fillId="0" borderId="0" xfId="0" applyNumberFormat="1" applyFont="1" applyBorder="1" applyAlignment="1">
      <alignment horizontal="right"/>
    </xf>
    <xf numFmtId="1" fontId="5" fillId="0" borderId="0" xfId="0" applyNumberFormat="1" applyFont="1" applyBorder="1" applyAlignment="1">
      <alignment horizontal="left"/>
    </xf>
    <xf numFmtId="0" fontId="8" fillId="13" borderId="1" xfId="0" applyFont="1" applyFill="1" applyBorder="1" applyAlignment="1">
      <alignment vertical="center"/>
    </xf>
    <xf numFmtId="49" fontId="16" fillId="13" borderId="21" xfId="0" applyNumberFormat="1" applyFont="1" applyFill="1" applyBorder="1" applyAlignment="1">
      <alignment horizontal="center" vertical="center"/>
    </xf>
    <xf numFmtId="0" fontId="16" fillId="13" borderId="22" xfId="0" applyNumberFormat="1" applyFont="1" applyFill="1" applyBorder="1" applyAlignment="1">
      <alignment horizontal="center" vertical="center"/>
    </xf>
    <xf numFmtId="164" fontId="5" fillId="0" borderId="75" xfId="0" applyNumberFormat="1" applyFont="1" applyBorder="1" applyAlignment="1">
      <alignment horizontal="center" vertical="center" shrinkToFit="1"/>
    </xf>
    <xf numFmtId="0" fontId="20" fillId="12" borderId="77" xfId="0" applyFont="1" applyFill="1" applyBorder="1" applyAlignment="1">
      <alignment horizontal="center" vertical="center"/>
    </xf>
    <xf numFmtId="0" fontId="2" fillId="0" borderId="0" xfId="0" applyFont="1" applyBorder="1" applyAlignment="1">
      <alignment vertical="center"/>
    </xf>
    <xf numFmtId="1" fontId="20" fillId="12" borderId="27" xfId="0" applyNumberFormat="1" applyFont="1" applyFill="1" applyBorder="1" applyAlignment="1">
      <alignment horizontal="center" vertical="center"/>
    </xf>
    <xf numFmtId="0" fontId="2" fillId="0" borderId="54" xfId="0" applyFont="1" applyFill="1" applyBorder="1" applyAlignment="1">
      <alignment horizontal="centerContinuous" vertical="center" shrinkToFit="1"/>
    </xf>
    <xf numFmtId="0" fontId="20" fillId="0" borderId="55" xfId="0" applyFont="1" applyFill="1" applyBorder="1" applyAlignment="1">
      <alignment horizontal="centerContinuous" vertical="center"/>
    </xf>
    <xf numFmtId="0" fontId="20" fillId="0" borderId="78" xfId="0" applyFont="1" applyFill="1" applyBorder="1" applyAlignment="1">
      <alignment horizontal="centerContinuous" vertical="center"/>
    </xf>
    <xf numFmtId="0" fontId="2" fillId="0" borderId="79"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56" xfId="0" applyFont="1" applyFill="1" applyBorder="1" applyAlignment="1">
      <alignment horizontal="centerContinuous" vertical="center"/>
    </xf>
    <xf numFmtId="1" fontId="2" fillId="0" borderId="80" xfId="0" applyNumberFormat="1" applyFont="1" applyFill="1" applyBorder="1" applyAlignment="1">
      <alignment horizontal="center" vertical="center"/>
    </xf>
    <xf numFmtId="0" fontId="2" fillId="0" borderId="81" xfId="0" applyFont="1" applyFill="1" applyBorder="1" applyAlignment="1">
      <alignment horizontal="centerContinuous" vertical="center" shrinkToFit="1"/>
    </xf>
    <xf numFmtId="0" fontId="20" fillId="0" borderId="82" xfId="0" applyFont="1" applyFill="1" applyBorder="1" applyAlignment="1">
      <alignment horizontal="centerContinuous" vertical="center"/>
    </xf>
    <xf numFmtId="0" fontId="20" fillId="0" borderId="83" xfId="0" applyFont="1" applyFill="1" applyBorder="1" applyAlignment="1">
      <alignment horizontal="centerContinuous" vertical="center"/>
    </xf>
    <xf numFmtId="0" fontId="2" fillId="0" borderId="37" xfId="0" applyFont="1" applyFill="1" applyBorder="1" applyAlignment="1">
      <alignment horizontal="center" vertical="center"/>
    </xf>
    <xf numFmtId="0" fontId="2" fillId="0" borderId="84" xfId="0" applyFont="1" applyFill="1" applyBorder="1" applyAlignment="1">
      <alignment horizontal="centerContinuous" vertical="center"/>
    </xf>
    <xf numFmtId="0" fontId="2" fillId="0" borderId="41" xfId="0" applyFont="1" applyFill="1" applyBorder="1" applyAlignment="1">
      <alignment horizontal="centerContinuous" vertical="center" shrinkToFit="1"/>
    </xf>
    <xf numFmtId="0" fontId="2" fillId="0" borderId="73" xfId="0" applyFont="1" applyFill="1" applyBorder="1" applyAlignment="1">
      <alignment horizontal="centerContinuous" vertical="center"/>
    </xf>
    <xf numFmtId="0" fontId="2" fillId="0" borderId="86" xfId="0" applyFont="1" applyFill="1" applyBorder="1" applyAlignment="1">
      <alignment horizontal="centerContinuous" vertical="center"/>
    </xf>
    <xf numFmtId="49" fontId="2" fillId="0" borderId="43" xfId="0" applyNumberFormat="1" applyFont="1" applyFill="1" applyBorder="1" applyAlignment="1">
      <alignment horizontal="center" vertical="center"/>
    </xf>
    <xf numFmtId="49" fontId="2" fillId="0" borderId="42" xfId="0" applyNumberFormat="1" applyFont="1" applyFill="1" applyBorder="1" applyAlignment="1">
      <alignment horizontal="center" vertical="center"/>
    </xf>
    <xf numFmtId="0" fontId="2" fillId="0" borderId="74" xfId="0" applyFont="1" applyFill="1" applyBorder="1" applyAlignment="1">
      <alignment horizontal="centerContinuous" vertical="center"/>
    </xf>
    <xf numFmtId="1" fontId="2" fillId="0" borderId="51" xfId="0" applyNumberFormat="1" applyFont="1" applyBorder="1" applyAlignment="1">
      <alignment horizontal="center" vertical="center"/>
    </xf>
    <xf numFmtId="164" fontId="20" fillId="3" borderId="27" xfId="0" applyNumberFormat="1" applyFont="1" applyFill="1" applyBorder="1" applyAlignment="1">
      <alignment horizontal="center" vertical="center"/>
    </xf>
    <xf numFmtId="1" fontId="2" fillId="0" borderId="32" xfId="0" applyNumberFormat="1" applyFont="1" applyBorder="1" applyAlignment="1">
      <alignment horizontal="center" vertical="center" shrinkToFit="1"/>
    </xf>
    <xf numFmtId="1" fontId="2" fillId="0" borderId="51" xfId="0" applyNumberFormat="1" applyFont="1" applyBorder="1" applyAlignment="1">
      <alignment horizontal="center" vertical="center" shrinkToFit="1"/>
    </xf>
    <xf numFmtId="0" fontId="2" fillId="0" borderId="61" xfId="0" applyFont="1" applyBorder="1" applyAlignment="1">
      <alignment horizontal="center" vertical="center" shrinkToFit="1"/>
    </xf>
    <xf numFmtId="0" fontId="7" fillId="0" borderId="29" xfId="0" applyFont="1" applyFill="1" applyBorder="1" applyAlignment="1">
      <alignment horizontal="center" vertical="center"/>
    </xf>
    <xf numFmtId="1" fontId="43" fillId="10" borderId="42" xfId="0" applyNumberFormat="1" applyFont="1" applyFill="1" applyBorder="1" applyAlignment="1">
      <alignment horizontal="center" vertical="center"/>
    </xf>
    <xf numFmtId="1" fontId="2" fillId="0" borderId="42" xfId="0" applyNumberFormat="1" applyFont="1" applyBorder="1" applyAlignment="1">
      <alignment horizontal="center" vertical="center"/>
    </xf>
    <xf numFmtId="0" fontId="2" fillId="0" borderId="88" xfId="0" applyFont="1" applyFill="1" applyBorder="1" applyAlignment="1">
      <alignment horizontal="center" vertical="center"/>
    </xf>
    <xf numFmtId="0" fontId="2" fillId="0" borderId="89" xfId="0" applyFont="1" applyFill="1" applyBorder="1" applyAlignment="1">
      <alignment horizontal="center" vertical="center"/>
    </xf>
    <xf numFmtId="1" fontId="2" fillId="0" borderId="93" xfId="0" applyNumberFormat="1" applyFont="1" applyFill="1" applyBorder="1" applyAlignment="1">
      <alignment horizontal="center" vertical="center"/>
    </xf>
    <xf numFmtId="0" fontId="7" fillId="13" borderId="23" xfId="0" quotePrefix="1" applyNumberFormat="1" applyFont="1" applyFill="1" applyBorder="1" applyAlignment="1">
      <alignment horizontal="center" vertical="center"/>
    </xf>
    <xf numFmtId="0" fontId="7" fillId="6" borderId="23" xfId="0" quotePrefix="1" applyNumberFormat="1" applyFont="1" applyFill="1" applyBorder="1" applyAlignment="1">
      <alignment horizontal="center" vertical="center"/>
    </xf>
    <xf numFmtId="0" fontId="2" fillId="0" borderId="61" xfId="0" applyFont="1" applyBorder="1" applyAlignment="1">
      <alignment horizontal="center" vertical="center"/>
    </xf>
    <xf numFmtId="49" fontId="2" fillId="0" borderId="42" xfId="0" applyNumberFormat="1" applyFont="1" applyBorder="1" applyAlignment="1">
      <alignment horizontal="center" vertical="center"/>
    </xf>
    <xf numFmtId="164" fontId="5" fillId="0" borderId="42" xfId="0" applyNumberFormat="1" applyFont="1" applyBorder="1" applyAlignment="1">
      <alignment horizontal="center" vertical="center"/>
    </xf>
    <xf numFmtId="0" fontId="2" fillId="0" borderId="44" xfId="0" applyFont="1" applyBorder="1" applyAlignment="1">
      <alignment horizontal="center" vertical="center"/>
    </xf>
    <xf numFmtId="0" fontId="2" fillId="0" borderId="83" xfId="0" applyFont="1" applyBorder="1" applyAlignment="1">
      <alignment horizontal="center" vertical="center" shrinkToFit="1"/>
    </xf>
    <xf numFmtId="0" fontId="5" fillId="0" borderId="83" xfId="0" applyFont="1" applyBorder="1" applyAlignment="1">
      <alignment horizontal="center" vertical="center" shrinkToFit="1"/>
    </xf>
    <xf numFmtId="0" fontId="2" fillId="0" borderId="86" xfId="0" applyFont="1" applyBorder="1" applyAlignment="1">
      <alignment horizontal="center" vertical="center" shrinkToFit="1"/>
    </xf>
    <xf numFmtId="1" fontId="7" fillId="0" borderId="22" xfId="0" applyNumberFormat="1" applyFont="1" applyFill="1" applyBorder="1" applyAlignment="1">
      <alignment horizontal="center" vertical="center"/>
    </xf>
    <xf numFmtId="0" fontId="2" fillId="0" borderId="54" xfId="0" applyFont="1" applyFill="1" applyBorder="1" applyAlignment="1">
      <alignment horizontal="centerContinuous" vertical="center"/>
    </xf>
    <xf numFmtId="0" fontId="6" fillId="4" borderId="96" xfId="0" applyFont="1" applyFill="1" applyBorder="1" applyAlignment="1">
      <alignment horizontal="right" vertical="center"/>
    </xf>
    <xf numFmtId="1" fontId="2" fillId="0" borderId="97" xfId="0" applyNumberFormat="1" applyFont="1" applyBorder="1" applyAlignment="1">
      <alignment horizontal="centerContinuous" vertical="center"/>
    </xf>
    <xf numFmtId="0" fontId="21" fillId="13" borderId="1" xfId="0" applyFont="1" applyFill="1" applyBorder="1" applyAlignment="1">
      <alignment vertical="center"/>
    </xf>
    <xf numFmtId="49" fontId="27" fillId="13" borderId="21" xfId="0" applyNumberFormat="1" applyFont="1" applyFill="1" applyBorder="1" applyAlignment="1">
      <alignment horizontal="center" vertical="center"/>
    </xf>
    <xf numFmtId="0" fontId="27" fillId="13" borderId="22" xfId="0" applyNumberFormat="1" applyFont="1" applyFill="1" applyBorder="1" applyAlignment="1">
      <alignment horizontal="center" vertical="center"/>
    </xf>
    <xf numFmtId="0" fontId="7" fillId="0" borderId="99" xfId="0" applyFont="1" applyFill="1" applyBorder="1" applyAlignment="1">
      <alignment horizontal="centerContinuous" vertical="center"/>
    </xf>
    <xf numFmtId="0" fontId="5" fillId="0" borderId="100" xfId="0" applyFont="1" applyBorder="1" applyAlignment="1">
      <alignment horizontal="center" vertical="center" shrinkToFit="1"/>
    </xf>
    <xf numFmtId="0" fontId="5" fillId="0" borderId="75" xfId="0" applyFont="1" applyBorder="1" applyAlignment="1">
      <alignment horizontal="left" vertical="center"/>
    </xf>
    <xf numFmtId="1" fontId="2" fillId="0" borderId="85" xfId="0" applyNumberFormat="1" applyFont="1" applyBorder="1" applyAlignment="1">
      <alignment horizontal="center" vertical="center" shrinkToFit="1"/>
    </xf>
    <xf numFmtId="0" fontId="2" fillId="0" borderId="91" xfId="0" applyFont="1" applyBorder="1" applyAlignment="1">
      <alignment horizontal="center" vertical="center" shrinkToFit="1"/>
    </xf>
    <xf numFmtId="0" fontId="47" fillId="0" borderId="27" xfId="0" applyFont="1" applyBorder="1" applyAlignment="1">
      <alignment horizontal="centerContinuous" vertical="center"/>
    </xf>
    <xf numFmtId="0" fontId="48" fillId="0" borderId="27" xfId="0" applyFont="1" applyBorder="1" applyAlignment="1">
      <alignment horizontal="centerContinuous" vertical="center"/>
    </xf>
    <xf numFmtId="0" fontId="49" fillId="0" borderId="27" xfId="0" applyFont="1" applyBorder="1" applyAlignment="1">
      <alignment horizontal="centerContinuous" vertical="center" wrapText="1"/>
    </xf>
    <xf numFmtId="0" fontId="13" fillId="14" borderId="1" xfId="0" applyFont="1" applyFill="1" applyBorder="1" applyAlignment="1">
      <alignment vertical="center"/>
    </xf>
    <xf numFmtId="0" fontId="7" fillId="14" borderId="21" xfId="0" applyNumberFormat="1" applyFont="1" applyFill="1" applyBorder="1" applyAlignment="1">
      <alignment horizontal="center" vertical="center"/>
    </xf>
    <xf numFmtId="49" fontId="22" fillId="14" borderId="21" xfId="0" applyNumberFormat="1" applyFont="1" applyFill="1" applyBorder="1" applyAlignment="1">
      <alignment horizontal="center" vertical="center"/>
    </xf>
    <xf numFmtId="0" fontId="22" fillId="14" borderId="22" xfId="0" applyNumberFormat="1" applyFont="1" applyFill="1" applyBorder="1" applyAlignment="1">
      <alignment horizontal="center" vertical="center"/>
    </xf>
    <xf numFmtId="0" fontId="13" fillId="14" borderId="22" xfId="0" applyNumberFormat="1" applyFont="1" applyFill="1" applyBorder="1" applyAlignment="1">
      <alignment horizontal="center" vertical="center"/>
    </xf>
    <xf numFmtId="49" fontId="7" fillId="14" borderId="22" xfId="0" applyNumberFormat="1" applyFont="1" applyFill="1" applyBorder="1" applyAlignment="1">
      <alignment horizontal="center" vertical="center"/>
    </xf>
    <xf numFmtId="0" fontId="9" fillId="13" borderId="1" xfId="0" applyFont="1" applyFill="1" applyBorder="1" applyAlignment="1">
      <alignment vertical="center"/>
    </xf>
    <xf numFmtId="49" fontId="26" fillId="13" borderId="21" xfId="0" applyNumberFormat="1" applyFont="1" applyFill="1" applyBorder="1" applyAlignment="1">
      <alignment horizontal="center" vertical="center"/>
    </xf>
    <xf numFmtId="0" fontId="26" fillId="13" borderId="22" xfId="0" applyNumberFormat="1" applyFont="1" applyFill="1" applyBorder="1" applyAlignment="1">
      <alignment horizontal="center" vertical="center"/>
    </xf>
    <xf numFmtId="0" fontId="6" fillId="4" borderId="98" xfId="0" applyFont="1" applyFill="1" applyBorder="1" applyAlignment="1">
      <alignment horizontal="right" vertical="center"/>
    </xf>
    <xf numFmtId="3" fontId="7" fillId="0" borderId="25" xfId="0" applyNumberFormat="1" applyFont="1" applyFill="1" applyBorder="1" applyAlignment="1">
      <alignment horizontal="center" vertical="center"/>
    </xf>
    <xf numFmtId="49" fontId="25" fillId="0" borderId="20" xfId="0" applyNumberFormat="1" applyFont="1" applyFill="1" applyBorder="1" applyAlignment="1">
      <alignment horizontal="center" vertical="center"/>
    </xf>
    <xf numFmtId="0" fontId="7" fillId="0" borderId="67" xfId="0" applyNumberFormat="1" applyFont="1" applyBorder="1" applyAlignment="1">
      <alignment horizontal="center" vertical="center"/>
    </xf>
    <xf numFmtId="0" fontId="50" fillId="2" borderId="65" xfId="0" applyFont="1" applyFill="1" applyBorder="1" applyAlignment="1">
      <alignment horizontal="right" vertical="center"/>
    </xf>
    <xf numFmtId="0" fontId="50" fillId="2" borderId="63" xfId="0" applyFont="1" applyFill="1" applyBorder="1" applyAlignment="1">
      <alignment horizontal="left" vertical="center"/>
    </xf>
    <xf numFmtId="0" fontId="2" fillId="0" borderId="42" xfId="0" quotePrefix="1" applyFont="1" applyFill="1" applyBorder="1" applyAlignment="1">
      <alignment horizontal="left" vertical="center"/>
    </xf>
    <xf numFmtId="1" fontId="7" fillId="0" borderId="24" xfId="0" applyNumberFormat="1" applyFont="1" applyFill="1" applyBorder="1" applyAlignment="1">
      <alignment horizontal="center" vertical="center"/>
    </xf>
    <xf numFmtId="1" fontId="7" fillId="0" borderId="25" xfId="0" applyNumberFormat="1" applyFont="1" applyFill="1" applyBorder="1" applyAlignment="1">
      <alignment horizontal="center" vertical="center"/>
    </xf>
    <xf numFmtId="0" fontId="2" fillId="0" borderId="94" xfId="0" applyFont="1" applyFill="1" applyBorder="1" applyAlignment="1">
      <alignment horizontal="centerContinuous" vertical="center" shrinkToFit="1"/>
    </xf>
    <xf numFmtId="0" fontId="20" fillId="0" borderId="95" xfId="0" applyFont="1" applyFill="1" applyBorder="1" applyAlignment="1">
      <alignment horizontal="centerContinuous" vertical="center"/>
    </xf>
    <xf numFmtId="0" fontId="20" fillId="0" borderId="102" xfId="0" applyFont="1" applyFill="1" applyBorder="1" applyAlignment="1">
      <alignment horizontal="centerContinuous" vertical="center"/>
    </xf>
    <xf numFmtId="0" fontId="2" fillId="0" borderId="103" xfId="0" applyFont="1" applyFill="1" applyBorder="1" applyAlignment="1">
      <alignment horizontal="center" vertical="center"/>
    </xf>
    <xf numFmtId="0" fontId="2" fillId="0" borderId="101" xfId="0" applyFont="1" applyFill="1" applyBorder="1" applyAlignment="1">
      <alignment horizontal="centerContinuous" vertical="center"/>
    </xf>
    <xf numFmtId="1" fontId="7" fillId="0" borderId="20" xfId="0" applyNumberFormat="1" applyFont="1" applyFill="1" applyBorder="1" applyAlignment="1">
      <alignment horizontal="centerContinuous" vertical="center"/>
    </xf>
    <xf numFmtId="0" fontId="7" fillId="0" borderId="3" xfId="0" quotePrefix="1" applyFont="1" applyFill="1" applyBorder="1" applyAlignment="1">
      <alignment horizontal="center" vertical="center"/>
    </xf>
    <xf numFmtId="0" fontId="7" fillId="0" borderId="20" xfId="0" quotePrefix="1" applyFont="1" applyFill="1" applyBorder="1" applyAlignment="1">
      <alignment horizontal="center" vertical="center"/>
    </xf>
    <xf numFmtId="0" fontId="2" fillId="0" borderId="59" xfId="0" applyFont="1" applyBorder="1" applyAlignment="1">
      <alignment horizontal="center" vertical="center" shrinkToFit="1"/>
    </xf>
    <xf numFmtId="0" fontId="2" fillId="0" borderId="60" xfId="0" applyFont="1" applyFill="1" applyBorder="1" applyAlignment="1">
      <alignment horizontal="center" vertical="center"/>
    </xf>
    <xf numFmtId="0" fontId="2" fillId="0" borderId="36" xfId="0" quotePrefix="1" applyFont="1" applyFill="1" applyBorder="1" applyAlignment="1">
      <alignment horizontal="center" vertical="center" wrapText="1"/>
    </xf>
    <xf numFmtId="49" fontId="2" fillId="0" borderId="36" xfId="2" applyNumberFormat="1" applyFont="1" applyFill="1" applyBorder="1" applyAlignment="1">
      <alignment horizontal="center" vertical="center"/>
    </xf>
    <xf numFmtId="0" fontId="2" fillId="0" borderId="36" xfId="0" applyFont="1" applyFill="1" applyBorder="1" applyAlignment="1">
      <alignment horizontal="center" vertical="center" shrinkToFit="1"/>
    </xf>
    <xf numFmtId="164" fontId="5" fillId="0" borderId="36" xfId="0" applyNumberFormat="1" applyFont="1" applyFill="1" applyBorder="1" applyAlignment="1">
      <alignment horizontal="center" vertical="center"/>
    </xf>
    <xf numFmtId="164" fontId="5" fillId="0" borderId="36" xfId="0" applyNumberFormat="1" applyFont="1" applyBorder="1" applyAlignment="1">
      <alignment horizontal="center" vertical="center"/>
    </xf>
    <xf numFmtId="1" fontId="43" fillId="10" borderId="36" xfId="0" applyNumberFormat="1" applyFont="1" applyFill="1" applyBorder="1" applyAlignment="1">
      <alignment horizontal="center" vertical="center"/>
    </xf>
    <xf numFmtId="1" fontId="2" fillId="0" borderId="36" xfId="0" applyNumberFormat="1" applyFont="1" applyBorder="1" applyAlignment="1">
      <alignment horizontal="center" vertical="center"/>
    </xf>
    <xf numFmtId="0" fontId="2" fillId="0" borderId="38" xfId="0" applyFont="1" applyFill="1" applyBorder="1" applyAlignment="1">
      <alignment horizontal="center" vertical="center"/>
    </xf>
    <xf numFmtId="1" fontId="2" fillId="0" borderId="92" xfId="0" applyNumberFormat="1" applyFont="1" applyFill="1" applyBorder="1" applyAlignment="1">
      <alignment horizontal="center" vertical="center"/>
    </xf>
    <xf numFmtId="164" fontId="2" fillId="0" borderId="89" xfId="0" applyNumberFormat="1" applyFont="1" applyFill="1" applyBorder="1" applyAlignment="1">
      <alignment horizontal="center" vertical="center"/>
    </xf>
    <xf numFmtId="164" fontId="5" fillId="0" borderId="89" xfId="0" applyNumberFormat="1" applyFont="1" applyFill="1" applyBorder="1" applyAlignment="1">
      <alignment horizontal="center" vertical="center"/>
    </xf>
    <xf numFmtId="0" fontId="2" fillId="0" borderId="104" xfId="0" applyFont="1" applyBorder="1" applyAlignment="1">
      <alignment horizontal="center" vertical="center"/>
    </xf>
    <xf numFmtId="0" fontId="2" fillId="0" borderId="68" xfId="0" applyFont="1" applyBorder="1" applyAlignment="1">
      <alignment horizontal="center" vertical="center"/>
    </xf>
    <xf numFmtId="0" fontId="2" fillId="0" borderId="68" xfId="0" quotePrefix="1" applyFont="1" applyBorder="1" applyAlignment="1">
      <alignment horizontal="center" vertical="center"/>
    </xf>
    <xf numFmtId="9" fontId="2" fillId="0" borderId="68" xfId="0" applyNumberFormat="1" applyFont="1" applyBorder="1" applyAlignment="1">
      <alignment horizontal="center" vertical="center"/>
    </xf>
    <xf numFmtId="164" fontId="2" fillId="0" borderId="68" xfId="0" applyNumberFormat="1" applyFont="1" applyFill="1" applyBorder="1" applyAlignment="1">
      <alignment horizontal="center" vertical="center"/>
    </xf>
    <xf numFmtId="164" fontId="2" fillId="0" borderId="69" xfId="0" applyNumberFormat="1" applyFont="1" applyFill="1" applyBorder="1" applyAlignment="1">
      <alignment horizontal="centerContinuous" vertical="center"/>
    </xf>
    <xf numFmtId="0" fontId="5" fillId="0" borderId="56" xfId="0" quotePrefix="1" applyFont="1" applyFill="1" applyBorder="1" applyAlignment="1">
      <alignment horizontal="centerContinuous" vertical="center"/>
    </xf>
    <xf numFmtId="0" fontId="2" fillId="0" borderId="105" xfId="0" applyFont="1" applyBorder="1" applyAlignment="1">
      <alignment horizontal="center" vertical="center"/>
    </xf>
    <xf numFmtId="0" fontId="5" fillId="0" borderId="71" xfId="0" applyFont="1" applyBorder="1" applyAlignment="1">
      <alignment horizontal="center" vertical="center"/>
    </xf>
    <xf numFmtId="0" fontId="2" fillId="0" borderId="71" xfId="0" applyFont="1" applyBorder="1" applyAlignment="1">
      <alignment horizontal="center" vertical="center"/>
    </xf>
    <xf numFmtId="164" fontId="2" fillId="0" borderId="70" xfId="0" applyNumberFormat="1" applyFont="1" applyBorder="1" applyAlignment="1">
      <alignment horizontal="centerContinuous" vertical="center"/>
    </xf>
    <xf numFmtId="0" fontId="5" fillId="0" borderId="74" xfId="0" applyFont="1" applyBorder="1" applyAlignment="1">
      <alignment horizontal="centerContinuous" vertical="center"/>
    </xf>
    <xf numFmtId="0" fontId="37" fillId="0" borderId="1" xfId="0" applyFont="1" applyFill="1" applyBorder="1" applyAlignment="1">
      <alignment vertical="center"/>
    </xf>
    <xf numFmtId="0" fontId="38" fillId="0" borderId="28" xfId="0" applyFont="1" applyFill="1" applyBorder="1" applyAlignment="1">
      <alignment vertical="center"/>
    </xf>
    <xf numFmtId="49" fontId="15" fillId="0" borderId="30" xfId="0" applyNumberFormat="1" applyFont="1" applyBorder="1" applyAlignment="1">
      <alignment horizontal="center" shrinkToFit="1"/>
    </xf>
    <xf numFmtId="0" fontId="12" fillId="11" borderId="1" xfId="0" applyFont="1" applyFill="1" applyBorder="1" applyAlignment="1">
      <alignment vertical="center"/>
    </xf>
    <xf numFmtId="0" fontId="7" fillId="11" borderId="21" xfId="0" applyNumberFormat="1" applyFont="1" applyFill="1" applyBorder="1" applyAlignment="1">
      <alignment horizontal="center" vertical="center"/>
    </xf>
    <xf numFmtId="49" fontId="23" fillId="11" borderId="21" xfId="0" applyNumberFormat="1" applyFont="1" applyFill="1" applyBorder="1" applyAlignment="1">
      <alignment horizontal="center" vertical="center"/>
    </xf>
    <xf numFmtId="0" fontId="23" fillId="11" borderId="22" xfId="0" applyNumberFormat="1" applyFont="1" applyFill="1" applyBorder="1" applyAlignment="1">
      <alignment horizontal="center" vertical="center"/>
    </xf>
    <xf numFmtId="0" fontId="12" fillId="11" borderId="22" xfId="0" applyNumberFormat="1" applyFont="1" applyFill="1" applyBorder="1" applyAlignment="1">
      <alignment horizontal="center" vertical="center"/>
    </xf>
    <xf numFmtId="49" fontId="7" fillId="11" borderId="22" xfId="0" applyNumberFormat="1" applyFont="1" applyFill="1" applyBorder="1" applyAlignment="1">
      <alignment horizontal="center" vertical="center"/>
    </xf>
    <xf numFmtId="0" fontId="7" fillId="11" borderId="23" xfId="0" quotePrefix="1" applyNumberFormat="1" applyFont="1" applyFill="1" applyBorder="1" applyAlignment="1">
      <alignment horizontal="center" vertical="center"/>
    </xf>
    <xf numFmtId="1" fontId="7" fillId="13" borderId="22" xfId="0" applyNumberFormat="1" applyFont="1" applyFill="1" applyBorder="1" applyAlignment="1">
      <alignment horizontal="center" vertical="center"/>
    </xf>
    <xf numFmtId="0" fontId="12" fillId="13" borderId="1" xfId="0" applyFont="1" applyFill="1" applyBorder="1" applyAlignment="1">
      <alignment vertical="center"/>
    </xf>
    <xf numFmtId="49" fontId="23" fillId="13" borderId="21" xfId="0" applyNumberFormat="1" applyFont="1" applyFill="1" applyBorder="1" applyAlignment="1">
      <alignment horizontal="center" vertical="center"/>
    </xf>
    <xf numFmtId="0" fontId="23" fillId="13" borderId="22" xfId="0" applyNumberFormat="1" applyFont="1" applyFill="1" applyBorder="1" applyAlignment="1">
      <alignment horizontal="center" vertical="center"/>
    </xf>
    <xf numFmtId="0" fontId="21" fillId="13" borderId="22" xfId="0" applyNumberFormat="1" applyFont="1" applyFill="1" applyBorder="1" applyAlignment="1">
      <alignment horizontal="center" vertical="center"/>
    </xf>
    <xf numFmtId="0" fontId="12" fillId="13" borderId="5" xfId="0" applyFont="1" applyFill="1" applyBorder="1" applyAlignment="1">
      <alignment vertical="center"/>
    </xf>
    <xf numFmtId="0" fontId="7" fillId="13" borderId="47" xfId="0" applyNumberFormat="1" applyFont="1" applyFill="1" applyBorder="1" applyAlignment="1">
      <alignment horizontal="center" vertical="center"/>
    </xf>
    <xf numFmtId="49" fontId="23" fillId="13" borderId="47" xfId="0" applyNumberFormat="1" applyFont="1" applyFill="1" applyBorder="1" applyAlignment="1">
      <alignment horizontal="center" vertical="center"/>
    </xf>
    <xf numFmtId="0" fontId="23" fillId="13" borderId="48" xfId="0" applyNumberFormat="1" applyFont="1" applyFill="1" applyBorder="1" applyAlignment="1">
      <alignment horizontal="center" vertical="center"/>
    </xf>
    <xf numFmtId="49" fontId="7" fillId="13" borderId="48" xfId="0" applyNumberFormat="1" applyFont="1" applyFill="1" applyBorder="1" applyAlignment="1">
      <alignment horizontal="center" vertical="center"/>
    </xf>
    <xf numFmtId="0" fontId="7" fillId="13" borderId="31" xfId="0" applyNumberFormat="1" applyFont="1" applyFill="1" applyBorder="1" applyAlignment="1">
      <alignment horizontal="center" vertical="center"/>
    </xf>
    <xf numFmtId="0" fontId="11" fillId="3" borderId="17" xfId="0" applyFont="1" applyFill="1" applyBorder="1" applyAlignment="1">
      <alignment horizontal="centerContinuous" vertical="center"/>
    </xf>
    <xf numFmtId="0" fontId="11" fillId="3" borderId="18" xfId="0" applyFont="1" applyFill="1" applyBorder="1" applyAlignment="1">
      <alignment horizontal="center" vertical="center"/>
    </xf>
    <xf numFmtId="0" fontId="11" fillId="3" borderId="18" xfId="0" applyNumberFormat="1" applyFont="1" applyFill="1" applyBorder="1" applyAlignment="1">
      <alignment horizontal="center" vertical="center"/>
    </xf>
    <xf numFmtId="0" fontId="41" fillId="10" borderId="33" xfId="0" applyNumberFormat="1" applyFont="1" applyFill="1" applyBorder="1" applyAlignment="1">
      <alignment horizontal="center" vertical="center"/>
    </xf>
    <xf numFmtId="0" fontId="11" fillId="3" borderId="34" xfId="0" applyNumberFormat="1" applyFont="1" applyFill="1" applyBorder="1" applyAlignment="1">
      <alignment horizontal="center" vertical="center"/>
    </xf>
    <xf numFmtId="0" fontId="11" fillId="3" borderId="66" xfId="0" applyFont="1" applyFill="1" applyBorder="1" applyAlignment="1">
      <alignment horizontal="center" vertical="center"/>
    </xf>
    <xf numFmtId="0" fontId="4" fillId="0" borderId="0" xfId="0" applyFont="1" applyBorder="1" applyAlignment="1">
      <alignment vertical="center"/>
    </xf>
    <xf numFmtId="49" fontId="7" fillId="0" borderId="46" xfId="0" applyNumberFormat="1" applyFont="1" applyFill="1" applyBorder="1" applyAlignment="1">
      <alignment horizontal="center" vertical="center"/>
    </xf>
    <xf numFmtId="49" fontId="7" fillId="13" borderId="21" xfId="0" applyNumberFormat="1" applyFont="1" applyFill="1" applyBorder="1" applyAlignment="1">
      <alignment horizontal="center" vertical="center"/>
    </xf>
    <xf numFmtId="2" fontId="2" fillId="0" borderId="32" xfId="0" applyNumberFormat="1" applyFont="1" applyBorder="1" applyAlignment="1">
      <alignment horizontal="center" vertical="center" shrinkToFit="1"/>
    </xf>
    <xf numFmtId="0" fontId="4" fillId="0" borderId="0" xfId="0" applyFont="1" applyAlignment="1">
      <alignment horizontal="right" vertical="center"/>
    </xf>
    <xf numFmtId="0" fontId="4" fillId="0" borderId="0" xfId="0" applyFont="1" applyAlignment="1">
      <alignment horizontal="center" vertical="center"/>
    </xf>
    <xf numFmtId="9" fontId="4" fillId="0" borderId="0" xfId="8"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9" fontId="2" fillId="0" borderId="0" xfId="8" applyAlignment="1">
      <alignment horizontal="center" vertical="center"/>
    </xf>
    <xf numFmtId="1" fontId="2" fillId="0" borderId="0" xfId="6" applyNumberFormat="1" applyAlignment="1">
      <alignment horizontal="center" vertical="center"/>
    </xf>
    <xf numFmtId="0" fontId="2" fillId="0" borderId="0" xfId="6" applyAlignment="1">
      <alignment vertical="center"/>
    </xf>
    <xf numFmtId="1" fontId="2" fillId="0" borderId="106" xfId="6" applyNumberFormat="1" applyBorder="1" applyAlignment="1">
      <alignment horizontal="center" vertical="center"/>
    </xf>
    <xf numFmtId="0" fontId="4" fillId="0" borderId="0" xfId="6" applyFont="1" applyAlignment="1">
      <alignment vertical="center"/>
    </xf>
    <xf numFmtId="1" fontId="4" fillId="0" borderId="0" xfId="6" applyNumberFormat="1" applyFont="1" applyAlignment="1">
      <alignment horizontal="center" vertical="center"/>
    </xf>
    <xf numFmtId="0" fontId="2" fillId="0" borderId="0" xfId="0" applyFont="1" applyAlignment="1">
      <alignment vertical="center"/>
    </xf>
    <xf numFmtId="0" fontId="0" fillId="0" borderId="0" xfId="0" applyAlignment="1">
      <alignment horizontal="center" vertical="center"/>
    </xf>
    <xf numFmtId="0" fontId="7" fillId="0" borderId="93" xfId="0" applyFont="1" applyBorder="1" applyAlignment="1">
      <alignment horizontal="centerContinuous" vertical="center"/>
    </xf>
    <xf numFmtId="0" fontId="14" fillId="0" borderId="0" xfId="0" applyFont="1" applyAlignment="1">
      <alignment horizontal="centerContinuous" vertical="center" wrapText="1"/>
    </xf>
    <xf numFmtId="0" fontId="11" fillId="9" borderId="107" xfId="0" applyFont="1" applyFill="1" applyBorder="1" applyAlignment="1">
      <alignment horizontal="centerContinuous" vertical="center" wrapText="1"/>
    </xf>
    <xf numFmtId="0" fontId="11" fillId="9" borderId="108" xfId="0" applyFont="1" applyFill="1" applyBorder="1" applyAlignment="1">
      <alignment horizontal="center" vertical="center" wrapText="1"/>
    </xf>
    <xf numFmtId="0" fontId="7" fillId="0" borderId="109" xfId="0" applyFont="1" applyBorder="1" applyAlignment="1">
      <alignment horizontal="center" vertical="center"/>
    </xf>
    <xf numFmtId="0" fontId="7" fillId="0" borderId="110" xfId="0" applyFont="1" applyBorder="1" applyAlignment="1">
      <alignment horizontal="center" vertical="center"/>
    </xf>
    <xf numFmtId="0" fontId="7" fillId="0" borderId="1" xfId="0" applyFont="1" applyBorder="1" applyAlignment="1">
      <alignment horizontal="center" vertical="center"/>
    </xf>
    <xf numFmtId="0" fontId="7" fillId="0" borderId="21" xfId="0" applyFont="1" applyBorder="1" applyAlignment="1">
      <alignment horizontal="center" vertical="center"/>
    </xf>
    <xf numFmtId="0" fontId="7" fillId="0" borderId="5" xfId="0" applyFont="1" applyBorder="1" applyAlignment="1">
      <alignment horizontal="center" vertical="center"/>
    </xf>
    <xf numFmtId="0" fontId="7" fillId="0" borderId="47" xfId="0" applyFont="1" applyBorder="1" applyAlignment="1">
      <alignment horizontal="center" vertical="center"/>
    </xf>
    <xf numFmtId="0" fontId="5" fillId="0" borderId="1" xfId="0" applyFont="1" applyBorder="1" applyAlignment="1">
      <alignment vertical="center" wrapText="1"/>
    </xf>
    <xf numFmtId="0" fontId="51" fillId="0" borderId="0" xfId="0" applyFont="1" applyBorder="1" applyAlignment="1">
      <alignment horizontal="centerContinuous" vertical="center" wrapText="1"/>
    </xf>
    <xf numFmtId="0" fontId="52" fillId="0" borderId="0" xfId="0" applyFont="1" applyAlignment="1">
      <alignment horizontal="centerContinuous"/>
    </xf>
    <xf numFmtId="1" fontId="2" fillId="0" borderId="42" xfId="0" applyNumberFormat="1" applyFont="1" applyBorder="1" applyAlignment="1">
      <alignment horizontal="center" vertical="center" shrinkToFit="1"/>
    </xf>
    <xf numFmtId="164" fontId="2" fillId="0" borderId="42" xfId="0" applyNumberFormat="1" applyFont="1" applyBorder="1" applyAlignment="1">
      <alignment horizontal="center" vertical="center" shrinkToFit="1"/>
    </xf>
    <xf numFmtId="0" fontId="2" fillId="0" borderId="43" xfId="0" applyFont="1" applyBorder="1" applyAlignment="1">
      <alignment horizontal="left" vertical="center"/>
    </xf>
    <xf numFmtId="0" fontId="2" fillId="0" borderId="44" xfId="0" applyFont="1" applyBorder="1" applyAlignment="1">
      <alignment horizontal="left" vertical="center" shrinkToFit="1"/>
    </xf>
    <xf numFmtId="9" fontId="2" fillId="0" borderId="0" xfId="2" applyFont="1" applyBorder="1" applyAlignment="1">
      <alignment horizontal="center" vertical="center"/>
    </xf>
    <xf numFmtId="164" fontId="2" fillId="0" borderId="0" xfId="0" applyNumberFormat="1" applyFont="1" applyAlignment="1">
      <alignment horizontal="center" vertical="center"/>
    </xf>
    <xf numFmtId="164" fontId="5" fillId="0" borderId="45" xfId="0" applyNumberFormat="1" applyFont="1" applyBorder="1" applyAlignment="1">
      <alignment horizontal="center" vertical="center" shrinkToFit="1"/>
    </xf>
    <xf numFmtId="0" fontId="5" fillId="0" borderId="45" xfId="0" applyFont="1" applyBorder="1" applyAlignment="1">
      <alignment horizontal="left" vertical="center"/>
    </xf>
    <xf numFmtId="0" fontId="5" fillId="0" borderId="111" xfId="0" applyFont="1" applyBorder="1" applyAlignment="1">
      <alignment horizontal="left" vertical="center" shrinkToFit="1"/>
    </xf>
    <xf numFmtId="0" fontId="5" fillId="0" borderId="45" xfId="0" applyFont="1" applyBorder="1" applyAlignment="1">
      <alignment horizontal="center" vertical="center" shrinkToFit="1"/>
    </xf>
    <xf numFmtId="0" fontId="5" fillId="0" borderId="36" xfId="0" applyFont="1" applyBorder="1" applyAlignment="1">
      <alignment horizontal="center" vertical="center" shrinkToFit="1"/>
    </xf>
    <xf numFmtId="1" fontId="2" fillId="11" borderId="0" xfId="0" applyNumberFormat="1" applyFont="1" applyFill="1" applyBorder="1" applyAlignment="1">
      <alignment horizontal="center" vertical="center"/>
    </xf>
    <xf numFmtId="0" fontId="2" fillId="0" borderId="37" xfId="0" applyFont="1" applyBorder="1" applyAlignment="1">
      <alignment horizontal="left" vertical="center"/>
    </xf>
    <xf numFmtId="9" fontId="2" fillId="0" borderId="71" xfId="0" applyNumberFormat="1" applyFont="1" applyBorder="1" applyAlignment="1">
      <alignment horizontal="center" vertical="center"/>
    </xf>
    <xf numFmtId="164" fontId="2" fillId="0" borderId="71" xfId="0" applyNumberFormat="1" applyFont="1" applyBorder="1" applyAlignment="1">
      <alignment horizontal="center" vertical="center"/>
    </xf>
    <xf numFmtId="165" fontId="2" fillId="0" borderId="0" xfId="0" applyNumberFormat="1" applyFont="1" applyAlignment="1">
      <alignment horizontal="center" vertical="center"/>
    </xf>
    <xf numFmtId="0" fontId="5" fillId="0" borderId="0" xfId="0" applyFont="1" applyBorder="1" applyAlignment="1">
      <alignment horizontal="center" vertical="center" wrapText="1"/>
    </xf>
    <xf numFmtId="0" fontId="2" fillId="0" borderId="75" xfId="0" applyFont="1" applyBorder="1" applyAlignment="1">
      <alignment horizontal="left" vertical="center"/>
    </xf>
    <xf numFmtId="0" fontId="2" fillId="0" borderId="89" xfId="0" applyNumberFormat="1" applyFont="1" applyFill="1" applyBorder="1" applyAlignment="1">
      <alignment horizontal="center" vertical="center"/>
    </xf>
    <xf numFmtId="0" fontId="2" fillId="0" borderId="42" xfId="0" applyNumberFormat="1" applyFont="1" applyBorder="1" applyAlignment="1">
      <alignment horizontal="center" vertical="center"/>
    </xf>
    <xf numFmtId="0" fontId="21" fillId="0" borderId="1" xfId="0" applyFont="1" applyFill="1" applyBorder="1" applyAlignment="1">
      <alignment vertical="center"/>
    </xf>
    <xf numFmtId="49" fontId="27" fillId="0" borderId="21" xfId="0" applyNumberFormat="1" applyFont="1" applyFill="1" applyBorder="1" applyAlignment="1">
      <alignment horizontal="center" vertical="center"/>
    </xf>
    <xf numFmtId="0" fontId="27" fillId="0" borderId="22" xfId="0" applyNumberFormat="1" applyFont="1" applyFill="1" applyBorder="1" applyAlignment="1">
      <alignment horizontal="center" vertical="center"/>
    </xf>
    <xf numFmtId="164" fontId="2" fillId="0" borderId="42" xfId="0" applyNumberFormat="1" applyFont="1" applyBorder="1" applyAlignment="1">
      <alignment horizontal="center" vertical="center"/>
    </xf>
    <xf numFmtId="0" fontId="2" fillId="0" borderId="88" xfId="0" applyFont="1" applyBorder="1" applyAlignment="1">
      <alignment horizontal="center" vertical="center" shrinkToFit="1"/>
    </xf>
    <xf numFmtId="164" fontId="2" fillId="0" borderId="36" xfId="0" applyNumberFormat="1" applyFont="1" applyFill="1" applyBorder="1" applyAlignment="1">
      <alignment horizontal="center" vertical="center"/>
    </xf>
    <xf numFmtId="1" fontId="2" fillId="0" borderId="36" xfId="0" applyNumberFormat="1" applyFont="1" applyFill="1" applyBorder="1" applyAlignment="1">
      <alignment horizontal="center" vertical="center"/>
    </xf>
    <xf numFmtId="0" fontId="5" fillId="0" borderId="0" xfId="0" applyFont="1" applyFill="1" applyBorder="1" applyAlignment="1">
      <alignment vertical="center"/>
    </xf>
    <xf numFmtId="0" fontId="11" fillId="9" borderId="112" xfId="0" applyFont="1" applyFill="1" applyBorder="1" applyAlignment="1">
      <alignment horizontal="center" vertical="center" wrapText="1"/>
    </xf>
    <xf numFmtId="49" fontId="7" fillId="0" borderId="113" xfId="0" applyNumberFormat="1" applyFont="1" applyBorder="1" applyAlignment="1">
      <alignment horizontal="center" vertical="center"/>
    </xf>
    <xf numFmtId="49" fontId="7" fillId="0" borderId="23" xfId="0" applyNumberFormat="1" applyFont="1" applyBorder="1" applyAlignment="1">
      <alignment horizontal="center" vertical="center"/>
    </xf>
    <xf numFmtId="49" fontId="7" fillId="0" borderId="31" xfId="0" applyNumberFormat="1" applyFont="1" applyBorder="1" applyAlignment="1">
      <alignment horizontal="center" vertical="center"/>
    </xf>
    <xf numFmtId="49" fontId="2" fillId="0" borderId="70" xfId="0" applyNumberFormat="1" applyFont="1" applyFill="1" applyBorder="1" applyAlignment="1">
      <alignment horizontal="center" vertical="center"/>
    </xf>
    <xf numFmtId="0" fontId="2" fillId="0" borderId="36" xfId="0" applyNumberFormat="1" applyFont="1" applyFill="1" applyBorder="1" applyAlignment="1">
      <alignment horizontal="center" vertical="center"/>
    </xf>
    <xf numFmtId="0" fontId="5" fillId="0" borderId="38" xfId="0" applyFont="1" applyFill="1" applyBorder="1" applyAlignment="1">
      <alignment horizontal="center" vertical="center"/>
    </xf>
    <xf numFmtId="1" fontId="2" fillId="0" borderId="32" xfId="0" applyNumberFormat="1" applyFont="1" applyFill="1" applyBorder="1" applyAlignment="1">
      <alignment horizontal="center" vertical="center"/>
    </xf>
    <xf numFmtId="0" fontId="2" fillId="0" borderId="59" xfId="0" applyFont="1" applyFill="1" applyBorder="1" applyAlignment="1">
      <alignment horizontal="center" vertical="center"/>
    </xf>
    <xf numFmtId="0" fontId="2" fillId="0" borderId="45" xfId="0" quotePrefix="1" applyFont="1" applyFill="1" applyBorder="1" applyAlignment="1">
      <alignment horizontal="center" vertical="center" wrapText="1"/>
    </xf>
    <xf numFmtId="49" fontId="2" fillId="0" borderId="45" xfId="2" applyNumberFormat="1" applyFont="1" applyFill="1" applyBorder="1" applyAlignment="1">
      <alignment horizontal="center" vertical="center"/>
    </xf>
    <xf numFmtId="0" fontId="2" fillId="0" borderId="45" xfId="0" applyFont="1" applyFill="1" applyBorder="1" applyAlignment="1">
      <alignment horizontal="center" vertical="center" shrinkToFit="1"/>
    </xf>
    <xf numFmtId="164" fontId="2" fillId="0" borderId="45" xfId="0" applyNumberFormat="1" applyFont="1" applyFill="1" applyBorder="1" applyAlignment="1">
      <alignment horizontal="center" vertical="center"/>
    </xf>
    <xf numFmtId="164" fontId="5" fillId="0" borderId="45" xfId="0" applyNumberFormat="1" applyFont="1" applyFill="1" applyBorder="1" applyAlignment="1">
      <alignment horizontal="center" vertical="center"/>
    </xf>
    <xf numFmtId="1" fontId="2" fillId="0" borderId="45" xfId="0" applyNumberFormat="1" applyFont="1" applyFill="1" applyBorder="1" applyAlignment="1">
      <alignment horizontal="center" vertical="center"/>
    </xf>
    <xf numFmtId="0" fontId="2" fillId="0" borderId="111" xfId="0" applyFont="1" applyFill="1" applyBorder="1" applyAlignment="1">
      <alignment horizontal="center" vertical="center"/>
    </xf>
    <xf numFmtId="0" fontId="2" fillId="15" borderId="36" xfId="2" applyNumberFormat="1" applyFont="1" applyFill="1" applyBorder="1" applyAlignment="1">
      <alignment horizontal="center" vertical="center"/>
    </xf>
    <xf numFmtId="0" fontId="2" fillId="15" borderId="42" xfId="0" applyNumberFormat="1" applyFont="1" applyFill="1" applyBorder="1" applyAlignment="1">
      <alignment horizontal="center" vertical="center"/>
    </xf>
    <xf numFmtId="0" fontId="5" fillId="0" borderId="89" xfId="0" applyFont="1" applyBorder="1" applyAlignment="1">
      <alignment horizontal="center" vertical="center" shrinkToFit="1"/>
    </xf>
    <xf numFmtId="164" fontId="5" fillId="0" borderId="89" xfId="0" applyNumberFormat="1" applyFont="1" applyBorder="1" applyAlignment="1">
      <alignment horizontal="center" vertical="center" shrinkToFit="1"/>
    </xf>
    <xf numFmtId="0" fontId="5" fillId="0" borderId="89" xfId="0" applyFont="1" applyBorder="1" applyAlignment="1">
      <alignment horizontal="left" vertical="center"/>
    </xf>
    <xf numFmtId="0" fontId="5" fillId="0" borderId="90" xfId="0" applyFont="1" applyBorder="1" applyAlignment="1">
      <alignment horizontal="left" vertical="center" shrinkToFit="1"/>
    </xf>
    <xf numFmtId="0" fontId="7" fillId="0" borderId="32" xfId="0" applyFont="1" applyBorder="1" applyAlignment="1">
      <alignment horizontal="centerContinuous" vertical="center"/>
    </xf>
    <xf numFmtId="0" fontId="7" fillId="0" borderId="32" xfId="0" applyFont="1" applyBorder="1" applyAlignment="1">
      <alignment horizontal="centerContinuous"/>
    </xf>
    <xf numFmtId="0" fontId="7" fillId="0" borderId="51" xfId="0" applyFont="1" applyFill="1" applyBorder="1" applyAlignment="1">
      <alignment horizontal="centerContinuous" vertical="center"/>
    </xf>
    <xf numFmtId="0" fontId="7" fillId="0" borderId="32" xfId="0" applyFont="1" applyFill="1" applyBorder="1" applyAlignment="1">
      <alignment horizontal="center" vertical="center" shrinkToFit="1"/>
    </xf>
    <xf numFmtId="0" fontId="7" fillId="0" borderId="51" xfId="0" quotePrefix="1" applyFont="1" applyFill="1" applyBorder="1" applyAlignment="1">
      <alignment horizontal="centerContinuous" vertical="center" shrinkToFit="1"/>
    </xf>
    <xf numFmtId="0" fontId="13" fillId="6" borderId="22" xfId="0" applyNumberFormat="1" applyFont="1" applyFill="1" applyBorder="1" applyAlignment="1">
      <alignment horizontal="center" vertical="center"/>
    </xf>
    <xf numFmtId="0" fontId="2" fillId="0" borderId="114" xfId="0" applyFont="1" applyBorder="1" applyAlignment="1">
      <alignment horizontal="center" vertical="center"/>
    </xf>
    <xf numFmtId="0" fontId="2" fillId="0" borderId="115" xfId="0" applyFont="1" applyBorder="1" applyAlignment="1">
      <alignment horizontal="center" vertical="center"/>
    </xf>
    <xf numFmtId="0" fontId="2" fillId="0" borderId="115" xfId="0" quotePrefix="1" applyFont="1" applyBorder="1" applyAlignment="1">
      <alignment horizontal="center" vertical="center"/>
    </xf>
    <xf numFmtId="9" fontId="2" fillId="0" borderId="115" xfId="0" applyNumberFormat="1" applyFont="1" applyBorder="1" applyAlignment="1">
      <alignment horizontal="center" vertical="center"/>
    </xf>
    <xf numFmtId="164" fontId="2" fillId="0" borderId="115" xfId="0" applyNumberFormat="1" applyFont="1" applyFill="1" applyBorder="1" applyAlignment="1">
      <alignment horizontal="center" vertical="center"/>
    </xf>
    <xf numFmtId="164" fontId="2" fillId="0" borderId="116" xfId="0" applyNumberFormat="1" applyFont="1" applyFill="1" applyBorder="1" applyAlignment="1">
      <alignment horizontal="centerContinuous" vertical="center"/>
    </xf>
    <xf numFmtId="164" fontId="5" fillId="0" borderId="82" xfId="0" applyNumberFormat="1" applyFont="1" applyFill="1" applyBorder="1" applyAlignment="1">
      <alignment horizontal="centerContinuous" vertical="center"/>
    </xf>
    <xf numFmtId="0" fontId="5" fillId="0" borderId="84" xfId="0" quotePrefix="1" applyFont="1" applyFill="1" applyBorder="1" applyAlignment="1">
      <alignment horizontal="centerContinuous" vertical="center"/>
    </xf>
    <xf numFmtId="164" fontId="2" fillId="0" borderId="75" xfId="0" applyNumberFormat="1" applyFont="1" applyBorder="1" applyAlignment="1">
      <alignment horizontal="center" vertical="center" shrinkToFit="1"/>
    </xf>
    <xf numFmtId="1" fontId="7" fillId="16" borderId="21" xfId="0" applyNumberFormat="1" applyFont="1" applyFill="1" applyBorder="1" applyAlignment="1">
      <alignment horizontal="center" vertical="center"/>
    </xf>
    <xf numFmtId="1" fontId="7" fillId="16" borderId="46" xfId="0" applyNumberFormat="1" applyFont="1" applyFill="1" applyBorder="1" applyAlignment="1">
      <alignment horizontal="center" vertical="center"/>
    </xf>
    <xf numFmtId="0" fontId="7" fillId="0" borderId="2" xfId="0" quotePrefix="1" applyFont="1" applyFill="1" applyBorder="1" applyAlignment="1">
      <alignment horizontal="center" vertical="center"/>
    </xf>
    <xf numFmtId="0" fontId="7" fillId="5" borderId="23" xfId="0" quotePrefix="1" applyNumberFormat="1" applyFont="1" applyFill="1" applyBorder="1" applyAlignment="1">
      <alignment horizontal="center" vertical="center"/>
    </xf>
    <xf numFmtId="0" fontId="2" fillId="0" borderId="0" xfId="0" applyFont="1" applyBorder="1" applyAlignment="1">
      <alignment horizontal="center" vertical="center"/>
    </xf>
    <xf numFmtId="0" fontId="7" fillId="0" borderId="23" xfId="0" quotePrefix="1" applyFont="1" applyFill="1" applyBorder="1" applyAlignment="1">
      <alignment horizontal="center" vertical="center"/>
    </xf>
    <xf numFmtId="1" fontId="7" fillId="0" borderId="21" xfId="0" applyNumberFormat="1" applyFont="1" applyFill="1" applyBorder="1" applyAlignment="1">
      <alignment horizontal="center" vertical="center"/>
    </xf>
    <xf numFmtId="1" fontId="7" fillId="0" borderId="46" xfId="0" applyNumberFormat="1" applyFont="1" applyFill="1" applyBorder="1" applyAlignment="1">
      <alignment horizontal="center" vertical="center"/>
    </xf>
    <xf numFmtId="0" fontId="54" fillId="0" borderId="27" xfId="0" applyFont="1" applyBorder="1" applyAlignment="1">
      <alignment horizontal="centerContinuous" vertical="center"/>
    </xf>
    <xf numFmtId="0" fontId="7" fillId="0" borderId="85" xfId="0" applyFont="1" applyBorder="1" applyAlignment="1">
      <alignment horizontal="centerContinuous" vertical="center"/>
    </xf>
    <xf numFmtId="0" fontId="7" fillId="0" borderId="85" xfId="0" applyFont="1" applyFill="1" applyBorder="1" applyAlignment="1">
      <alignment horizontal="center" vertical="center" shrinkToFit="1"/>
    </xf>
    <xf numFmtId="0" fontId="2" fillId="0" borderId="118" xfId="0" applyFont="1" applyFill="1" applyBorder="1" applyAlignment="1">
      <alignment horizontal="center" vertical="center"/>
    </xf>
    <xf numFmtId="0" fontId="2" fillId="0" borderId="119" xfId="0" applyFont="1" applyFill="1" applyBorder="1" applyAlignment="1">
      <alignment horizontal="center" vertical="center"/>
    </xf>
    <xf numFmtId="49" fontId="2" fillId="0" borderId="119" xfId="2" applyNumberFormat="1" applyFont="1" applyFill="1" applyBorder="1" applyAlignment="1">
      <alignment horizontal="center" vertical="center"/>
    </xf>
    <xf numFmtId="0" fontId="2" fillId="0" borderId="119" xfId="0" applyFont="1" applyBorder="1" applyAlignment="1">
      <alignment horizontal="center" vertical="center"/>
    </xf>
    <xf numFmtId="164" fontId="2" fillId="0" borderId="119" xfId="0" applyNumberFormat="1" applyFont="1" applyFill="1" applyBorder="1" applyAlignment="1">
      <alignment horizontal="center" vertical="center"/>
    </xf>
    <xf numFmtId="164" fontId="5" fillId="0" borderId="119" xfId="0" applyNumberFormat="1" applyFont="1" applyFill="1" applyBorder="1" applyAlignment="1">
      <alignment horizontal="center" vertical="center"/>
    </xf>
    <xf numFmtId="1" fontId="43" fillId="10" borderId="119" xfId="0" applyNumberFormat="1" applyFont="1" applyFill="1" applyBorder="1" applyAlignment="1">
      <alignment horizontal="center" vertical="center"/>
    </xf>
    <xf numFmtId="1" fontId="2" fillId="0" borderId="119" xfId="0" applyNumberFormat="1" applyFont="1" applyBorder="1" applyAlignment="1">
      <alignment horizontal="center" vertical="center"/>
    </xf>
    <xf numFmtId="0" fontId="2" fillId="0" borderId="120" xfId="0" applyFont="1" applyFill="1" applyBorder="1" applyAlignment="1">
      <alignment horizontal="center" vertical="center"/>
    </xf>
    <xf numFmtId="0" fontId="2" fillId="0" borderId="121" xfId="0" applyFont="1" applyFill="1" applyBorder="1" applyAlignment="1">
      <alignment horizontal="center" vertical="center"/>
    </xf>
    <xf numFmtId="0" fontId="2" fillId="0" borderId="122" xfId="0" applyFont="1" applyFill="1" applyBorder="1" applyAlignment="1">
      <alignment horizontal="center" vertical="center"/>
    </xf>
    <xf numFmtId="0" fontId="2" fillId="0" borderId="122" xfId="0" quotePrefix="1" applyFont="1" applyFill="1" applyBorder="1" applyAlignment="1">
      <alignment horizontal="center" vertical="center" wrapText="1"/>
    </xf>
    <xf numFmtId="49" fontId="2" fillId="0" borderId="122" xfId="2" applyNumberFormat="1" applyFont="1" applyFill="1" applyBorder="1" applyAlignment="1">
      <alignment horizontal="center" vertical="center"/>
    </xf>
    <xf numFmtId="0" fontId="2" fillId="0" borderId="122" xfId="0" applyFont="1" applyFill="1" applyBorder="1" applyAlignment="1">
      <alignment horizontal="center" vertical="center" shrinkToFit="1"/>
    </xf>
    <xf numFmtId="164" fontId="5" fillId="0" borderId="122" xfId="0" applyNumberFormat="1" applyFont="1" applyFill="1" applyBorder="1" applyAlignment="1">
      <alignment horizontal="center" vertical="center"/>
    </xf>
    <xf numFmtId="164" fontId="5" fillId="0" borderId="122" xfId="0" applyNumberFormat="1" applyFont="1" applyBorder="1" applyAlignment="1">
      <alignment horizontal="center" vertical="center"/>
    </xf>
    <xf numFmtId="1" fontId="43" fillId="10" borderId="122" xfId="0" applyNumberFormat="1" applyFont="1" applyFill="1" applyBorder="1" applyAlignment="1">
      <alignment horizontal="center" vertical="center"/>
    </xf>
    <xf numFmtId="1" fontId="2" fillId="0" borderId="122" xfId="0" applyNumberFormat="1" applyFont="1" applyBorder="1" applyAlignment="1">
      <alignment horizontal="center" vertical="center"/>
    </xf>
    <xf numFmtId="0" fontId="2" fillId="0" borderId="123" xfId="0" applyFont="1" applyFill="1" applyBorder="1" applyAlignment="1">
      <alignment horizontal="center" vertical="center"/>
    </xf>
    <xf numFmtId="0" fontId="2" fillId="0" borderId="89" xfId="0" quotePrefix="1" applyFont="1" applyFill="1" applyBorder="1" applyAlignment="1">
      <alignment horizontal="center" vertical="center" wrapText="1"/>
    </xf>
    <xf numFmtId="49" fontId="2" fillId="0" borderId="89" xfId="2" applyNumberFormat="1" applyFont="1" applyFill="1" applyBorder="1" applyAlignment="1">
      <alignment horizontal="center" vertical="center"/>
    </xf>
    <xf numFmtId="0" fontId="2" fillId="0" borderId="89" xfId="0" applyFont="1" applyFill="1" applyBorder="1" applyAlignment="1">
      <alignment horizontal="center" vertical="center" shrinkToFit="1"/>
    </xf>
    <xf numFmtId="164" fontId="5" fillId="0" borderId="89" xfId="0" applyNumberFormat="1" applyFont="1" applyBorder="1" applyAlignment="1">
      <alignment horizontal="center" vertical="center"/>
    </xf>
    <xf numFmtId="1" fontId="43" fillId="10" borderId="89" xfId="0" applyNumberFormat="1" applyFont="1" applyFill="1" applyBorder="1" applyAlignment="1">
      <alignment horizontal="center" vertical="center"/>
    </xf>
    <xf numFmtId="1" fontId="2" fillId="0" borderId="89" xfId="0" applyNumberFormat="1" applyFont="1" applyBorder="1" applyAlignment="1">
      <alignment horizontal="center" vertical="center"/>
    </xf>
    <xf numFmtId="0" fontId="2" fillId="0" borderId="90" xfId="0" applyFont="1" applyFill="1" applyBorder="1" applyAlignment="1">
      <alignment horizontal="center" vertical="center"/>
    </xf>
    <xf numFmtId="164" fontId="2" fillId="0" borderId="122" xfId="0" applyNumberFormat="1" applyFont="1" applyFill="1" applyBorder="1" applyAlignment="1">
      <alignment horizontal="center" vertical="center"/>
    </xf>
    <xf numFmtId="1" fontId="2" fillId="0" borderId="122" xfId="0" applyNumberFormat="1" applyFont="1" applyFill="1" applyBorder="1" applyAlignment="1">
      <alignment horizontal="center" vertical="center"/>
    </xf>
    <xf numFmtId="1" fontId="2" fillId="0" borderId="117" xfId="0" applyNumberFormat="1" applyFont="1" applyFill="1" applyBorder="1" applyAlignment="1">
      <alignment horizontal="center" vertical="center"/>
    </xf>
    <xf numFmtId="1" fontId="2" fillId="11" borderId="99" xfId="0" applyNumberFormat="1" applyFont="1" applyFill="1" applyBorder="1" applyAlignment="1">
      <alignment horizontal="center" vertical="center"/>
    </xf>
    <xf numFmtId="49" fontId="2" fillId="0" borderId="69" xfId="0" applyNumberFormat="1" applyFont="1" applyFill="1" applyBorder="1" applyAlignment="1">
      <alignment horizontal="centerContinuous" vertical="center"/>
    </xf>
    <xf numFmtId="0" fontId="5" fillId="0" borderId="56" xfId="0" applyFont="1" applyFill="1" applyBorder="1" applyAlignment="1">
      <alignment horizontal="centerContinuous" vertical="center"/>
    </xf>
    <xf numFmtId="49" fontId="2" fillId="0" borderId="70" xfId="0" applyNumberFormat="1" applyFont="1" applyFill="1" applyBorder="1" applyAlignment="1">
      <alignment horizontal="centerContinuous" vertical="center"/>
    </xf>
    <xf numFmtId="0" fontId="5" fillId="0" borderId="74" xfId="0" applyFont="1" applyFill="1" applyBorder="1" applyAlignment="1">
      <alignment horizontal="centerContinuous" vertical="center"/>
    </xf>
    <xf numFmtId="165" fontId="2" fillId="0" borderId="0" xfId="0" applyNumberFormat="1" applyFont="1" applyAlignment="1">
      <alignment vertical="center"/>
    </xf>
    <xf numFmtId="0" fontId="2" fillId="0" borderId="89" xfId="0" applyFont="1" applyBorder="1" applyAlignment="1">
      <alignment horizontal="left" vertical="center"/>
    </xf>
    <xf numFmtId="1" fontId="6" fillId="17" borderId="24" xfId="0" applyNumberFormat="1" applyFont="1" applyFill="1" applyBorder="1" applyAlignment="1">
      <alignment horizontal="center" vertical="center"/>
    </xf>
    <xf numFmtId="0" fontId="2" fillId="15" borderId="87" xfId="0" applyFont="1" applyFill="1" applyBorder="1" applyAlignment="1">
      <alignment horizontal="centerContinuous" vertical="center"/>
    </xf>
    <xf numFmtId="0" fontId="7" fillId="0" borderId="9" xfId="0" applyFont="1" applyFill="1" applyBorder="1" applyAlignment="1">
      <alignment horizontal="center" vertical="center"/>
    </xf>
    <xf numFmtId="0" fontId="7" fillId="14" borderId="23" xfId="0" quotePrefix="1" applyNumberFormat="1" applyFont="1" applyFill="1" applyBorder="1" applyAlignment="1">
      <alignment horizontal="center" vertical="center"/>
    </xf>
    <xf numFmtId="0" fontId="2" fillId="0" borderId="124" xfId="0" applyFont="1" applyBorder="1" applyAlignment="1">
      <alignment horizontal="center" vertical="center" shrinkToFit="1"/>
    </xf>
    <xf numFmtId="1" fontId="2" fillId="0" borderId="75" xfId="0" applyNumberFormat="1" applyFont="1" applyBorder="1" applyAlignment="1">
      <alignment horizontal="center" vertical="center" shrinkToFit="1"/>
    </xf>
    <xf numFmtId="0" fontId="2" fillId="0" borderId="39" xfId="0" applyFont="1" applyBorder="1" applyAlignment="1">
      <alignment horizontal="left" vertical="center"/>
    </xf>
    <xf numFmtId="0" fontId="2" fillId="0" borderId="40" xfId="0" applyFont="1" applyBorder="1" applyAlignment="1">
      <alignment horizontal="left" vertical="center" shrinkToFit="1"/>
    </xf>
    <xf numFmtId="0" fontId="7" fillId="15" borderId="50" xfId="0" applyFont="1" applyFill="1" applyBorder="1" applyAlignment="1">
      <alignment horizontal="centerContinuous" vertical="center"/>
    </xf>
    <xf numFmtId="0" fontId="55" fillId="2" borderId="4" xfId="0" applyFont="1" applyFill="1" applyBorder="1" applyAlignment="1">
      <alignment horizontal="right" vertical="center"/>
    </xf>
  </cellXfs>
  <cellStyles count="11">
    <cellStyle name="Excel Built-in Normal" xfId="4" xr:uid="{00000000-0005-0000-0000-000000000000}"/>
    <cellStyle name="Hyperlink" xfId="1" builtinId="8"/>
    <cellStyle name="Normal" xfId="0" builtinId="0"/>
    <cellStyle name="Normal 2" xfId="5" xr:uid="{00000000-0005-0000-0000-000003000000}"/>
    <cellStyle name="Normal 2 2" xfId="6" xr:uid="{00000000-0005-0000-0000-000004000000}"/>
    <cellStyle name="Normal 3" xfId="9" xr:uid="{00000000-0005-0000-0000-000005000000}"/>
    <cellStyle name="Normal 4" xfId="3" xr:uid="{00000000-0005-0000-0000-000006000000}"/>
    <cellStyle name="Normal 5" xfId="10" xr:uid="{00000000-0005-0000-0000-000007000000}"/>
    <cellStyle name="Percent" xfId="2" builtinId="5"/>
    <cellStyle name="Percent 2" xfId="7" xr:uid="{00000000-0005-0000-0000-000009000000}"/>
    <cellStyle name="Percent 2 2" xfId="8" xr:uid="{00000000-0005-0000-0000-00000A000000}"/>
  </cellStyles>
  <dxfs count="84">
    <dxf>
      <fill>
        <patternFill>
          <bgColor rgb="FFFF0000"/>
        </patternFill>
      </fill>
    </dxf>
    <dxf>
      <font>
        <b val="0"/>
        <i/>
        <color auto="1"/>
      </font>
      <fill>
        <patternFill>
          <bgColor theme="0" tint="-0.24994659260841701"/>
        </patternFill>
      </fill>
    </dxf>
    <dxf>
      <font>
        <b/>
        <i val="0"/>
      </font>
      <fill>
        <patternFill>
          <bgColor rgb="FF00FF00"/>
        </patternFill>
      </fill>
    </dxf>
    <dxf>
      <font>
        <b/>
        <i/>
        <color theme="1"/>
      </font>
      <fill>
        <patternFill>
          <bgColor rgb="FF00FF00"/>
        </patternFill>
      </fill>
    </dxf>
    <dxf>
      <font>
        <b val="0"/>
        <i/>
        <color auto="1"/>
      </font>
      <fill>
        <patternFill>
          <bgColor theme="0" tint="-0.24994659260841701"/>
        </patternFill>
      </fill>
    </dxf>
    <dxf>
      <font>
        <b val="0"/>
        <i/>
        <color auto="1"/>
      </font>
      <fill>
        <patternFill>
          <bgColor theme="0" tint="-0.24994659260841701"/>
        </patternFill>
      </fill>
    </dxf>
    <dxf>
      <font>
        <b/>
        <i val="0"/>
      </font>
      <fill>
        <patternFill>
          <bgColor rgb="FF00FF00"/>
        </patternFill>
      </fill>
    </dxf>
    <dxf>
      <font>
        <b/>
        <i/>
        <color theme="1"/>
      </font>
      <fill>
        <patternFill>
          <bgColor rgb="FF00FF00"/>
        </patternFill>
      </fill>
    </dxf>
    <dxf>
      <font>
        <b val="0"/>
        <i/>
        <color auto="1"/>
      </font>
      <fill>
        <patternFill>
          <bgColor theme="0" tint="-0.24994659260841701"/>
        </patternFill>
      </fill>
    </dxf>
    <dxf>
      <font>
        <b/>
        <i/>
        <color theme="1"/>
      </font>
      <fill>
        <patternFill>
          <bgColor rgb="FF00FF00"/>
        </patternFill>
      </fill>
    </dxf>
    <dxf>
      <font>
        <b val="0"/>
        <i/>
        <color auto="1"/>
      </font>
      <fill>
        <patternFill>
          <bgColor theme="0" tint="-0.24994659260841701"/>
        </patternFill>
      </fill>
    </dxf>
    <dxf>
      <font>
        <b/>
        <i/>
        <color theme="1"/>
      </font>
      <fill>
        <patternFill>
          <bgColor rgb="FF00FF00"/>
        </patternFill>
      </fill>
    </dxf>
    <dxf>
      <font>
        <b val="0"/>
        <i/>
        <color auto="1"/>
      </font>
      <fill>
        <patternFill>
          <bgColor theme="0" tint="-0.24994659260841701"/>
        </patternFill>
      </fill>
    </dxf>
    <dxf>
      <font>
        <b/>
        <i/>
        <color theme="1"/>
      </font>
      <fill>
        <patternFill>
          <bgColor rgb="FF00FF00"/>
        </patternFill>
      </fill>
    </dxf>
    <dxf>
      <font>
        <b val="0"/>
        <i/>
        <color auto="1"/>
      </font>
      <fill>
        <patternFill>
          <bgColor theme="0" tint="-0.24994659260841701"/>
        </patternFill>
      </fill>
    </dxf>
    <dxf>
      <font>
        <b/>
        <i/>
        <color theme="1"/>
      </font>
      <fill>
        <patternFill>
          <bgColor rgb="FF00FF00"/>
        </patternFill>
      </fill>
    </dxf>
    <dxf>
      <font>
        <b val="0"/>
        <i/>
        <color auto="1"/>
      </font>
      <fill>
        <patternFill>
          <bgColor theme="0" tint="-0.24994659260841701"/>
        </patternFill>
      </fill>
    </dxf>
    <dxf>
      <font>
        <b/>
        <i/>
        <color theme="1"/>
      </font>
      <fill>
        <patternFill>
          <bgColor rgb="FF00FF00"/>
        </patternFill>
      </fill>
    </dxf>
    <dxf>
      <font>
        <b val="0"/>
        <i/>
        <color auto="1"/>
      </font>
      <fill>
        <patternFill>
          <bgColor theme="0" tint="-0.24994659260841701"/>
        </patternFill>
      </fill>
    </dxf>
    <dxf>
      <font>
        <b/>
        <i/>
        <color theme="1"/>
      </font>
      <fill>
        <patternFill>
          <bgColor rgb="FF00FF00"/>
        </patternFill>
      </fill>
    </dxf>
    <dxf>
      <font>
        <b val="0"/>
        <i/>
        <color auto="1"/>
      </font>
      <fill>
        <patternFill>
          <bgColor theme="0" tint="-0.24994659260841701"/>
        </patternFill>
      </fill>
    </dxf>
    <dxf>
      <font>
        <b/>
        <i/>
        <color theme="1"/>
      </font>
      <fill>
        <patternFill>
          <bgColor rgb="FF00FF00"/>
        </patternFill>
      </fill>
    </dxf>
    <dxf>
      <font>
        <b val="0"/>
        <i/>
        <color auto="1"/>
      </font>
      <fill>
        <patternFill>
          <bgColor theme="0" tint="-0.24994659260841701"/>
        </patternFill>
      </fill>
    </dxf>
    <dxf>
      <font>
        <b/>
        <i/>
        <color theme="1"/>
      </font>
      <fill>
        <patternFill>
          <bgColor rgb="FF00FF00"/>
        </patternFill>
      </fill>
    </dxf>
    <dxf>
      <font>
        <b val="0"/>
        <i/>
        <color auto="1"/>
      </font>
      <fill>
        <patternFill>
          <bgColor theme="0" tint="-0.24994659260841701"/>
        </patternFill>
      </fill>
    </dxf>
    <dxf>
      <font>
        <b/>
        <i/>
        <color theme="1"/>
      </font>
      <fill>
        <patternFill>
          <bgColor rgb="FF00FF00"/>
        </patternFill>
      </fill>
    </dxf>
    <dxf>
      <font>
        <b val="0"/>
        <i/>
        <color auto="1"/>
      </font>
      <fill>
        <patternFill>
          <bgColor theme="0" tint="-0.24994659260841701"/>
        </patternFill>
      </fill>
    </dxf>
    <dxf>
      <font>
        <b/>
        <i/>
        <color theme="1"/>
      </font>
      <fill>
        <patternFill>
          <bgColor rgb="FF00FF00"/>
        </patternFill>
      </fill>
    </dxf>
    <dxf>
      <font>
        <b val="0"/>
        <i/>
        <color auto="1"/>
      </font>
      <fill>
        <patternFill>
          <bgColor theme="0" tint="-0.24994659260841701"/>
        </patternFill>
      </fill>
    </dxf>
    <dxf>
      <font>
        <b/>
        <i/>
        <color theme="1"/>
      </font>
      <fill>
        <patternFill>
          <bgColor rgb="FF00FF00"/>
        </patternFill>
      </fill>
    </dxf>
    <dxf>
      <font>
        <b val="0"/>
        <i/>
        <color auto="1"/>
      </font>
      <fill>
        <patternFill>
          <bgColor theme="0" tint="-0.24994659260841701"/>
        </patternFill>
      </fill>
    </dxf>
    <dxf>
      <font>
        <b/>
        <i/>
        <color theme="1"/>
      </font>
      <fill>
        <patternFill>
          <bgColor rgb="FF00FF00"/>
        </patternFill>
      </fill>
    </dxf>
    <dxf>
      <font>
        <b val="0"/>
        <i/>
        <color auto="1"/>
      </font>
      <fill>
        <patternFill>
          <bgColor theme="0" tint="-0.24994659260841701"/>
        </patternFill>
      </fill>
    </dxf>
    <dxf>
      <font>
        <b val="0"/>
        <i/>
        <color auto="1"/>
      </font>
      <fill>
        <patternFill>
          <bgColor theme="0" tint="-0.24994659260841701"/>
        </patternFill>
      </fill>
    </dxf>
    <dxf>
      <font>
        <b/>
        <i val="0"/>
      </font>
      <fill>
        <patternFill>
          <bgColor rgb="FF00FF00"/>
        </patternFill>
      </fill>
    </dxf>
    <dxf>
      <font>
        <b/>
        <i/>
        <color theme="1"/>
      </font>
      <fill>
        <patternFill>
          <bgColor rgb="FF00FF00"/>
        </patternFill>
      </fill>
    </dxf>
    <dxf>
      <font>
        <b val="0"/>
        <i/>
        <color auto="1"/>
      </font>
      <fill>
        <patternFill>
          <bgColor theme="0" tint="-0.24994659260841701"/>
        </patternFill>
      </fill>
    </dxf>
    <dxf>
      <font>
        <b val="0"/>
        <i/>
        <color auto="1"/>
      </font>
      <fill>
        <patternFill>
          <bgColor theme="0" tint="-0.24994659260841701"/>
        </patternFill>
      </fill>
    </dxf>
    <dxf>
      <font>
        <b/>
        <i val="0"/>
      </font>
      <fill>
        <patternFill>
          <bgColor rgb="FF00FF00"/>
        </patternFill>
      </fill>
    </dxf>
    <dxf>
      <font>
        <b/>
        <i/>
        <color theme="1"/>
      </font>
      <fill>
        <patternFill>
          <bgColor rgb="FF00FF00"/>
        </patternFill>
      </fill>
    </dxf>
    <dxf>
      <font>
        <b val="0"/>
        <i/>
        <color auto="1"/>
      </font>
      <fill>
        <patternFill>
          <bgColor theme="0" tint="-0.24994659260841701"/>
        </patternFill>
      </fill>
    </dxf>
    <dxf>
      <font>
        <b val="0"/>
        <i/>
        <color auto="1"/>
      </font>
      <fill>
        <patternFill>
          <bgColor theme="0" tint="-0.24994659260841701"/>
        </patternFill>
      </fill>
    </dxf>
    <dxf>
      <font>
        <b/>
        <i val="0"/>
      </font>
      <fill>
        <patternFill>
          <bgColor rgb="FF00FF00"/>
        </patternFill>
      </fill>
    </dxf>
    <dxf>
      <font>
        <b/>
        <i/>
        <color theme="1"/>
      </font>
      <fill>
        <patternFill>
          <bgColor rgb="FF00FF00"/>
        </patternFill>
      </fill>
    </dxf>
    <dxf>
      <font>
        <b val="0"/>
        <i/>
        <color auto="1"/>
      </font>
      <fill>
        <patternFill>
          <bgColor theme="0" tint="-0.24994659260841701"/>
        </patternFill>
      </fill>
    </dxf>
    <dxf>
      <font>
        <b val="0"/>
        <i/>
        <color auto="1"/>
      </font>
      <fill>
        <patternFill>
          <bgColor theme="0" tint="-0.24994659260841701"/>
        </patternFill>
      </fill>
    </dxf>
    <dxf>
      <font>
        <b/>
        <i val="0"/>
      </font>
      <fill>
        <patternFill>
          <bgColor rgb="FF00FF00"/>
        </patternFill>
      </fill>
    </dxf>
    <dxf>
      <font>
        <b/>
        <i/>
        <color theme="1"/>
      </font>
      <fill>
        <patternFill>
          <bgColor rgb="FF00FF00"/>
        </patternFill>
      </fill>
    </dxf>
    <dxf>
      <font>
        <b val="0"/>
        <i/>
        <color auto="1"/>
      </font>
      <fill>
        <patternFill>
          <bgColor theme="0" tint="-0.24994659260841701"/>
        </patternFill>
      </fill>
    </dxf>
    <dxf>
      <font>
        <b val="0"/>
        <i/>
        <color auto="1"/>
      </font>
      <fill>
        <patternFill>
          <bgColor theme="0" tint="-0.24994659260841701"/>
        </patternFill>
      </fill>
    </dxf>
    <dxf>
      <font>
        <b/>
        <i val="0"/>
      </font>
      <fill>
        <patternFill>
          <bgColor rgb="FF00FF00"/>
        </patternFill>
      </fill>
    </dxf>
    <dxf>
      <font>
        <b/>
        <i/>
        <color theme="1"/>
      </font>
      <fill>
        <patternFill>
          <bgColor rgb="FF00FF00"/>
        </patternFill>
      </fill>
    </dxf>
    <dxf>
      <font>
        <b val="0"/>
        <i/>
        <color auto="1"/>
      </font>
      <fill>
        <patternFill>
          <bgColor theme="0" tint="-0.24994659260841701"/>
        </patternFill>
      </fill>
    </dxf>
    <dxf>
      <font>
        <b/>
        <i/>
        <color theme="1"/>
      </font>
      <fill>
        <patternFill>
          <bgColor rgb="FF00FF00"/>
        </patternFill>
      </fill>
    </dxf>
    <dxf>
      <font>
        <b val="0"/>
        <i/>
        <color auto="1"/>
      </font>
      <fill>
        <patternFill>
          <bgColor theme="0" tint="-0.24994659260841701"/>
        </patternFill>
      </fill>
    </dxf>
    <dxf>
      <font>
        <b/>
        <i/>
        <color theme="1"/>
      </font>
      <fill>
        <patternFill>
          <bgColor rgb="FF00FF00"/>
        </patternFill>
      </fill>
    </dxf>
    <dxf>
      <font>
        <b val="0"/>
        <i/>
        <color auto="1"/>
      </font>
      <fill>
        <patternFill>
          <bgColor theme="0" tint="-0.24994659260841701"/>
        </patternFill>
      </fill>
    </dxf>
    <dxf>
      <font>
        <b val="0"/>
        <i/>
        <color auto="1"/>
      </font>
      <fill>
        <patternFill>
          <bgColor theme="0" tint="-0.24994659260841701"/>
        </patternFill>
      </fill>
    </dxf>
    <dxf>
      <font>
        <b/>
        <i val="0"/>
      </font>
      <fill>
        <patternFill>
          <bgColor rgb="FF00FF00"/>
        </patternFill>
      </fill>
    </dxf>
    <dxf>
      <font>
        <b/>
        <i/>
        <color theme="1"/>
      </font>
      <fill>
        <patternFill>
          <bgColor rgb="FF00FF00"/>
        </patternFill>
      </fill>
    </dxf>
    <dxf>
      <font>
        <b val="0"/>
        <i/>
        <color auto="1"/>
      </font>
      <fill>
        <patternFill>
          <bgColor theme="0" tint="-0.24994659260841701"/>
        </patternFill>
      </fill>
    </dxf>
    <dxf>
      <font>
        <b val="0"/>
        <i/>
        <color auto="1"/>
      </font>
      <fill>
        <patternFill>
          <bgColor theme="0" tint="-0.24994659260841701"/>
        </patternFill>
      </fill>
    </dxf>
    <dxf>
      <font>
        <b/>
        <i val="0"/>
      </font>
      <fill>
        <patternFill>
          <bgColor rgb="FF00FF00"/>
        </patternFill>
      </fill>
    </dxf>
    <dxf>
      <font>
        <b/>
        <i/>
        <color theme="1"/>
      </font>
      <fill>
        <patternFill>
          <bgColor rgb="FF00FF00"/>
        </patternFill>
      </fill>
    </dxf>
    <dxf>
      <font>
        <b val="0"/>
        <i/>
        <color auto="1"/>
      </font>
      <fill>
        <patternFill>
          <bgColor theme="0" tint="-0.24994659260841701"/>
        </patternFill>
      </fill>
    </dxf>
    <dxf>
      <font>
        <b/>
        <i/>
        <color theme="1"/>
      </font>
      <fill>
        <patternFill>
          <bgColor rgb="FF00FF00"/>
        </patternFill>
      </fill>
    </dxf>
    <dxf>
      <font>
        <b val="0"/>
        <i/>
        <color auto="1"/>
      </font>
      <fill>
        <patternFill>
          <bgColor theme="0" tint="-0.24994659260841701"/>
        </patternFill>
      </fill>
    </dxf>
    <dxf>
      <font>
        <b/>
        <i/>
        <color theme="1"/>
      </font>
      <fill>
        <patternFill>
          <bgColor rgb="FF00FF00"/>
        </patternFill>
      </fill>
    </dxf>
    <dxf>
      <font>
        <b val="0"/>
        <i/>
        <color auto="1"/>
      </font>
      <fill>
        <patternFill>
          <bgColor theme="0" tint="-0.24994659260841701"/>
        </patternFill>
      </fill>
    </dxf>
    <dxf>
      <font>
        <b val="0"/>
        <i/>
        <color auto="1"/>
      </font>
      <fill>
        <patternFill>
          <bgColor theme="0" tint="-0.24994659260841701"/>
        </patternFill>
      </fill>
    </dxf>
    <dxf>
      <font>
        <b/>
        <i val="0"/>
      </font>
      <fill>
        <patternFill>
          <bgColor rgb="FF00FF00"/>
        </patternFill>
      </fill>
    </dxf>
    <dxf>
      <font>
        <b/>
        <i/>
        <color theme="1"/>
      </font>
      <fill>
        <patternFill>
          <bgColor rgb="FF00FF00"/>
        </patternFill>
      </fill>
    </dxf>
    <dxf>
      <font>
        <b val="0"/>
        <i/>
        <color auto="1"/>
      </font>
      <fill>
        <patternFill>
          <bgColor theme="0" tint="-0.24994659260841701"/>
        </patternFill>
      </fill>
    </dxf>
    <dxf>
      <font>
        <b/>
        <i/>
        <color theme="1"/>
      </font>
      <fill>
        <patternFill>
          <bgColor rgb="FF00FF00"/>
        </patternFill>
      </fill>
    </dxf>
    <dxf>
      <font>
        <b val="0"/>
        <i/>
        <color auto="1"/>
      </font>
      <fill>
        <patternFill>
          <bgColor theme="0" tint="-0.24994659260841701"/>
        </patternFill>
      </fill>
    </dxf>
    <dxf>
      <font>
        <b/>
        <i/>
        <color theme="1"/>
      </font>
      <fill>
        <patternFill>
          <bgColor rgb="FF00FF00"/>
        </patternFill>
      </fill>
    </dxf>
    <dxf>
      <font>
        <b val="0"/>
        <i/>
        <color auto="1"/>
      </font>
      <fill>
        <patternFill>
          <bgColor theme="0" tint="-0.24994659260841701"/>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rgb="FFFF000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FF0000"/>
      <color rgb="FFCC99FF"/>
      <color rgb="FF9900FF"/>
      <color rgb="FFCCFFCC"/>
      <color rgb="FF00FF00"/>
      <color rgb="FFFFCCFF"/>
      <color rgb="FF9933FF"/>
      <color rgb="FF9966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38100</xdr:colOff>
      <xdr:row>19</xdr:row>
      <xdr:rowOff>30480</xdr:rowOff>
    </xdr:from>
    <xdr:to>
      <xdr:col>7</xdr:col>
      <xdr:colOff>0</xdr:colOff>
      <xdr:row>35</xdr:row>
      <xdr:rowOff>15240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8100" y="4251960"/>
          <a:ext cx="6522720" cy="3154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200" b="1">
              <a:latin typeface="Times New Roman" panose="02020603050405020304" pitchFamily="18" charset="0"/>
              <a:cs typeface="Times New Roman" panose="02020603050405020304" pitchFamily="18" charset="0"/>
            </a:rPr>
            <a:t>Appearance:  </a:t>
          </a:r>
          <a:r>
            <a:rPr lang="en-US" sz="1200">
              <a:latin typeface="Times New Roman" panose="02020603050405020304" pitchFamily="18" charset="0"/>
              <a:cs typeface="Times New Roman" panose="02020603050405020304" pitchFamily="18" charset="0"/>
            </a:rPr>
            <a:t>Bazazath is tall and lean looking.  His body is covered in short black and grey hairs.  His ears stand out to the side from the top of his head and he can turn them 180 degrees.  His nose, in human form, is slightly elongated, ending in a canine looking, black nose that is cold to the touch.  He has two pronounced canine teeth in his upper jaw.  The hair on the top of his head is cut in a mohawk about 3 to 4 inches long.   In canine form, Bazazath prefers to appear as a large schnauzer.</a:t>
          </a:r>
        </a:p>
        <a:p>
          <a:pPr algn="just"/>
          <a:endParaRPr lang="en-US" sz="1200">
            <a:latin typeface="Times New Roman" panose="02020603050405020304" pitchFamily="18" charset="0"/>
            <a:cs typeface="Times New Roman" panose="02020603050405020304" pitchFamily="18" charset="0"/>
          </a:endParaRPr>
        </a:p>
        <a:p>
          <a:r>
            <a:rPr lang="en-US" sz="1100">
              <a:solidFill>
                <a:schemeClr val="dk1"/>
              </a:solidFill>
              <a:effectLst/>
              <a:latin typeface="+mn-lt"/>
              <a:ea typeface="+mn-ea"/>
              <a:cs typeface="+mn-cs"/>
            </a:rPr>
            <a:t>'Barkley' was one of 6 in his parents’ litter when he was born.  Living in the Celestial Plane, life was rather easy.  As 'Barkley' grew, he was bored with what he considered a mundane and routine existence.  He wanted to join the 'Warriors of Light' and fight evil in Tyr's name.  Though his parents told him of the possible dangers, 'Barkley' still wanted to join them and fight.</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So, in order for him to gain the appropriate experience and skill, he was told he needed to go to the Prime Material Plane.  There he could serve Tyr and fight evil.  Should he prove himself worthy, he would eventually be returned to the Celestial Plain where he would be able to join Tyr's legions and fight evil across the cosmos.</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Upon his arrival on the Prime Material Plane, 'Barkley' has been exploring this strange, new world.  He has also sought out allies in the fight against evil and has become a member of a group known as the 'Fist of Light'!</a:t>
          </a:r>
        </a:p>
      </xdr:txBody>
    </xdr:sp>
    <xdr:clientData/>
  </xdr:twoCellAnchor>
  <xdr:twoCellAnchor>
    <xdr:from>
      <xdr:col>0</xdr:col>
      <xdr:colOff>45720</xdr:colOff>
      <xdr:row>16</xdr:row>
      <xdr:rowOff>45720</xdr:rowOff>
    </xdr:from>
    <xdr:to>
      <xdr:col>6</xdr:col>
      <xdr:colOff>1242060</xdr:colOff>
      <xdr:row>18</xdr:row>
      <xdr:rowOff>175260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5720" y="3025140"/>
          <a:ext cx="6705600" cy="335280"/>
        </a:xfrm>
        <a:prstGeom prst="rect">
          <a:avLst/>
        </a:prstGeom>
        <a:solidFill>
          <a:srgbClr val="0000FF">
            <a:alpha val="61000"/>
          </a:srgbClr>
        </a:solidFill>
        <a:ln w="44450" cmpd="dbl">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r>
            <a:rPr lang="en-US" sz="1200" b="1" baseline="0">
              <a:solidFill>
                <a:schemeClr val="bg1"/>
              </a:solidFill>
              <a:latin typeface="Times New Roman" panose="02020603050405020304" pitchFamily="18" charset="0"/>
              <a:cs typeface="Times New Roman" panose="02020603050405020304" pitchFamily="18" charset="0"/>
            </a:rPr>
            <a:t>Current Effects:   </a:t>
          </a:r>
          <a:r>
            <a:rPr lang="en-US" sz="1200" b="0" i="1" baseline="0">
              <a:solidFill>
                <a:schemeClr val="bg1"/>
              </a:solidFill>
              <a:latin typeface="Times New Roman" panose="02020603050405020304" pitchFamily="18" charset="0"/>
              <a:cs typeface="Times New Roman" panose="02020603050405020304" pitchFamily="18" charset="0"/>
            </a:rPr>
            <a:t>Resist Electricity 15      DR 5/+1</a:t>
          </a:r>
        </a:p>
        <a:p>
          <a:pPr algn="ctr" rtl="0"/>
          <a:r>
            <a:rPr lang="en-US" sz="1200" b="0" i="1" baseline="0">
              <a:solidFill>
                <a:schemeClr val="bg1"/>
              </a:solidFill>
              <a:latin typeface="Times New Roman" panose="02020603050405020304" pitchFamily="18" charset="0"/>
              <a:cs typeface="Times New Roman" panose="02020603050405020304" pitchFamily="18" charset="0"/>
            </a:rPr>
            <a:t>Aura of Menace        Scent      Tongues      +4 Save vs Poison</a:t>
          </a:r>
        </a:p>
      </xdr:txBody>
    </xdr:sp>
    <xdr:clientData/>
  </xdr:twoCellAnchor>
  <xdr:twoCellAnchor editAs="oneCell">
    <xdr:from>
      <xdr:col>5</xdr:col>
      <xdr:colOff>206350</xdr:colOff>
      <xdr:row>1</xdr:row>
      <xdr:rowOff>83821</xdr:rowOff>
    </xdr:from>
    <xdr:to>
      <xdr:col>6</xdr:col>
      <xdr:colOff>904638</xdr:colOff>
      <xdr:row>15</xdr:row>
      <xdr:rowOff>182881</xdr:rowOff>
    </xdr:to>
    <xdr:pic>
      <xdr:nvPicPr>
        <xdr:cNvPr id="4" name="Picture 3">
          <a:extLst>
            <a:ext uri="{FF2B5EF4-FFF2-40B4-BE49-F238E27FC236}">
              <a16:creationId xmlns:a16="http://schemas.microsoft.com/office/drawing/2014/main" id="{0B0BA075-0D75-4B1D-A4C2-B8AEE4840F02}"/>
            </a:ext>
          </a:extLst>
        </xdr:cNvPr>
        <xdr:cNvPicPr>
          <a:picLocks noChangeAspect="1"/>
        </xdr:cNvPicPr>
      </xdr:nvPicPr>
      <xdr:blipFill>
        <a:blip xmlns:r="http://schemas.openxmlformats.org/officeDocument/2006/relationships" r:embed="rId1"/>
        <a:stretch>
          <a:fillRect/>
        </a:stretch>
      </xdr:blipFill>
      <xdr:spPr>
        <a:xfrm>
          <a:off x="4709770" y="457201"/>
          <a:ext cx="1726988" cy="3124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7" name="Rectangle 1">
          <a:extLst>
            <a:ext uri="{FF2B5EF4-FFF2-40B4-BE49-F238E27FC236}">
              <a16:creationId xmlns:a16="http://schemas.microsoft.com/office/drawing/2014/main" id="{00000000-0008-0000-0100-000055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2" name="Rectangle 1">
          <a:extLst>
            <a:ext uri="{FF2B5EF4-FFF2-40B4-BE49-F238E27FC236}">
              <a16:creationId xmlns:a16="http://schemas.microsoft.com/office/drawing/2014/main" id="{00000000-0008-0000-0400-000002000000}"/>
            </a:ext>
          </a:extLst>
        </xdr:cNvPr>
        <xdr:cNvSpPr>
          <a:spLocks noChangeArrowheads="1"/>
        </xdr:cNvSpPr>
      </xdr:nvSpPr>
      <xdr:spPr bwMode="auto">
        <a:xfrm>
          <a:off x="839724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114300</xdr:colOff>
      <xdr:row>0</xdr:row>
      <xdr:rowOff>91440</xdr:rowOff>
    </xdr:from>
    <xdr:to>
      <xdr:col>14</xdr:col>
      <xdr:colOff>91440</xdr:colOff>
      <xdr:row>20</xdr:row>
      <xdr:rowOff>45720</xdr:rowOff>
    </xdr:to>
    <xdr:sp macro="" textlink="">
      <xdr:nvSpPr>
        <xdr:cNvPr id="3" name="TextBox 2">
          <a:extLst>
            <a:ext uri="{FF2B5EF4-FFF2-40B4-BE49-F238E27FC236}">
              <a16:creationId xmlns:a16="http://schemas.microsoft.com/office/drawing/2014/main" id="{4C79CDA6-1697-4B3E-956F-C449F5C1F484}"/>
            </a:ext>
          </a:extLst>
        </xdr:cNvPr>
        <xdr:cNvSpPr txBox="1"/>
      </xdr:nvSpPr>
      <xdr:spPr>
        <a:xfrm>
          <a:off x="4267200" y="91440"/>
          <a:ext cx="8382000" cy="4564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         Charmer: </a:t>
          </a:r>
        </a:p>
        <a:p>
          <a:r>
            <a:rPr lang="en-US" sz="1100">
              <a:solidFill>
                <a:schemeClr val="dk1"/>
              </a:solidFill>
              <a:effectLst/>
              <a:latin typeface="+mn-lt"/>
              <a:ea typeface="+mn-ea"/>
              <a:cs typeface="+mn-cs"/>
            </a:rPr>
            <a:t>	o   Majestic Argali (Afghan Hound) </a:t>
          </a:r>
        </a:p>
        <a:p>
          <a:r>
            <a:rPr lang="en-US" sz="1100">
              <a:solidFill>
                <a:schemeClr val="dk1"/>
              </a:solidFill>
              <a:effectLst/>
              <a:latin typeface="+mn-lt"/>
              <a:ea typeface="+mn-ea"/>
              <a:cs typeface="+mn-cs"/>
            </a:rPr>
            <a:t>•         Misc. Breeds: </a:t>
          </a:r>
        </a:p>
        <a:p>
          <a:r>
            <a:rPr lang="en-US" sz="1100">
              <a:solidFill>
                <a:schemeClr val="dk1"/>
              </a:solidFill>
              <a:effectLst/>
              <a:latin typeface="+mn-lt"/>
              <a:ea typeface="+mn-ea"/>
              <a:cs typeface="+mn-cs"/>
            </a:rPr>
            <a:t>	o   Miniature Short-tailed Zorse (Miniature Schnauzer) – A small but powerful breed the stand 12 inches tall at the shoulders and weigh in at 10-15 pounds.  They are good diggers and are bred to go after rats, mice and other small rodents.  (Possible bonus to digging speed in dirt?)  </a:t>
          </a:r>
        </a:p>
        <a:p>
          <a:r>
            <a:rPr lang="en-US" sz="1100">
              <a:solidFill>
                <a:schemeClr val="dk1"/>
              </a:solidFill>
              <a:effectLst/>
              <a:latin typeface="+mn-lt"/>
              <a:ea typeface="+mn-ea"/>
              <a:cs typeface="+mn-cs"/>
            </a:rPr>
            <a:t>•         Scout Breeds: </a:t>
          </a:r>
        </a:p>
        <a:p>
          <a:r>
            <a:rPr lang="en-US" sz="1100">
              <a:solidFill>
                <a:schemeClr val="dk1"/>
              </a:solidFill>
              <a:effectLst/>
              <a:latin typeface="+mn-lt"/>
              <a:ea typeface="+mn-ea"/>
              <a:cs typeface="+mn-cs"/>
            </a:rPr>
            <a:t>	o   Maroon-Spotted Dog (German Short-haired Pointer) </a:t>
          </a:r>
        </a:p>
        <a:p>
          <a:r>
            <a:rPr lang="en-US" sz="1100">
              <a:solidFill>
                <a:schemeClr val="dk1"/>
              </a:solidFill>
              <a:effectLst/>
              <a:latin typeface="+mn-lt"/>
              <a:ea typeface="+mn-ea"/>
              <a:cs typeface="+mn-cs"/>
            </a:rPr>
            <a:t>•         Sneaker:  </a:t>
          </a:r>
        </a:p>
        <a:p>
          <a:r>
            <a:rPr lang="en-US" sz="1100">
              <a:solidFill>
                <a:schemeClr val="dk1"/>
              </a:solidFill>
              <a:effectLst/>
              <a:latin typeface="+mn-lt"/>
              <a:ea typeface="+mn-ea"/>
              <a:cs typeface="+mn-cs"/>
            </a:rPr>
            <a:t>	o   Smokey-furred Whippet (Chihuahua) – A very small breed perfect for sneaking in and out of places quietly.  (?? To AC (+? Size +? Agility - ? Natural Armor.  +4 to all Hide and Move Silently checks. Also receives a -5 to all To-Hit and Damage Checks) </a:t>
          </a:r>
        </a:p>
        <a:p>
          <a:r>
            <a:rPr lang="en-US" sz="1100">
              <a:solidFill>
                <a:schemeClr val="dk1"/>
              </a:solidFill>
              <a:effectLst/>
              <a:latin typeface="+mn-lt"/>
              <a:ea typeface="+mn-ea"/>
              <a:cs typeface="+mn-cs"/>
            </a:rPr>
            <a:t>•         Sprinter Breeds: </a:t>
          </a:r>
        </a:p>
        <a:p>
          <a:r>
            <a:rPr lang="en-US" sz="1100">
              <a:solidFill>
                <a:schemeClr val="dk1"/>
              </a:solidFill>
              <a:effectLst/>
              <a:latin typeface="+mn-lt"/>
              <a:ea typeface="+mn-ea"/>
              <a:cs typeface="+mn-cs"/>
            </a:rPr>
            <a:t>	o   Zakhara Hound (Pharaoh Hound/Whippet) – Excellent speed over short distances.  (Running speed is x3 instead of x2’.  After 200 yards receives a -2 Penalty to Endurance Checks.  Also, must rest for at least 4 hours and pass a Constitution check or a full 8 hours before sprinting again.) </a:t>
          </a:r>
        </a:p>
        <a:p>
          <a:r>
            <a:rPr lang="en-US" sz="1100">
              <a:solidFill>
                <a:schemeClr val="dk1"/>
              </a:solidFill>
              <a:effectLst/>
              <a:latin typeface="+mn-lt"/>
              <a:ea typeface="+mn-ea"/>
              <a:cs typeface="+mn-cs"/>
            </a:rPr>
            <a:t>	o   Greyhound (Greyhound) – Excellent speed over short distances and excellent eye sight.  (Running speed is x3.5 instead of x2.  After 150 yards receives a -2 Penalty to Endurance Checks.  Also, must rest for at least 4 hours and pass a Constitution check or a full 8 hours before sprinting again.)</a:t>
          </a:r>
        </a:p>
        <a:p>
          <a:r>
            <a:rPr lang="en-US" sz="1100">
              <a:solidFill>
                <a:schemeClr val="dk1"/>
              </a:solidFill>
              <a:effectLst/>
              <a:latin typeface="+mn-lt"/>
              <a:ea typeface="+mn-ea"/>
              <a:cs typeface="+mn-cs"/>
            </a:rPr>
            <a:t>•         Warrior Breeds:  </a:t>
          </a:r>
        </a:p>
        <a:p>
          <a:r>
            <a:rPr lang="en-US" sz="1100">
              <a:solidFill>
                <a:schemeClr val="dk1"/>
              </a:solidFill>
              <a:effectLst/>
              <a:latin typeface="+mn-lt"/>
              <a:ea typeface="+mn-ea"/>
              <a:cs typeface="+mn-cs"/>
            </a:rPr>
            <a:t>	o   Great Dale Hound (Irish Wolf Hound) – Increase Endurance from its long legs (+2 extra turns before Endurance Check is needed while running &amp; receives a +1 Bonus to those checks.).  Also, due to size and strength it does greater damage (receives a +1 to Damage from Bite and Claw attacks)   </a:t>
          </a:r>
        </a:p>
        <a:p>
          <a:r>
            <a:rPr lang="en-US" sz="1100">
              <a:solidFill>
                <a:schemeClr val="dk1"/>
              </a:solidFill>
              <a:effectLst/>
              <a:latin typeface="+mn-lt"/>
              <a:ea typeface="+mn-ea"/>
              <a:cs typeface="+mn-cs"/>
            </a:rPr>
            <a:t>	o   Giant Short-tailed Zorse (Giant Schnauzer) </a:t>
          </a:r>
        </a:p>
        <a:p>
          <a:r>
            <a:rPr lang="en-US" sz="1100">
              <a:solidFill>
                <a:schemeClr val="dk1"/>
              </a:solidFill>
              <a:effectLst/>
              <a:latin typeface="+mn-lt"/>
              <a:ea typeface="+mn-ea"/>
              <a:cs typeface="+mn-cs"/>
            </a:rPr>
            <a:t>•         Working Breeds: </a:t>
          </a:r>
        </a:p>
        <a:p>
          <a:r>
            <a:rPr lang="en-US" sz="1100">
              <a:solidFill>
                <a:schemeClr val="dk1"/>
              </a:solidFill>
              <a:effectLst/>
              <a:latin typeface="+mn-lt"/>
              <a:ea typeface="+mn-ea"/>
              <a:cs typeface="+mn-cs"/>
            </a:rPr>
            <a:t>	o   Standard Short-tailed Zorse (Schnauzer) </a:t>
          </a:r>
        </a:p>
        <a:p>
          <a:r>
            <a:rPr lang="en-US" sz="1100">
              <a:solidFill>
                <a:schemeClr val="dk1"/>
              </a:solidFill>
              <a:effectLst/>
              <a:latin typeface="+mn-lt"/>
              <a:ea typeface="+mn-ea"/>
              <a:cs typeface="+mn-cs"/>
            </a:rPr>
            <a:t>	o   Icewind Dale Hound (Alaskan Malamute/Siberian Husky) </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93345</xdr:colOff>
      <xdr:row>1</xdr:row>
      <xdr:rowOff>123825</xdr:rowOff>
    </xdr:from>
    <xdr:to>
      <xdr:col>3</xdr:col>
      <xdr:colOff>260985</xdr:colOff>
      <xdr:row>2</xdr:row>
      <xdr:rowOff>66675</xdr:rowOff>
    </xdr:to>
    <xdr:sp macro="" textlink="">
      <xdr:nvSpPr>
        <xdr:cNvPr id="3078" name="Text Box 6" hidden="1">
          <a:extLst>
            <a:ext uri="{FF2B5EF4-FFF2-40B4-BE49-F238E27FC236}">
              <a16:creationId xmlns:a16="http://schemas.microsoft.com/office/drawing/2014/main" id="{00000000-0008-0000-05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45720</xdr:colOff>
      <xdr:row>0</xdr:row>
      <xdr:rowOff>144780</xdr:rowOff>
    </xdr:from>
    <xdr:to>
      <xdr:col>14</xdr:col>
      <xdr:colOff>83820</xdr:colOff>
      <xdr:row>29</xdr:row>
      <xdr:rowOff>45720</xdr:rowOff>
    </xdr:to>
    <xdr:sp macro="" textlink="">
      <xdr:nvSpPr>
        <xdr:cNvPr id="2" name="TextBox 1">
          <a:extLst>
            <a:ext uri="{FF2B5EF4-FFF2-40B4-BE49-F238E27FC236}">
              <a16:creationId xmlns:a16="http://schemas.microsoft.com/office/drawing/2014/main" id="{EBC1B22E-A151-443E-8434-E2E1AF409FF9}"/>
            </a:ext>
          </a:extLst>
        </xdr:cNvPr>
        <xdr:cNvSpPr txBox="1"/>
      </xdr:nvSpPr>
      <xdr:spPr>
        <a:xfrm>
          <a:off x="6012180" y="144780"/>
          <a:ext cx="7581900" cy="56464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Level 9: </a:t>
          </a:r>
          <a:endParaRPr lang="en-US" sz="1100">
            <a:solidFill>
              <a:schemeClr val="dk1"/>
            </a:solidFill>
            <a:effectLst/>
            <a:latin typeface="+mn-lt"/>
            <a:ea typeface="+mn-ea"/>
            <a:cs typeface="+mn-cs"/>
          </a:endParaRPr>
        </a:p>
        <a:p>
          <a:pPr lvl="0" fontAlgn="base"/>
          <a:r>
            <a:rPr lang="en-US" sz="1100" b="1">
              <a:solidFill>
                <a:schemeClr val="dk1"/>
              </a:solidFill>
              <a:effectLst/>
              <a:latin typeface="+mn-lt"/>
              <a:ea typeface="+mn-ea"/>
              <a:cs typeface="+mn-cs"/>
            </a:rPr>
            <a:t>Class: </a:t>
          </a:r>
          <a:r>
            <a:rPr lang="en-US" sz="1100">
              <a:solidFill>
                <a:schemeClr val="dk1"/>
              </a:solidFill>
              <a:effectLst/>
              <a:latin typeface="+mn-lt"/>
              <a:ea typeface="+mn-ea"/>
              <a:cs typeface="+mn-cs"/>
            </a:rPr>
            <a:t>Ranger (Level 2) </a:t>
          </a:r>
        </a:p>
        <a:p>
          <a:pPr lvl="0" fontAlgn="base"/>
          <a:r>
            <a:rPr lang="en-US" sz="1100" b="1">
              <a:solidFill>
                <a:schemeClr val="dk1"/>
              </a:solidFill>
              <a:effectLst/>
              <a:latin typeface="+mn-lt"/>
              <a:ea typeface="+mn-ea"/>
              <a:cs typeface="+mn-cs"/>
            </a:rPr>
            <a:t>Feats/Attribute Increase: </a:t>
          </a:r>
          <a:r>
            <a:rPr lang="en-US" sz="1100">
              <a:solidFill>
                <a:schemeClr val="dk1"/>
              </a:solidFill>
              <a:effectLst/>
              <a:latin typeface="+mn-lt"/>
              <a:ea typeface="+mn-ea"/>
              <a:cs typeface="+mn-cs"/>
            </a:rPr>
            <a:t>None</a:t>
          </a:r>
        </a:p>
        <a:p>
          <a:pPr lvl="0" fontAlgn="base"/>
          <a:r>
            <a:rPr lang="en-US" sz="1100" b="1">
              <a:solidFill>
                <a:schemeClr val="dk1"/>
              </a:solidFill>
              <a:effectLst/>
              <a:latin typeface="+mn-lt"/>
              <a:ea typeface="+mn-ea"/>
              <a:cs typeface="+mn-cs"/>
            </a:rPr>
            <a:t>Skill Points:</a:t>
          </a:r>
          <a:r>
            <a:rPr lang="en-US" sz="1100">
              <a:solidFill>
                <a:schemeClr val="dk1"/>
              </a:solidFill>
              <a:effectLst/>
              <a:latin typeface="+mn-lt"/>
              <a:ea typeface="+mn-ea"/>
              <a:cs typeface="+mn-cs"/>
            </a:rPr>
            <a:t> (6 + INT Modifier) = 6  (Climb +1, Hide +1, Jump +1, Listen +1 and Use Rope +2)</a:t>
          </a:r>
        </a:p>
        <a:p>
          <a:pPr lvl="0" fontAlgn="base"/>
          <a:r>
            <a:rPr lang="en-US" sz="1100" b="1">
              <a:solidFill>
                <a:schemeClr val="dk1"/>
              </a:solidFill>
              <a:effectLst/>
              <a:latin typeface="+mn-lt"/>
              <a:ea typeface="+mn-ea"/>
              <a:cs typeface="+mn-cs"/>
            </a:rPr>
            <a:t>Hit Point Increase: </a:t>
          </a:r>
          <a:r>
            <a:rPr lang="en-US" sz="1100">
              <a:solidFill>
                <a:schemeClr val="dk1"/>
              </a:solidFill>
              <a:effectLst/>
              <a:latin typeface="+mn-lt"/>
              <a:ea typeface="+mn-ea"/>
              <a:cs typeface="+mn-cs"/>
            </a:rPr>
            <a:t>d8 + CON Modifier (7 HD) </a:t>
          </a:r>
        </a:p>
        <a:p>
          <a:pPr lvl="0" fontAlgn="base"/>
          <a:r>
            <a:rPr lang="en-US" sz="1100" b="1">
              <a:solidFill>
                <a:schemeClr val="dk1"/>
              </a:solidFill>
              <a:effectLst/>
              <a:latin typeface="+mn-lt"/>
              <a:ea typeface="+mn-ea"/>
              <a:cs typeface="+mn-cs"/>
            </a:rPr>
            <a:t>Proficiencies/Class Abilities: </a:t>
          </a:r>
          <a:r>
            <a:rPr lang="en-US" sz="1100">
              <a:solidFill>
                <a:schemeClr val="dk1"/>
              </a:solidFill>
              <a:effectLst/>
              <a:latin typeface="+mn-lt"/>
              <a:ea typeface="+mn-ea"/>
              <a:cs typeface="+mn-cs"/>
            </a:rPr>
            <a:t> Combat Style (Ranged Weapons) </a:t>
          </a:r>
        </a:p>
        <a:p>
          <a:pPr lvl="0" fontAlgn="base"/>
          <a:r>
            <a:rPr lang="en-US" sz="1100" b="1">
              <a:solidFill>
                <a:schemeClr val="dk1"/>
              </a:solidFill>
              <a:effectLst/>
              <a:latin typeface="+mn-lt"/>
              <a:ea typeface="+mn-ea"/>
              <a:cs typeface="+mn-cs"/>
            </a:rPr>
            <a:t>Equity Increase: </a:t>
          </a:r>
          <a:r>
            <a:rPr lang="en-US" sz="1100">
              <a:solidFill>
                <a:schemeClr val="dk1"/>
              </a:solidFill>
              <a:effectLst/>
              <a:latin typeface="+mn-lt"/>
              <a:ea typeface="+mn-ea"/>
              <a:cs typeface="+mn-cs"/>
            </a:rPr>
            <a:t>+9,000gp (Total: 36,000gp) </a:t>
          </a:r>
        </a:p>
        <a:p>
          <a:pPr lvl="0" fontAlgn="base"/>
          <a:r>
            <a:rPr lang="en-US" sz="1100" b="1">
              <a:solidFill>
                <a:schemeClr val="dk1"/>
              </a:solidFill>
              <a:effectLst/>
              <a:latin typeface="+mn-lt"/>
              <a:ea typeface="+mn-ea"/>
              <a:cs typeface="+mn-cs"/>
            </a:rPr>
            <a:t>Equipment/Magic Item Purchase &amp; Upgrade:</a:t>
          </a:r>
          <a:r>
            <a:rPr lang="en-US" sz="1100">
              <a:solidFill>
                <a:schemeClr val="dk1"/>
              </a:solidFill>
              <a:effectLst/>
              <a:latin typeface="+mn-lt"/>
              <a:ea typeface="+mn-ea"/>
              <a:cs typeface="+mn-cs"/>
            </a:rPr>
            <a:t>  Magic Bedroll (500gp), Ring of Climbing (2,500gp), &amp; Scouts Headband (3,400gp) </a:t>
          </a:r>
        </a:p>
        <a:p>
          <a:pPr lvl="0" fontAlgn="base"/>
          <a:r>
            <a:rPr lang="en-US" sz="1100" b="1">
              <a:solidFill>
                <a:schemeClr val="dk1"/>
              </a:solidFill>
              <a:effectLst/>
              <a:latin typeface="+mn-lt"/>
              <a:ea typeface="+mn-ea"/>
              <a:cs typeface="+mn-cs"/>
            </a:rPr>
            <a:t>Armor/Weapon Purchases &amp; Upgrades:</a:t>
          </a:r>
          <a:r>
            <a:rPr lang="en-US" sz="1100">
              <a:solidFill>
                <a:schemeClr val="dk1"/>
              </a:solidFill>
              <a:effectLst/>
              <a:latin typeface="+mn-lt"/>
              <a:ea typeface="+mn-ea"/>
              <a:cs typeface="+mn-cs"/>
            </a:rPr>
            <a:t>  Upgrade Silvered Hand Axe to MW +1 Silvered Hand Axe (+2300gp) (Drop MW Short Sword and Normal Hand Axe to save 5 pounds and gain 306 gp Equity) </a:t>
          </a:r>
        </a:p>
        <a:p>
          <a:pPr lvl="0" fontAlgn="base"/>
          <a:r>
            <a:rPr lang="en-US" sz="1100" b="1">
              <a:solidFill>
                <a:schemeClr val="dk1"/>
              </a:solidFill>
              <a:effectLst/>
              <a:latin typeface="+mn-lt"/>
              <a:ea typeface="+mn-ea"/>
              <a:cs typeface="+mn-cs"/>
            </a:rPr>
            <a:t>Equity Total:</a:t>
          </a:r>
          <a:r>
            <a:rPr lang="en-US" sz="1100">
              <a:solidFill>
                <a:schemeClr val="dk1"/>
              </a:solidFill>
              <a:effectLst/>
              <a:latin typeface="+mn-lt"/>
              <a:ea typeface="+mn-ea"/>
              <a:cs typeface="+mn-cs"/>
            </a:rPr>
            <a:t>  34,202gp + 1,898gp in Coins and Misc. Equipment </a:t>
          </a:r>
        </a:p>
        <a:p>
          <a:r>
            <a:rPr lang="en-US" sz="1100">
              <a:solidFill>
                <a:schemeClr val="dk1"/>
              </a:solidFill>
              <a:effectLst/>
              <a:latin typeface="+mn-lt"/>
              <a:ea typeface="+mn-ea"/>
              <a:cs typeface="+mn-cs"/>
            </a:rPr>
            <a:t> </a:t>
          </a:r>
        </a:p>
        <a:p>
          <a:pPr lvl="0" fontAlgn="base"/>
          <a:r>
            <a:rPr lang="en-US" sz="1100" b="1">
              <a:solidFill>
                <a:schemeClr val="dk1"/>
              </a:solidFill>
              <a:effectLst/>
              <a:latin typeface="+mn-lt"/>
              <a:ea typeface="+mn-ea"/>
              <a:cs typeface="+mn-cs"/>
            </a:rPr>
            <a:t>Level 10: </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Class:</a:t>
          </a:r>
          <a:r>
            <a:rPr lang="en-US" sz="1100">
              <a:solidFill>
                <a:schemeClr val="dk1"/>
              </a:solidFill>
              <a:effectLst/>
              <a:latin typeface="+mn-lt"/>
              <a:ea typeface="+mn-ea"/>
              <a:cs typeface="+mn-cs"/>
            </a:rPr>
            <a:t> Hound Archon (level 8) </a:t>
          </a:r>
        </a:p>
        <a:p>
          <a:pPr lvl="0" fontAlgn="base"/>
          <a:r>
            <a:rPr lang="en-US" sz="1100" b="1">
              <a:solidFill>
                <a:schemeClr val="dk1"/>
              </a:solidFill>
              <a:effectLst/>
              <a:latin typeface="+mn-lt"/>
              <a:ea typeface="+mn-ea"/>
              <a:cs typeface="+mn-cs"/>
            </a:rPr>
            <a:t>Feats/Attribute Increase: </a:t>
          </a:r>
          <a:r>
            <a:rPr lang="en-US" sz="1100">
              <a:solidFill>
                <a:schemeClr val="dk1"/>
              </a:solidFill>
              <a:effectLst/>
              <a:latin typeface="+mn-lt"/>
              <a:ea typeface="+mn-ea"/>
              <a:cs typeface="+mn-cs"/>
            </a:rPr>
            <a:t>None</a:t>
          </a:r>
        </a:p>
        <a:p>
          <a:pPr lvl="0" fontAlgn="base"/>
          <a:r>
            <a:rPr lang="en-US" sz="1100" b="1">
              <a:solidFill>
                <a:schemeClr val="dk1"/>
              </a:solidFill>
              <a:effectLst/>
              <a:latin typeface="+mn-lt"/>
              <a:ea typeface="+mn-ea"/>
              <a:cs typeface="+mn-cs"/>
            </a:rPr>
            <a:t>Skill Points: </a:t>
          </a:r>
          <a:r>
            <a:rPr lang="en-US" sz="1100">
              <a:solidFill>
                <a:schemeClr val="dk1"/>
              </a:solidFill>
              <a:effectLst/>
              <a:latin typeface="+mn-lt"/>
              <a:ea typeface="+mn-ea"/>
              <a:cs typeface="+mn-cs"/>
            </a:rPr>
            <a:t>None </a:t>
          </a:r>
        </a:p>
        <a:p>
          <a:pPr lvl="0" fontAlgn="base"/>
          <a:r>
            <a:rPr lang="en-US" sz="1100" b="1">
              <a:solidFill>
                <a:schemeClr val="dk1"/>
              </a:solidFill>
              <a:effectLst/>
              <a:latin typeface="+mn-lt"/>
              <a:ea typeface="+mn-ea"/>
              <a:cs typeface="+mn-cs"/>
            </a:rPr>
            <a:t>Hit Point Increase:</a:t>
          </a:r>
          <a:r>
            <a:rPr lang="en-US" sz="1100">
              <a:solidFill>
                <a:schemeClr val="dk1"/>
              </a:solidFill>
              <a:effectLst/>
              <a:latin typeface="+mn-lt"/>
              <a:ea typeface="+mn-ea"/>
              <a:cs typeface="+mn-cs"/>
            </a:rPr>
            <a:t> None (7 HD)</a:t>
          </a:r>
        </a:p>
        <a:p>
          <a:pPr lvl="0" fontAlgn="base"/>
          <a:r>
            <a:rPr lang="en-US" sz="1100" b="1">
              <a:solidFill>
                <a:schemeClr val="dk1"/>
              </a:solidFill>
              <a:effectLst/>
              <a:latin typeface="+mn-lt"/>
              <a:ea typeface="+mn-ea"/>
              <a:cs typeface="+mn-cs"/>
            </a:rPr>
            <a:t>Proficiencies / Class Abilities:</a:t>
          </a:r>
          <a:r>
            <a:rPr lang="en-US" sz="1100">
              <a:solidFill>
                <a:schemeClr val="dk1"/>
              </a:solidFill>
              <a:effectLst/>
              <a:latin typeface="+mn-lt"/>
              <a:ea typeface="+mn-ea"/>
              <a:cs typeface="+mn-cs"/>
            </a:rPr>
            <a:t> Spell Resistance 13 &amp; +8 Natural AC </a:t>
          </a:r>
        </a:p>
        <a:p>
          <a:pPr lvl="0" fontAlgn="base"/>
          <a:r>
            <a:rPr lang="en-US" sz="1100" b="1">
              <a:solidFill>
                <a:schemeClr val="dk1"/>
              </a:solidFill>
              <a:effectLst/>
              <a:latin typeface="+mn-lt"/>
              <a:ea typeface="+mn-ea"/>
              <a:cs typeface="+mn-cs"/>
            </a:rPr>
            <a:t>Equity Increase: </a:t>
          </a:r>
          <a:r>
            <a:rPr lang="en-US" sz="1100">
              <a:solidFill>
                <a:schemeClr val="dk1"/>
              </a:solidFill>
              <a:effectLst/>
              <a:latin typeface="+mn-lt"/>
              <a:ea typeface="+mn-ea"/>
              <a:cs typeface="+mn-cs"/>
            </a:rPr>
            <a:t>13,000gp (Total: 49,000gp) </a:t>
          </a:r>
        </a:p>
        <a:p>
          <a:pPr lvl="0" fontAlgn="base"/>
          <a:r>
            <a:rPr lang="en-US" sz="1100" b="1">
              <a:solidFill>
                <a:schemeClr val="dk1"/>
              </a:solidFill>
              <a:effectLst/>
              <a:latin typeface="+mn-lt"/>
              <a:ea typeface="+mn-ea"/>
              <a:cs typeface="+mn-cs"/>
            </a:rPr>
            <a:t>Equipment/Magic Items:</a:t>
          </a:r>
          <a:r>
            <a:rPr lang="en-US" sz="1100">
              <a:solidFill>
                <a:schemeClr val="dk1"/>
              </a:solidFill>
              <a:effectLst/>
              <a:latin typeface="+mn-lt"/>
              <a:ea typeface="+mn-ea"/>
              <a:cs typeface="+mn-cs"/>
            </a:rPr>
            <a:t>  Goodberry Bracelet (2,000gp), Gloves of Lighting (2,000gp), Ring of Water Breathing (6,000gp) (Drop Ring or Protection +1 to gain 2,000 gp Equity.) </a:t>
          </a:r>
        </a:p>
        <a:p>
          <a:pPr lvl="0" fontAlgn="base"/>
          <a:r>
            <a:rPr lang="en-US" sz="1100" b="1">
              <a:solidFill>
                <a:schemeClr val="dk1"/>
              </a:solidFill>
              <a:effectLst/>
              <a:latin typeface="+mn-lt"/>
              <a:ea typeface="+mn-ea"/>
              <a:cs typeface="+mn-cs"/>
            </a:rPr>
            <a:t>Armor/Weapons:</a:t>
          </a:r>
          <a:r>
            <a:rPr lang="en-US" sz="1100">
              <a:solidFill>
                <a:schemeClr val="dk1"/>
              </a:solidFill>
              <a:effectLst/>
              <a:latin typeface="+mn-lt"/>
              <a:ea typeface="+mn-ea"/>
              <a:cs typeface="+mn-cs"/>
            </a:rPr>
            <a:t> Add Blessed (+1 Bonus/6,000gp) to Long Sword +1 </a:t>
          </a:r>
        </a:p>
        <a:p>
          <a:pPr lvl="0" fontAlgn="base"/>
          <a:r>
            <a:rPr lang="en-US" sz="1100" b="1">
              <a:solidFill>
                <a:schemeClr val="dk1"/>
              </a:solidFill>
              <a:effectLst/>
              <a:latin typeface="+mn-lt"/>
              <a:ea typeface="+mn-ea"/>
              <a:cs typeface="+mn-cs"/>
            </a:rPr>
            <a:t>Equity Total:</a:t>
          </a:r>
          <a:r>
            <a:rPr lang="en-US" sz="1100">
              <a:solidFill>
                <a:schemeClr val="dk1"/>
              </a:solidFill>
              <a:effectLst/>
              <a:latin typeface="+mn-lt"/>
              <a:ea typeface="+mn-ea"/>
              <a:cs typeface="+mn-cs"/>
            </a:rPr>
            <a:t> 48,202gp + 898gp in Coins and Misc. Equipment  </a:t>
          </a:r>
        </a:p>
        <a:p>
          <a:r>
            <a:rPr lang="en-US" sz="1100">
              <a:solidFill>
                <a:schemeClr val="dk1"/>
              </a:solidFill>
              <a:effectLst/>
              <a:latin typeface="+mn-lt"/>
              <a:ea typeface="+mn-ea"/>
              <a:cs typeface="+mn-cs"/>
            </a:rPr>
            <a:t> </a:t>
          </a:r>
        </a:p>
        <a:p>
          <a:pPr lvl="0" fontAlgn="base"/>
          <a:r>
            <a:rPr lang="en-US" sz="1100" b="1">
              <a:solidFill>
                <a:schemeClr val="dk1"/>
              </a:solidFill>
              <a:effectLst/>
              <a:latin typeface="+mn-lt"/>
              <a:ea typeface="+mn-ea"/>
              <a:cs typeface="+mn-cs"/>
            </a:rPr>
            <a:t>Level 11: </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Class:</a:t>
          </a:r>
          <a:r>
            <a:rPr lang="en-US" sz="1100">
              <a:solidFill>
                <a:schemeClr val="dk1"/>
              </a:solidFill>
              <a:effectLst/>
              <a:latin typeface="+mn-lt"/>
              <a:ea typeface="+mn-ea"/>
              <a:cs typeface="+mn-cs"/>
            </a:rPr>
            <a:t> Hound Archon (level 9) </a:t>
          </a:r>
        </a:p>
        <a:p>
          <a:pPr lvl="0" fontAlgn="base"/>
          <a:r>
            <a:rPr lang="en-US" sz="1100" b="1">
              <a:solidFill>
                <a:schemeClr val="dk1"/>
              </a:solidFill>
              <a:effectLst/>
              <a:latin typeface="+mn-lt"/>
              <a:ea typeface="+mn-ea"/>
              <a:cs typeface="+mn-cs"/>
            </a:rPr>
            <a:t>Feats/Attribute Increase: </a:t>
          </a:r>
          <a:r>
            <a:rPr lang="en-US" sz="1100">
              <a:solidFill>
                <a:schemeClr val="dk1"/>
              </a:solidFill>
              <a:effectLst/>
              <a:latin typeface="+mn-lt"/>
              <a:ea typeface="+mn-ea"/>
              <a:cs typeface="+mn-cs"/>
            </a:rPr>
            <a:t>Attribute Increase (+1 to DEX)</a:t>
          </a:r>
        </a:p>
        <a:p>
          <a:pPr lvl="0" fontAlgn="base"/>
          <a:r>
            <a:rPr lang="en-US" sz="1100" b="1">
              <a:solidFill>
                <a:schemeClr val="dk1"/>
              </a:solidFill>
              <a:effectLst/>
              <a:latin typeface="+mn-lt"/>
              <a:ea typeface="+mn-ea"/>
              <a:cs typeface="+mn-cs"/>
            </a:rPr>
            <a:t>Skill Points: </a:t>
          </a:r>
          <a:r>
            <a:rPr lang="en-US" sz="1100">
              <a:solidFill>
                <a:schemeClr val="dk1"/>
              </a:solidFill>
              <a:effectLst/>
              <a:latin typeface="+mn-lt"/>
              <a:ea typeface="+mn-ea"/>
              <a:cs typeface="+mn-cs"/>
            </a:rPr>
            <a:t>8 + INT Mod = 8 (Climb +1, Hide +1, Jump +2, Listen +2 and Use Rope +2) </a:t>
          </a:r>
        </a:p>
        <a:p>
          <a:pPr lvl="0" fontAlgn="base"/>
          <a:r>
            <a:rPr lang="en-US" sz="1100" b="1">
              <a:solidFill>
                <a:schemeClr val="dk1"/>
              </a:solidFill>
              <a:effectLst/>
              <a:latin typeface="+mn-lt"/>
              <a:ea typeface="+mn-ea"/>
              <a:cs typeface="+mn-cs"/>
            </a:rPr>
            <a:t>Hit Point Increase:</a:t>
          </a:r>
          <a:r>
            <a:rPr lang="en-US" sz="1100">
              <a:solidFill>
                <a:schemeClr val="dk1"/>
              </a:solidFill>
              <a:effectLst/>
              <a:latin typeface="+mn-lt"/>
              <a:ea typeface="+mn-ea"/>
              <a:cs typeface="+mn-cs"/>
            </a:rPr>
            <a:t> d8 + CON Modifier (8 HD) </a:t>
          </a:r>
        </a:p>
        <a:p>
          <a:pPr lvl="0" fontAlgn="base"/>
          <a:r>
            <a:rPr lang="en-US" sz="1100" b="1">
              <a:solidFill>
                <a:schemeClr val="dk1"/>
              </a:solidFill>
              <a:effectLst/>
              <a:latin typeface="+mn-lt"/>
              <a:ea typeface="+mn-ea"/>
              <a:cs typeface="+mn-cs"/>
            </a:rPr>
            <a:t>Proficiencies / Class Abilities:</a:t>
          </a:r>
          <a:r>
            <a:rPr lang="en-US" sz="1100">
              <a:solidFill>
                <a:schemeClr val="dk1"/>
              </a:solidFill>
              <a:effectLst/>
              <a:latin typeface="+mn-lt"/>
              <a:ea typeface="+mn-ea"/>
              <a:cs typeface="+mn-cs"/>
            </a:rPr>
            <a:t> BAB +6/+1, DR 10/+1, +2 to CHArisma</a:t>
          </a:r>
        </a:p>
        <a:p>
          <a:pPr lvl="0" fontAlgn="base"/>
          <a:r>
            <a:rPr lang="en-US" sz="1100" b="1">
              <a:solidFill>
                <a:schemeClr val="dk1"/>
              </a:solidFill>
              <a:effectLst/>
              <a:latin typeface="+mn-lt"/>
              <a:ea typeface="+mn-ea"/>
              <a:cs typeface="+mn-cs"/>
            </a:rPr>
            <a:t>Equity Increase: </a:t>
          </a:r>
          <a:r>
            <a:rPr lang="en-US" sz="1100">
              <a:solidFill>
                <a:schemeClr val="dk1"/>
              </a:solidFill>
              <a:effectLst/>
              <a:latin typeface="+mn-lt"/>
              <a:ea typeface="+mn-ea"/>
              <a:cs typeface="+mn-cs"/>
            </a:rPr>
            <a:t>17,000gp (Total: 66,000gp)   </a:t>
          </a:r>
        </a:p>
        <a:p>
          <a:pPr lvl="0" fontAlgn="base"/>
          <a:r>
            <a:rPr lang="en-US" sz="1100" b="1">
              <a:solidFill>
                <a:schemeClr val="dk1"/>
              </a:solidFill>
              <a:effectLst/>
              <a:latin typeface="+mn-lt"/>
              <a:ea typeface="+mn-ea"/>
              <a:cs typeface="+mn-cs"/>
            </a:rPr>
            <a:t>Equipment/Magic Items: </a:t>
          </a:r>
          <a:r>
            <a:rPr lang="en-US" sz="1100">
              <a:solidFill>
                <a:schemeClr val="dk1"/>
              </a:solidFill>
              <a:effectLst/>
              <a:latin typeface="+mn-lt"/>
              <a:ea typeface="+mn-ea"/>
              <a:cs typeface="+mn-cs"/>
            </a:rPr>
            <a:t> TBD</a:t>
          </a:r>
        </a:p>
        <a:p>
          <a:pPr lvl="0" fontAlgn="base"/>
          <a:r>
            <a:rPr lang="en-US" sz="1100" b="1">
              <a:solidFill>
                <a:schemeClr val="dk1"/>
              </a:solidFill>
              <a:effectLst/>
              <a:latin typeface="+mn-lt"/>
              <a:ea typeface="+mn-ea"/>
              <a:cs typeface="+mn-cs"/>
            </a:rPr>
            <a:t>Armor/Weapons: </a:t>
          </a:r>
          <a:r>
            <a:rPr lang="en-US" sz="1100">
              <a:solidFill>
                <a:schemeClr val="dk1"/>
              </a:solidFill>
              <a:effectLst/>
              <a:latin typeface="+mn-lt"/>
              <a:ea typeface="+mn-ea"/>
              <a:cs typeface="+mn-cs"/>
            </a:rPr>
            <a:t>Add Blurstrike (+1 Bonus/6,000gp) to Silvered Hand Axe +1</a:t>
          </a:r>
        </a:p>
        <a:p>
          <a:pPr lvl="0" fontAlgn="base"/>
          <a:r>
            <a:rPr lang="en-US" sz="1100" b="1">
              <a:solidFill>
                <a:schemeClr val="dk1"/>
              </a:solidFill>
              <a:effectLst/>
              <a:latin typeface="+mn-lt"/>
              <a:ea typeface="+mn-ea"/>
              <a:cs typeface="+mn-cs"/>
            </a:rPr>
            <a:t>Equity Total: </a:t>
          </a:r>
          <a:r>
            <a:rPr lang="en-US" sz="1100">
              <a:solidFill>
                <a:schemeClr val="dk1"/>
              </a:solidFill>
              <a:effectLst/>
              <a:latin typeface="+mn-lt"/>
              <a:ea typeface="+mn-ea"/>
              <a:cs typeface="+mn-cs"/>
            </a:rPr>
            <a:t>54,202gp + 11,798gp in Coins and Misc. Equipment   </a:t>
          </a: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litz2670@yahoo.com?subject=Fist%20of%20Ligh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7"/>
  <sheetViews>
    <sheetView showGridLines="0" tabSelected="1" zoomScaleNormal="100" workbookViewId="0"/>
  </sheetViews>
  <sheetFormatPr defaultColWidth="13" defaultRowHeight="15.6" x14ac:dyDescent="0.3"/>
  <cols>
    <col min="1" max="1" width="16.296875" style="120" bestFit="1" customWidth="1"/>
    <col min="2" max="2" width="12" style="51" customWidth="1"/>
    <col min="3" max="3" width="4" style="51" customWidth="1"/>
    <col min="4" max="4" width="13.69921875" style="120" bestFit="1" customWidth="1"/>
    <col min="5" max="5" width="13.09765625" style="51" bestFit="1" customWidth="1"/>
    <col min="6" max="6" width="13.5" style="120" customWidth="1"/>
    <col min="7" max="7" width="13.5" style="51" customWidth="1"/>
    <col min="8" max="16384" width="13" style="13"/>
  </cols>
  <sheetData>
    <row r="1" spans="1:7" ht="29.4" thickTop="1" thickBot="1" x14ac:dyDescent="0.35">
      <c r="A1" s="237" t="s">
        <v>87</v>
      </c>
      <c r="B1" s="238" t="s">
        <v>88</v>
      </c>
      <c r="C1" s="121"/>
      <c r="D1" s="122"/>
      <c r="E1" s="122"/>
      <c r="F1" s="122"/>
      <c r="G1" s="123" t="s">
        <v>89</v>
      </c>
    </row>
    <row r="2" spans="1:7" ht="17.399999999999999" thickTop="1" x14ac:dyDescent="0.3">
      <c r="A2" s="124" t="s">
        <v>116</v>
      </c>
      <c r="B2" s="125" t="s">
        <v>90</v>
      </c>
      <c r="C2" s="125"/>
      <c r="D2" s="126" t="s">
        <v>117</v>
      </c>
      <c r="E2" s="127" t="s">
        <v>150</v>
      </c>
      <c r="F2" s="128"/>
      <c r="G2" s="129"/>
    </row>
    <row r="3" spans="1:7" ht="16.8" x14ac:dyDescent="0.3">
      <c r="A3" s="124" t="s">
        <v>118</v>
      </c>
      <c r="B3" s="125" t="s">
        <v>90</v>
      </c>
      <c r="C3" s="125"/>
      <c r="D3" s="126" t="s">
        <v>0</v>
      </c>
      <c r="E3" s="127">
        <v>7</v>
      </c>
      <c r="F3" s="126"/>
      <c r="G3" s="129"/>
    </row>
    <row r="4" spans="1:7" ht="16.8" x14ac:dyDescent="0.3">
      <c r="A4" s="124" t="s">
        <v>118</v>
      </c>
      <c r="B4" s="125" t="s">
        <v>230</v>
      </c>
      <c r="C4" s="125"/>
      <c r="D4" s="126" t="s">
        <v>0</v>
      </c>
      <c r="E4" s="127">
        <v>1</v>
      </c>
      <c r="F4" s="126"/>
      <c r="G4" s="129"/>
    </row>
    <row r="5" spans="1:7" ht="16.8" x14ac:dyDescent="0.3">
      <c r="A5" s="124" t="s">
        <v>119</v>
      </c>
      <c r="B5" s="125" t="s">
        <v>115</v>
      </c>
      <c r="C5" s="125"/>
      <c r="D5" s="126" t="s">
        <v>217</v>
      </c>
      <c r="E5" s="127">
        <f>5+E4</f>
        <v>6</v>
      </c>
      <c r="F5" s="126"/>
      <c r="G5" s="129"/>
    </row>
    <row r="6" spans="1:7" ht="16.8" x14ac:dyDescent="0.3">
      <c r="A6" s="124" t="s">
        <v>121</v>
      </c>
      <c r="B6" s="125" t="s">
        <v>79</v>
      </c>
      <c r="C6" s="125"/>
      <c r="D6" s="126" t="s">
        <v>120</v>
      </c>
      <c r="E6" s="127" t="s">
        <v>91</v>
      </c>
      <c r="F6" s="126"/>
      <c r="G6" s="129"/>
    </row>
    <row r="7" spans="1:7" ht="16.8" x14ac:dyDescent="0.3">
      <c r="A7" s="124" t="s">
        <v>123</v>
      </c>
      <c r="B7" s="125">
        <v>24</v>
      </c>
      <c r="C7" s="125"/>
      <c r="D7" s="126" t="s">
        <v>122</v>
      </c>
      <c r="E7" s="127" t="s">
        <v>104</v>
      </c>
      <c r="F7" s="126"/>
      <c r="G7" s="129"/>
    </row>
    <row r="8" spans="1:7" ht="17.399999999999999" thickBot="1" x14ac:dyDescent="0.35">
      <c r="A8" s="124" t="s">
        <v>124</v>
      </c>
      <c r="B8" s="125" t="s">
        <v>275</v>
      </c>
      <c r="C8" s="125"/>
      <c r="D8" s="126" t="s">
        <v>125</v>
      </c>
      <c r="E8" s="127" t="s">
        <v>245</v>
      </c>
      <c r="F8" s="126"/>
      <c r="G8" s="129"/>
    </row>
    <row r="9" spans="1:7" ht="17.399999999999999" thickTop="1" x14ac:dyDescent="0.3">
      <c r="A9" s="130" t="s">
        <v>126</v>
      </c>
      <c r="B9" s="452">
        <f>5+1+1</f>
        <v>7</v>
      </c>
      <c r="C9" s="445"/>
      <c r="D9" s="154" t="s">
        <v>69</v>
      </c>
      <c r="E9" s="236" t="s">
        <v>103</v>
      </c>
      <c r="F9" s="131"/>
      <c r="G9" s="129"/>
    </row>
    <row r="10" spans="1:7" ht="17.399999999999999" thickBot="1" x14ac:dyDescent="0.35">
      <c r="A10" s="211" t="s">
        <v>127</v>
      </c>
      <c r="B10" s="247" t="str">
        <f>C12</f>
        <v>+2</v>
      </c>
      <c r="C10" s="212"/>
      <c r="D10" s="233" t="s">
        <v>128</v>
      </c>
      <c r="E10" s="234">
        <v>30520</v>
      </c>
      <c r="F10" s="131"/>
      <c r="G10" s="129"/>
    </row>
    <row r="11" spans="1:7" ht="17.399999999999999" thickTop="1" x14ac:dyDescent="0.3">
      <c r="A11" s="132" t="s">
        <v>129</v>
      </c>
      <c r="B11" s="446">
        <f>14</f>
        <v>14</v>
      </c>
      <c r="C11" s="133" t="str">
        <f t="shared" ref="C11:C16" si="0">IF(B11&gt;9.9,CONCATENATE("+",ROUNDDOWN((B11-10)/2,0)),ROUNDUP((B11-10)/2,0))</f>
        <v>+2</v>
      </c>
      <c r="D11" s="134" t="s">
        <v>130</v>
      </c>
      <c r="E11" s="277" t="s">
        <v>102</v>
      </c>
      <c r="F11" s="131"/>
      <c r="G11" s="129"/>
    </row>
    <row r="12" spans="1:7" ht="16.8" x14ac:dyDescent="0.3">
      <c r="A12" s="135" t="s">
        <v>131</v>
      </c>
      <c r="B12" s="248">
        <f>15</f>
        <v>15</v>
      </c>
      <c r="C12" s="136" t="str">
        <f t="shared" si="0"/>
        <v>+2</v>
      </c>
      <c r="D12" s="137" t="s">
        <v>132</v>
      </c>
      <c r="E12" s="138">
        <f>SUM(Martial!G6:G43,Equipment!C3:C14)+5</f>
        <v>50.45</v>
      </c>
      <c r="F12" s="131"/>
      <c r="G12" s="129"/>
    </row>
    <row r="13" spans="1:7" ht="16.8" x14ac:dyDescent="0.3">
      <c r="A13" s="453" t="s">
        <v>133</v>
      </c>
      <c r="B13" s="248">
        <v>16</v>
      </c>
      <c r="C13" s="139" t="str">
        <f t="shared" si="0"/>
        <v>+3</v>
      </c>
      <c r="D13" s="140" t="s">
        <v>134</v>
      </c>
      <c r="E13" s="444">
        <f>ROUNDUP((($E$5-$E$4)*8*0.75)+(($E$4*8)*0.75)+($E$5*$C$13),0)</f>
        <v>54</v>
      </c>
      <c r="F13" s="131"/>
      <c r="G13" s="129"/>
    </row>
    <row r="14" spans="1:7" ht="16.8" x14ac:dyDescent="0.3">
      <c r="A14" s="141" t="s">
        <v>135</v>
      </c>
      <c r="B14" s="248">
        <v>10</v>
      </c>
      <c r="C14" s="136" t="str">
        <f t="shared" si="0"/>
        <v>+0</v>
      </c>
      <c r="D14" s="143" t="s">
        <v>136</v>
      </c>
      <c r="E14" s="240">
        <f>10+C12</f>
        <v>12</v>
      </c>
      <c r="F14" s="124"/>
      <c r="G14" s="129"/>
    </row>
    <row r="15" spans="1:7" ht="16.8" x14ac:dyDescent="0.3">
      <c r="A15" s="142" t="s">
        <v>137</v>
      </c>
      <c r="B15" s="248">
        <v>13</v>
      </c>
      <c r="C15" s="136" t="str">
        <f t="shared" si="0"/>
        <v>+1</v>
      </c>
      <c r="D15" s="143" t="s">
        <v>138</v>
      </c>
      <c r="E15" s="240">
        <f>E16-C12</f>
        <v>22</v>
      </c>
      <c r="F15" s="131"/>
      <c r="G15" s="129"/>
    </row>
    <row r="16" spans="1:7" ht="17.399999999999999" thickBot="1" x14ac:dyDescent="0.35">
      <c r="A16" s="144" t="s">
        <v>139</v>
      </c>
      <c r="B16" s="249">
        <v>13</v>
      </c>
      <c r="C16" s="235" t="str">
        <f t="shared" si="0"/>
        <v>+1</v>
      </c>
      <c r="D16" s="145" t="s">
        <v>140</v>
      </c>
      <c r="E16" s="241">
        <f>E14+SUM(Martial!B37:B39)</f>
        <v>24</v>
      </c>
      <c r="F16" s="146"/>
      <c r="G16" s="147"/>
    </row>
    <row r="17" ht="16.2" thickTop="1" x14ac:dyDescent="0.3"/>
  </sheetData>
  <phoneticPr fontId="0" type="noConversion"/>
  <conditionalFormatting sqref="E12">
    <cfRule type="cellIs" dxfId="83" priority="4" stopIfTrue="1" operator="greaterThan">
      <formula>116</formula>
    </cfRule>
    <cfRule type="cellIs" dxfId="82" priority="5" stopIfTrue="1" operator="between">
      <formula>58</formula>
      <formula>116</formula>
    </cfRule>
  </conditionalFormatting>
  <hyperlinks>
    <hyperlink ref="G1" r:id="rId1" xr:uid="{1C41234D-D7DF-45FD-B711-B6D5EF19AA96}"/>
  </hyperlinks>
  <printOptions gridLinesSet="0"/>
  <pageMargins left="0.25" right="0.25"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3"/>
  <sheetViews>
    <sheetView showGridLines="0" workbookViewId="0">
      <pane ySplit="2" topLeftCell="A3" activePane="bottomLeft" state="frozen"/>
      <selection activeCell="A3" sqref="A3"/>
      <selection pane="bottomLeft" activeCell="A3" sqref="A3"/>
    </sheetView>
  </sheetViews>
  <sheetFormatPr defaultColWidth="13" defaultRowHeight="15.6" x14ac:dyDescent="0.3"/>
  <cols>
    <col min="1" max="1" width="28.59765625" style="2" bestFit="1" customWidth="1"/>
    <col min="2" max="2" width="5.8984375" style="2" bestFit="1" customWidth="1"/>
    <col min="3" max="3" width="7.59765625" style="3" hidden="1" customWidth="1"/>
    <col min="4" max="4" width="5.8984375" style="3" hidden="1" customWidth="1"/>
    <col min="5" max="5" width="9.09765625" style="3" bestFit="1" customWidth="1"/>
    <col min="6" max="6" width="6.69921875" style="3" bestFit="1" customWidth="1"/>
    <col min="7" max="7" width="6" style="9" bestFit="1" customWidth="1"/>
    <col min="8" max="8" width="5.19921875" style="9" bestFit="1" customWidth="1"/>
    <col min="9" max="9" width="6.8984375" style="9" bestFit="1" customWidth="1"/>
    <col min="10" max="10" width="37.796875" style="2" customWidth="1"/>
    <col min="11" max="16384" width="13" style="1"/>
  </cols>
  <sheetData>
    <row r="1" spans="1:10" ht="23.4" thickBot="1" x14ac:dyDescent="0.35">
      <c r="A1" s="55" t="s">
        <v>6</v>
      </c>
      <c r="B1" s="56"/>
      <c r="C1" s="56"/>
      <c r="D1" s="56"/>
      <c r="E1" s="56"/>
      <c r="F1" s="56"/>
      <c r="G1" s="57"/>
      <c r="H1" s="57"/>
      <c r="I1" s="57"/>
      <c r="J1" s="56"/>
    </row>
    <row r="2" spans="1:10" s="302" customFormat="1" ht="34.200000000000003" thickBot="1" x14ac:dyDescent="0.35">
      <c r="A2" s="296" t="s">
        <v>84</v>
      </c>
      <c r="B2" s="297" t="s">
        <v>19</v>
      </c>
      <c r="C2" s="297" t="s">
        <v>26</v>
      </c>
      <c r="D2" s="297" t="s">
        <v>18</v>
      </c>
      <c r="E2" s="10" t="s">
        <v>51</v>
      </c>
      <c r="F2" s="10" t="s">
        <v>27</v>
      </c>
      <c r="G2" s="298" t="s">
        <v>53</v>
      </c>
      <c r="H2" s="299" t="s">
        <v>74</v>
      </c>
      <c r="I2" s="300" t="s">
        <v>67</v>
      </c>
      <c r="J2" s="301" t="s">
        <v>65</v>
      </c>
    </row>
    <row r="3" spans="1:10" s="4" customFormat="1" ht="16.8" x14ac:dyDescent="0.3">
      <c r="A3" s="275" t="s">
        <v>55</v>
      </c>
      <c r="B3" s="58">
        <f>4+2</f>
        <v>6</v>
      </c>
      <c r="C3" s="58" t="s">
        <v>21</v>
      </c>
      <c r="D3" s="59" t="str">
        <f>IF(C3="Str",'Personal File'!$C$11,IF(C3="Dex",'Personal File'!$C$12,IF(C3="Con",'Personal File'!$C$13,IF(C3="Int",'Personal File'!$C$14,IF(C3="Wis",'Personal File'!$C$15,IF(C3="Cha",'Personal File'!$C$16))))))</f>
        <v>+3</v>
      </c>
      <c r="E3" s="59" t="str">
        <f t="shared" ref="E3" si="0">CONCATENATE(C3," (",D3,")")</f>
        <v>Con (+3)</v>
      </c>
      <c r="F3" s="397">
        <v>1</v>
      </c>
      <c r="G3" s="403">
        <f>B3+D3+F3</f>
        <v>10</v>
      </c>
      <c r="H3" s="61">
        <f t="shared" ref="H3:H5" ca="1" si="1">RANDBETWEEN(1,20)</f>
        <v>2</v>
      </c>
      <c r="I3" s="60">
        <f t="shared" ref="I3" ca="1" si="2">SUM(G3:H3)</f>
        <v>12</v>
      </c>
      <c r="J3" s="399" t="s">
        <v>229</v>
      </c>
    </row>
    <row r="4" spans="1:10" s="4" customFormat="1" ht="16.8" x14ac:dyDescent="0.3">
      <c r="A4" s="62" t="s">
        <v>56</v>
      </c>
      <c r="B4" s="58">
        <f>4+2</f>
        <v>6</v>
      </c>
      <c r="C4" s="58" t="s">
        <v>24</v>
      </c>
      <c r="D4" s="63" t="str">
        <f>IF(C4="Str",'Personal File'!$C$11,IF(C4="Dex",'Personal File'!$C$12,IF(C4="Con",'Personal File'!$C$13,IF(C4="Int",'Personal File'!$C$14,IF(C4="Wis",'Personal File'!$C$15,IF(C4="Cha",'Personal File'!$C$16))))))</f>
        <v>+2</v>
      </c>
      <c r="E4" s="64" t="str">
        <f t="shared" ref="E4:E5" si="3">CONCATENATE(C4," (",D4,")")</f>
        <v>Dex (+2)</v>
      </c>
      <c r="F4" s="397">
        <v>1</v>
      </c>
      <c r="G4" s="403">
        <f>B4+D4+F4</f>
        <v>9</v>
      </c>
      <c r="H4" s="61">
        <f t="shared" ca="1" si="1"/>
        <v>12</v>
      </c>
      <c r="I4" s="60">
        <f t="shared" ref="I4:I45" ca="1" si="4">SUM(G4:H4)</f>
        <v>21</v>
      </c>
      <c r="J4" s="402" t="s">
        <v>232</v>
      </c>
    </row>
    <row r="5" spans="1:10" s="4" customFormat="1" ht="16.8" x14ac:dyDescent="0.3">
      <c r="A5" s="276" t="s">
        <v>57</v>
      </c>
      <c r="B5" s="66">
        <f>4+0</f>
        <v>4</v>
      </c>
      <c r="C5" s="66" t="s">
        <v>23</v>
      </c>
      <c r="D5" s="67" t="str">
        <f>IF(C5="Str",'Personal File'!$C$11,IF(C5="Dex",'Personal File'!$C$12,IF(C5="Con",'Personal File'!$C$13,IF(C5="Int",'Personal File'!$C$14,IF(C5="Wis",'Personal File'!$C$15,IF(C5="Cha",'Personal File'!$C$16))))))</f>
        <v>+1</v>
      </c>
      <c r="E5" s="68" t="str">
        <f t="shared" si="3"/>
        <v>Wis (+1)</v>
      </c>
      <c r="F5" s="398">
        <v>1</v>
      </c>
      <c r="G5" s="404">
        <f>B5+D5+F5</f>
        <v>6</v>
      </c>
      <c r="H5" s="69">
        <f t="shared" ca="1" si="1"/>
        <v>1</v>
      </c>
      <c r="I5" s="303">
        <f t="shared" ca="1" si="4"/>
        <v>7</v>
      </c>
      <c r="J5" s="194"/>
    </row>
    <row r="6" spans="1:10" s="4" customFormat="1" ht="16.8" x14ac:dyDescent="0.3">
      <c r="A6" s="70" t="s">
        <v>28</v>
      </c>
      <c r="B6" s="71">
        <v>0</v>
      </c>
      <c r="C6" s="72" t="s">
        <v>22</v>
      </c>
      <c r="D6" s="73" t="str">
        <f>IF(C6="Str",'Personal File'!$C$11,IF(C6="Dex",'Personal File'!$C$12,IF(C6="Con",'Personal File'!$C$13,IF(C6="Int",'Personal File'!$C$14,IF(C6="Wis",'Personal File'!$C$15,IF(C6="Cha",'Personal File'!$C$16))))))</f>
        <v>+0</v>
      </c>
      <c r="E6" s="73" t="str">
        <f t="shared" ref="E6" si="5">CONCATENATE(C6," (",D6,")")</f>
        <v>Int (+0)</v>
      </c>
      <c r="F6" s="74">
        <v>0</v>
      </c>
      <c r="G6" s="75">
        <f t="shared" ref="G6:G45" si="6">B6+D6+F6</f>
        <v>0</v>
      </c>
      <c r="H6" s="61">
        <f ca="1">RANDBETWEEN(1,20)</f>
        <v>16</v>
      </c>
      <c r="I6" s="60">
        <f t="shared" ca="1" si="4"/>
        <v>16</v>
      </c>
      <c r="J6" s="112"/>
    </row>
    <row r="7" spans="1:10" s="8" customFormat="1" ht="16.8" x14ac:dyDescent="0.3">
      <c r="A7" s="286" t="s">
        <v>29</v>
      </c>
      <c r="B7" s="82">
        <v>1</v>
      </c>
      <c r="C7" s="287" t="s">
        <v>24</v>
      </c>
      <c r="D7" s="288" t="str">
        <f>IF(C7="Str",'Personal File'!$C$11,IF(C7="Dex",'Personal File'!$C$12,IF(C7="Con",'Personal File'!$C$13,IF(C7="Int",'Personal File'!$C$14,IF(C7="Wis",'Personal File'!$C$15,IF(C7="Cha",'Personal File'!$C$16))))))</f>
        <v>+2</v>
      </c>
      <c r="E7" s="288" t="str">
        <f t="shared" ref="E7:E45" si="7">CONCATENATE(C7," (",D7,")")</f>
        <v>Dex (+2)</v>
      </c>
      <c r="F7" s="285">
        <f>SUM(Martial!$D$37:$D$39)</f>
        <v>0</v>
      </c>
      <c r="G7" s="83">
        <f t="shared" si="6"/>
        <v>3</v>
      </c>
      <c r="H7" s="61">
        <f t="shared" ref="H7:H44" ca="1" si="8">RANDBETWEEN(1,20)</f>
        <v>18</v>
      </c>
      <c r="I7" s="304">
        <f t="shared" ca="1" si="4"/>
        <v>21</v>
      </c>
      <c r="J7" s="200" t="s">
        <v>225</v>
      </c>
    </row>
    <row r="8" spans="1:10" s="6" customFormat="1" ht="16.8" x14ac:dyDescent="0.3">
      <c r="A8" s="78" t="s">
        <v>30</v>
      </c>
      <c r="B8" s="71">
        <v>0</v>
      </c>
      <c r="C8" s="79" t="s">
        <v>20</v>
      </c>
      <c r="D8" s="80" t="str">
        <f>IF(C8="Str",'Personal File'!$C$11,IF(C8="Dex",'Personal File'!$C$12,IF(C8="Con",'Personal File'!$C$13,IF(C8="Int",'Personal File'!$C$14,IF(C8="Wis",'Personal File'!$C$15,IF(C8="Cha",'Personal File'!$C$16))))))</f>
        <v>+1</v>
      </c>
      <c r="E8" s="81" t="str">
        <f t="shared" si="7"/>
        <v>Cha (+1)</v>
      </c>
      <c r="F8" s="75" t="s">
        <v>52</v>
      </c>
      <c r="G8" s="75">
        <f t="shared" si="6"/>
        <v>1</v>
      </c>
      <c r="H8" s="61">
        <f t="shared" ca="1" si="8"/>
        <v>9</v>
      </c>
      <c r="I8" s="60">
        <f t="shared" ca="1" si="4"/>
        <v>10</v>
      </c>
      <c r="J8" s="112" t="s">
        <v>276</v>
      </c>
    </row>
    <row r="9" spans="1:10" s="5" customFormat="1" ht="16.8" x14ac:dyDescent="0.3">
      <c r="A9" s="164" t="s">
        <v>31</v>
      </c>
      <c r="B9" s="82">
        <v>4</v>
      </c>
      <c r="C9" s="165" t="s">
        <v>25</v>
      </c>
      <c r="D9" s="166" t="str">
        <f>IF(C9="Str",'Personal File'!$C$11,IF(C9="Dex",'Personal File'!$C$12,IF(C9="Con",'Personal File'!$C$13,IF(C9="Int",'Personal File'!$C$14,IF(C9="Wis",'Personal File'!$C$15,IF(C9="Cha",'Personal File'!$C$16))))))</f>
        <v>+2</v>
      </c>
      <c r="E9" s="166" t="str">
        <f t="shared" si="7"/>
        <v>Str (+2)</v>
      </c>
      <c r="F9" s="285">
        <f>SUM(Martial!$D$37:$D$39)</f>
        <v>0</v>
      </c>
      <c r="G9" s="83">
        <f t="shared" si="6"/>
        <v>6</v>
      </c>
      <c r="H9" s="61">
        <f t="shared" ca="1" si="8"/>
        <v>20</v>
      </c>
      <c r="I9" s="304">
        <f t="shared" ca="1" si="4"/>
        <v>26</v>
      </c>
      <c r="J9" s="200" t="s">
        <v>276</v>
      </c>
    </row>
    <row r="10" spans="1:10" s="5" customFormat="1" ht="16.8" x14ac:dyDescent="0.3">
      <c r="A10" s="230" t="s">
        <v>7</v>
      </c>
      <c r="B10" s="82">
        <v>5</v>
      </c>
      <c r="C10" s="231" t="s">
        <v>21</v>
      </c>
      <c r="D10" s="232" t="str">
        <f>IF(C10="Str",'Personal File'!$C$11,IF(C10="Dex",'Personal File'!$C$12,IF(C10="Con",'Personal File'!$C$13,IF(C10="Int",'Personal File'!$C$14,IF(C10="Wis",'Personal File'!$C$15,IF(C10="Cha",'Personal File'!$C$16))))))</f>
        <v>+3</v>
      </c>
      <c r="E10" s="232" t="str">
        <f t="shared" si="7"/>
        <v>Con (+3)</v>
      </c>
      <c r="F10" s="83" t="s">
        <v>52</v>
      </c>
      <c r="G10" s="83">
        <f t="shared" si="6"/>
        <v>8</v>
      </c>
      <c r="H10" s="61">
        <f t="shared" ca="1" si="8"/>
        <v>11</v>
      </c>
      <c r="I10" s="304">
        <f t="shared" ca="1" si="4"/>
        <v>19</v>
      </c>
      <c r="J10" s="200" t="s">
        <v>276</v>
      </c>
    </row>
    <row r="11" spans="1:10" s="4" customFormat="1" ht="16.8" x14ac:dyDescent="0.3">
      <c r="A11" s="100" t="s">
        <v>105</v>
      </c>
      <c r="B11" s="82">
        <v>4</v>
      </c>
      <c r="C11" s="101" t="s">
        <v>22</v>
      </c>
      <c r="D11" s="102" t="str">
        <f>IF(C11="Str",'Personal File'!$C$11,IF(C11="Dex",'Personal File'!$C$12,IF(C11="Con",'Personal File'!$C$13,IF(C11="Int",'Personal File'!$C$14,IF(C11="Wis",'Personal File'!$C$15,IF(C11="Cha",'Personal File'!$C$16))))))</f>
        <v>+0</v>
      </c>
      <c r="E11" s="102" t="str">
        <f t="shared" si="7"/>
        <v>Int (+0)</v>
      </c>
      <c r="F11" s="83" t="s">
        <v>52</v>
      </c>
      <c r="G11" s="83">
        <f t="shared" si="6"/>
        <v>4</v>
      </c>
      <c r="H11" s="61">
        <f t="shared" ca="1" si="8"/>
        <v>2</v>
      </c>
      <c r="I11" s="304">
        <f t="shared" ca="1" si="4"/>
        <v>6</v>
      </c>
      <c r="J11" s="200" t="s">
        <v>276</v>
      </c>
    </row>
    <row r="12" spans="1:10" s="7" customFormat="1" ht="16.8" x14ac:dyDescent="0.3">
      <c r="A12" s="85" t="s">
        <v>32</v>
      </c>
      <c r="B12" s="86">
        <v>0</v>
      </c>
      <c r="C12" s="87" t="s">
        <v>22</v>
      </c>
      <c r="D12" s="88" t="str">
        <f>IF(C12="Str",'Personal File'!$C$11,IF(C12="Dex",'Personal File'!$C$12,IF(C12="Con",'Personal File'!$C$13,IF(C12="Int",'Personal File'!$C$14,IF(C12="Wis",'Personal File'!$C$15,IF(C12="Cha",'Personal File'!$C$16))))))</f>
        <v>+0</v>
      </c>
      <c r="E12" s="88" t="str">
        <f t="shared" si="7"/>
        <v>Int (+0)</v>
      </c>
      <c r="F12" s="89" t="s">
        <v>52</v>
      </c>
      <c r="G12" s="89">
        <f t="shared" si="6"/>
        <v>0</v>
      </c>
      <c r="H12" s="61">
        <f t="shared" ca="1" si="8"/>
        <v>6</v>
      </c>
      <c r="I12" s="89">
        <f t="shared" ca="1" si="4"/>
        <v>6</v>
      </c>
      <c r="J12" s="400" t="s">
        <v>276</v>
      </c>
    </row>
    <row r="13" spans="1:10" s="8" customFormat="1" ht="16.8" x14ac:dyDescent="0.3">
      <c r="A13" s="224" t="s">
        <v>33</v>
      </c>
      <c r="B13" s="225">
        <v>0</v>
      </c>
      <c r="C13" s="226" t="s">
        <v>20</v>
      </c>
      <c r="D13" s="227" t="str">
        <f>IF(C13="Str",'Personal File'!$C$11,IF(C13="Dex",'Personal File'!$C$12,IF(C13="Con",'Personal File'!$C$13,IF(C13="Int",'Personal File'!$C$14,IF(C13="Wis",'Personal File'!$C$15,IF(C13="Cha",'Personal File'!$C$16))))))</f>
        <v>+1</v>
      </c>
      <c r="E13" s="228" t="str">
        <f t="shared" si="7"/>
        <v>Cha (+1)</v>
      </c>
      <c r="F13" s="229" t="s">
        <v>52</v>
      </c>
      <c r="G13" s="229">
        <f t="shared" si="6"/>
        <v>1</v>
      </c>
      <c r="H13" s="61">
        <f t="shared" ca="1" si="8"/>
        <v>18</v>
      </c>
      <c r="I13" s="229">
        <f t="shared" ca="1" si="4"/>
        <v>19</v>
      </c>
      <c r="J13" s="447" t="s">
        <v>276</v>
      </c>
    </row>
    <row r="14" spans="1:10" s="8" customFormat="1" ht="16.8" x14ac:dyDescent="0.3">
      <c r="A14" s="85" t="s">
        <v>34</v>
      </c>
      <c r="B14" s="86">
        <v>0</v>
      </c>
      <c r="C14" s="87" t="s">
        <v>22</v>
      </c>
      <c r="D14" s="88" t="str">
        <f>IF(C14="Str",'Personal File'!$C$11,IF(C14="Dex",'Personal File'!$C$12,IF(C14="Con",'Personal File'!$C$13,IF(C14="Int",'Personal File'!$C$14,IF(C14="Wis",'Personal File'!$C$15,IF(C14="Cha",'Personal File'!$C$16))))))</f>
        <v>+0</v>
      </c>
      <c r="E14" s="88" t="str">
        <f t="shared" si="7"/>
        <v>Int (+0)</v>
      </c>
      <c r="F14" s="89" t="s">
        <v>52</v>
      </c>
      <c r="G14" s="89">
        <f t="shared" si="6"/>
        <v>0</v>
      </c>
      <c r="H14" s="61">
        <f t="shared" ca="1" si="8"/>
        <v>6</v>
      </c>
      <c r="I14" s="89">
        <f t="shared" ca="1" si="4"/>
        <v>6</v>
      </c>
      <c r="J14" s="400" t="s">
        <v>276</v>
      </c>
    </row>
    <row r="15" spans="1:10" s="8" customFormat="1" ht="16.8" x14ac:dyDescent="0.3">
      <c r="A15" s="78" t="s">
        <v>35</v>
      </c>
      <c r="B15" s="71">
        <v>0</v>
      </c>
      <c r="C15" s="79" t="s">
        <v>20</v>
      </c>
      <c r="D15" s="80" t="str">
        <f>IF(C15="Str",'Personal File'!$C$11,IF(C15="Dex",'Personal File'!$C$12,IF(C15="Con",'Personal File'!$C$13,IF(C15="Int",'Personal File'!$C$14,IF(C15="Wis",'Personal File'!$C$15,IF(C15="Cha",'Personal File'!$C$16))))))</f>
        <v>+1</v>
      </c>
      <c r="E15" s="81" t="str">
        <f t="shared" si="7"/>
        <v>Cha (+1)</v>
      </c>
      <c r="F15" s="75" t="s">
        <v>52</v>
      </c>
      <c r="G15" s="75">
        <f t="shared" si="6"/>
        <v>1</v>
      </c>
      <c r="H15" s="61">
        <f t="shared" ca="1" si="8"/>
        <v>15</v>
      </c>
      <c r="I15" s="75">
        <f t="shared" ca="1" si="4"/>
        <v>16</v>
      </c>
      <c r="J15" s="112" t="s">
        <v>276</v>
      </c>
    </row>
    <row r="16" spans="1:10" s="8" customFormat="1" ht="16.8" x14ac:dyDescent="0.3">
      <c r="A16" s="76" t="s">
        <v>36</v>
      </c>
      <c r="B16" s="71">
        <v>0</v>
      </c>
      <c r="C16" s="77" t="s">
        <v>24</v>
      </c>
      <c r="D16" s="63" t="str">
        <f>IF(C16="Str",'Personal File'!$C$11,IF(C16="Dex",'Personal File'!$C$12,IF(C16="Con",'Personal File'!$C$13,IF(C16="Int",'Personal File'!$C$14,IF(C16="Wis",'Personal File'!$C$15,IF(C16="Cha",'Personal File'!$C$16))))))</f>
        <v>+2</v>
      </c>
      <c r="E16" s="64" t="str">
        <f t="shared" si="7"/>
        <v>Dex (+2)</v>
      </c>
      <c r="F16" s="209">
        <f>SUM(Martial!$D$37:$D$39)</f>
        <v>0</v>
      </c>
      <c r="G16" s="75">
        <f t="shared" si="6"/>
        <v>2</v>
      </c>
      <c r="H16" s="61">
        <f t="shared" ca="1" si="8"/>
        <v>14</v>
      </c>
      <c r="I16" s="75">
        <f t="shared" ca="1" si="4"/>
        <v>16</v>
      </c>
      <c r="J16" s="112" t="s">
        <v>276</v>
      </c>
    </row>
    <row r="17" spans="1:10" s="8" customFormat="1" ht="16.8" x14ac:dyDescent="0.3">
      <c r="A17" s="92" t="s">
        <v>37</v>
      </c>
      <c r="B17" s="93">
        <v>0</v>
      </c>
      <c r="C17" s="94" t="s">
        <v>22</v>
      </c>
      <c r="D17" s="95" t="str">
        <f>IF(C17="Str",'Personal File'!$C$11,IF(C17="Dex",'Personal File'!$C$12,IF(C17="Con",'Personal File'!$C$13,IF(C17="Int",'Personal File'!$C$14,IF(C17="Wis",'Personal File'!$C$15,IF(C17="Cha",'Personal File'!$C$16))))))</f>
        <v>+0</v>
      </c>
      <c r="E17" s="95" t="str">
        <f t="shared" si="7"/>
        <v>Int (+0)</v>
      </c>
      <c r="F17" s="96" t="s">
        <v>52</v>
      </c>
      <c r="G17" s="96">
        <f t="shared" si="6"/>
        <v>0</v>
      </c>
      <c r="H17" s="61">
        <f t="shared" ca="1" si="8"/>
        <v>6</v>
      </c>
      <c r="I17" s="96">
        <f t="shared" ca="1" si="4"/>
        <v>6</v>
      </c>
      <c r="J17" s="201" t="s">
        <v>276</v>
      </c>
    </row>
    <row r="18" spans="1:10" s="8" customFormat="1" ht="16.8" x14ac:dyDescent="0.3">
      <c r="A18" s="78" t="s">
        <v>38</v>
      </c>
      <c r="B18" s="71">
        <v>0</v>
      </c>
      <c r="C18" s="79" t="s">
        <v>20</v>
      </c>
      <c r="D18" s="80" t="str">
        <f>IF(C18="Str",'Personal File'!$C$11,IF(C18="Dex",'Personal File'!$C$12,IF(C18="Con",'Personal File'!$C$13,IF(C18="Int",'Personal File'!$C$14,IF(C18="Wis",'Personal File'!$C$15,IF(C18="Cha",'Personal File'!$C$16))))))</f>
        <v>+1</v>
      </c>
      <c r="E18" s="81" t="str">
        <f t="shared" si="7"/>
        <v>Cha (+1)</v>
      </c>
      <c r="F18" s="75" t="s">
        <v>52</v>
      </c>
      <c r="G18" s="75">
        <f t="shared" si="6"/>
        <v>1</v>
      </c>
      <c r="H18" s="61">
        <f t="shared" ca="1" si="8"/>
        <v>20</v>
      </c>
      <c r="I18" s="75">
        <f t="shared" ca="1" si="4"/>
        <v>21</v>
      </c>
      <c r="J18" s="112" t="s">
        <v>276</v>
      </c>
    </row>
    <row r="19" spans="1:10" s="8" customFormat="1" ht="16.8" x14ac:dyDescent="0.3">
      <c r="A19" s="78" t="s">
        <v>9</v>
      </c>
      <c r="B19" s="71">
        <v>0</v>
      </c>
      <c r="C19" s="79" t="s">
        <v>20</v>
      </c>
      <c r="D19" s="80" t="str">
        <f>IF(C19="Str",'Personal File'!$C$11,IF(C19="Dex",'Personal File'!$C$12,IF(C19="Con",'Personal File'!$C$13,IF(C19="Int",'Personal File'!$C$14,IF(C19="Wis",'Personal File'!$C$15,IF(C19="Cha",'Personal File'!$C$16))))))</f>
        <v>+1</v>
      </c>
      <c r="E19" s="81" t="str">
        <f t="shared" si="7"/>
        <v>Cha (+1)</v>
      </c>
      <c r="F19" s="75" t="s">
        <v>52</v>
      </c>
      <c r="G19" s="75">
        <f t="shared" si="6"/>
        <v>1</v>
      </c>
      <c r="H19" s="61">
        <f t="shared" ca="1" si="8"/>
        <v>4</v>
      </c>
      <c r="I19" s="75">
        <f t="shared" ca="1" si="4"/>
        <v>5</v>
      </c>
      <c r="J19" s="112"/>
    </row>
    <row r="20" spans="1:10" s="8" customFormat="1" ht="16.8" x14ac:dyDescent="0.3">
      <c r="A20" s="352" t="s">
        <v>39</v>
      </c>
      <c r="B20" s="71">
        <v>0</v>
      </c>
      <c r="C20" s="353" t="s">
        <v>23</v>
      </c>
      <c r="D20" s="354" t="str">
        <f>IF(C20="Str",'Personal File'!$C$11,IF(C20="Dex",'Personal File'!$C$12,IF(C20="Con",'Personal File'!$C$13,IF(C20="Int",'Personal File'!$C$14,IF(C20="Wis",'Personal File'!$C$15,IF(C20="Cha",'Personal File'!$C$16))))))</f>
        <v>+1</v>
      </c>
      <c r="E20" s="354" t="str">
        <f t="shared" si="7"/>
        <v>Wis (+1)</v>
      </c>
      <c r="F20" s="209">
        <f>SUM(Martial!$D$37:$D$39)</f>
        <v>0</v>
      </c>
      <c r="G20" s="75">
        <f t="shared" si="6"/>
        <v>1</v>
      </c>
      <c r="H20" s="61">
        <f t="shared" ca="1" si="8"/>
        <v>19</v>
      </c>
      <c r="I20" s="75">
        <f t="shared" ca="1" si="4"/>
        <v>20</v>
      </c>
      <c r="J20" s="112"/>
    </row>
    <row r="21" spans="1:10" s="8" customFormat="1" ht="16.8" x14ac:dyDescent="0.3">
      <c r="A21" s="286" t="s">
        <v>40</v>
      </c>
      <c r="B21" s="82">
        <v>6</v>
      </c>
      <c r="C21" s="287" t="s">
        <v>24</v>
      </c>
      <c r="D21" s="288" t="str">
        <f>IF(C21="Str",'Personal File'!$C$11,IF(C21="Dex",'Personal File'!$C$12,IF(C21="Con",'Personal File'!$C$13,IF(C21="Int",'Personal File'!$C$14,IF(C21="Wis",'Personal File'!$C$15,IF(C21="Cha",'Personal File'!$C$16))))))</f>
        <v>+2</v>
      </c>
      <c r="E21" s="288" t="str">
        <f t="shared" si="7"/>
        <v>Dex (+2)</v>
      </c>
      <c r="F21" s="285">
        <f>SUM(Martial!$D$37:$D$39)</f>
        <v>0</v>
      </c>
      <c r="G21" s="83">
        <f t="shared" si="6"/>
        <v>8</v>
      </c>
      <c r="H21" s="61">
        <f t="shared" ca="1" si="8"/>
        <v>9</v>
      </c>
      <c r="I21" s="83">
        <f t="shared" ca="1" si="4"/>
        <v>17</v>
      </c>
      <c r="J21" s="200"/>
    </row>
    <row r="22" spans="1:10" s="8" customFormat="1" ht="16.8" x14ac:dyDescent="0.3">
      <c r="A22" s="97" t="s">
        <v>41</v>
      </c>
      <c r="B22" s="93">
        <v>0</v>
      </c>
      <c r="C22" s="98" t="s">
        <v>20</v>
      </c>
      <c r="D22" s="99" t="str">
        <f>IF(C22="Str",'Personal File'!$C$11,IF(C22="Dex",'Personal File'!$C$12,IF(C22="Con",'Personal File'!$C$13,IF(C22="Int",'Personal File'!$C$14,IF(C22="Wis",'Personal File'!$C$15,IF(C22="Cha",'Personal File'!$C$16))))))</f>
        <v>+1</v>
      </c>
      <c r="E22" s="387" t="str">
        <f t="shared" si="7"/>
        <v>Cha (+1)</v>
      </c>
      <c r="F22" s="96" t="s">
        <v>52</v>
      </c>
      <c r="G22" s="96">
        <f t="shared" si="6"/>
        <v>1</v>
      </c>
      <c r="H22" s="61">
        <f t="shared" ca="1" si="8"/>
        <v>11</v>
      </c>
      <c r="I22" s="96">
        <f t="shared" ca="1" si="4"/>
        <v>12</v>
      </c>
      <c r="J22" s="201"/>
    </row>
    <row r="23" spans="1:10" s="8" customFormat="1" ht="16.8" x14ac:dyDescent="0.3">
      <c r="A23" s="164" t="s">
        <v>42</v>
      </c>
      <c r="B23" s="82">
        <v>3</v>
      </c>
      <c r="C23" s="165" t="s">
        <v>25</v>
      </c>
      <c r="D23" s="166" t="str">
        <f>IF(C23="Str",'Personal File'!$C$11,IF(C23="Dex",'Personal File'!$C$12,IF(C23="Con",'Personal File'!$C$13,IF(C23="Int",'Personal File'!$C$14,IF(C23="Wis",'Personal File'!$C$15,IF(C23="Cha",'Personal File'!$C$16))))))</f>
        <v>+2</v>
      </c>
      <c r="E23" s="166" t="str">
        <f t="shared" si="7"/>
        <v>Str (+2)</v>
      </c>
      <c r="F23" s="285">
        <f>SUM(Martial!$D$37:$D$39)</f>
        <v>0</v>
      </c>
      <c r="G23" s="83">
        <f t="shared" si="6"/>
        <v>5</v>
      </c>
      <c r="H23" s="61">
        <f t="shared" ca="1" si="8"/>
        <v>16</v>
      </c>
      <c r="I23" s="83">
        <f t="shared" ca="1" si="4"/>
        <v>21</v>
      </c>
      <c r="J23" s="200"/>
    </row>
    <row r="24" spans="1:10" s="8" customFormat="1" ht="16.8" x14ac:dyDescent="0.3">
      <c r="A24" s="100" t="s">
        <v>106</v>
      </c>
      <c r="B24" s="82">
        <v>2</v>
      </c>
      <c r="C24" s="101" t="s">
        <v>22</v>
      </c>
      <c r="D24" s="102" t="str">
        <f>IF(C24="Str",'Personal File'!$C$11,IF(C24="Dex",'Personal File'!$C$12,IF(C24="Con",'Personal File'!$C$13,IF(C24="Int",'Personal File'!$C$14,IF(C24="Wis",'Personal File'!$C$15,IF(C24="Cha",'Personal File'!$C$16))))))</f>
        <v>+0</v>
      </c>
      <c r="E24" s="102" t="str">
        <f>CONCATENATE(C24," (",D24,")")</f>
        <v>Int (+0)</v>
      </c>
      <c r="F24" s="83" t="s">
        <v>52</v>
      </c>
      <c r="G24" s="83">
        <f t="shared" ref="G24" si="9">B24+D24+F24</f>
        <v>2</v>
      </c>
      <c r="H24" s="61">
        <f t="shared" ca="1" si="8"/>
        <v>3</v>
      </c>
      <c r="I24" s="83">
        <f t="shared" ref="I24" ca="1" si="10">SUM(G24:H24)</f>
        <v>5</v>
      </c>
      <c r="J24" s="84" t="s">
        <v>225</v>
      </c>
    </row>
    <row r="25" spans="1:10" s="8" customFormat="1" ht="16.8" x14ac:dyDescent="0.3">
      <c r="A25" s="100" t="s">
        <v>238</v>
      </c>
      <c r="B25" s="82">
        <v>1</v>
      </c>
      <c r="C25" s="101" t="s">
        <v>22</v>
      </c>
      <c r="D25" s="102" t="str">
        <f>IF(C25="Str",'Personal File'!$C$11,IF(C25="Dex",'Personal File'!$C$12,IF(C25="Con",'Personal File'!$C$13,IF(C25="Int",'Personal File'!$C$14,IF(C25="Wis",'Personal File'!$C$15,IF(C25="Cha",'Personal File'!$C$16))))))</f>
        <v>+0</v>
      </c>
      <c r="E25" s="102" t="str">
        <f>CONCATENATE(C25," (",D25,")")</f>
        <v>Int (+0)</v>
      </c>
      <c r="F25" s="83" t="s">
        <v>52</v>
      </c>
      <c r="G25" s="83">
        <f t="shared" ref="G25" si="11">B25+D25+F25</f>
        <v>1</v>
      </c>
      <c r="H25" s="61">
        <f t="shared" ca="1" si="8"/>
        <v>18</v>
      </c>
      <c r="I25" s="83">
        <f t="shared" ref="I25" ca="1" si="12">SUM(G25:H25)</f>
        <v>19</v>
      </c>
      <c r="J25" s="84"/>
    </row>
    <row r="26" spans="1:10" s="8" customFormat="1" ht="16.8" x14ac:dyDescent="0.3">
      <c r="A26" s="100" t="s">
        <v>176</v>
      </c>
      <c r="B26" s="82">
        <v>2</v>
      </c>
      <c r="C26" s="101" t="s">
        <v>22</v>
      </c>
      <c r="D26" s="102" t="str">
        <f>IF(C26="Str",'Personal File'!$C$11,IF(C26="Dex",'Personal File'!$C$12,IF(C26="Con",'Personal File'!$C$13,IF(C26="Int",'Personal File'!$C$14,IF(C26="Wis",'Personal File'!$C$15,IF(C26="Cha",'Personal File'!$C$16))))))</f>
        <v>+0</v>
      </c>
      <c r="E26" s="102" t="str">
        <f>CONCATENATE(C26," (",D26,")")</f>
        <v>Int (+0)</v>
      </c>
      <c r="F26" s="83" t="s">
        <v>52</v>
      </c>
      <c r="G26" s="83">
        <f t="shared" ref="G26" si="13">B26+D26+F26</f>
        <v>2</v>
      </c>
      <c r="H26" s="61">
        <f t="shared" ca="1" si="8"/>
        <v>5</v>
      </c>
      <c r="I26" s="83">
        <f t="shared" ref="I26" ca="1" si="14">SUM(G26:H26)</f>
        <v>7</v>
      </c>
      <c r="J26" s="200" t="s">
        <v>225</v>
      </c>
    </row>
    <row r="27" spans="1:10" s="8" customFormat="1" ht="16.8" x14ac:dyDescent="0.3">
      <c r="A27" s="213" t="s">
        <v>43</v>
      </c>
      <c r="B27" s="82">
        <v>5</v>
      </c>
      <c r="C27" s="214" t="s">
        <v>23</v>
      </c>
      <c r="D27" s="215" t="str">
        <f>IF(C27="Str",'Personal File'!$C$11,IF(C27="Dex",'Personal File'!$C$12,IF(C27="Con",'Personal File'!$C$13,IF(C27="Int",'Personal File'!$C$14,IF(C27="Wis",'Personal File'!$C$15,IF(C27="Cha",'Personal File'!$C$16))))))</f>
        <v>+1</v>
      </c>
      <c r="E27" s="289" t="str">
        <f t="shared" si="7"/>
        <v>Wis (+1)</v>
      </c>
      <c r="F27" s="83" t="s">
        <v>52</v>
      </c>
      <c r="G27" s="83">
        <f t="shared" si="6"/>
        <v>6</v>
      </c>
      <c r="H27" s="61">
        <f t="shared" ca="1" si="8"/>
        <v>13</v>
      </c>
      <c r="I27" s="83">
        <f t="shared" ca="1" si="4"/>
        <v>19</v>
      </c>
      <c r="J27" s="84"/>
    </row>
    <row r="28" spans="1:10" s="8" customFormat="1" ht="16.8" x14ac:dyDescent="0.3">
      <c r="A28" s="76" t="s">
        <v>10</v>
      </c>
      <c r="B28" s="71">
        <v>0</v>
      </c>
      <c r="C28" s="77" t="s">
        <v>24</v>
      </c>
      <c r="D28" s="63" t="str">
        <f>IF(C28="Str",'Personal File'!$C$11,IF(C28="Dex",'Personal File'!$C$12,IF(C28="Con",'Personal File'!$C$13,IF(C28="Int",'Personal File'!$C$14,IF(C28="Wis",'Personal File'!$C$15,IF(C28="Cha",'Personal File'!$C$16))))))</f>
        <v>+2</v>
      </c>
      <c r="E28" s="63" t="str">
        <f t="shared" si="7"/>
        <v>Dex (+2)</v>
      </c>
      <c r="F28" s="209">
        <f>SUM(Martial!$D$37:$D$39)</f>
        <v>0</v>
      </c>
      <c r="G28" s="75">
        <f t="shared" si="6"/>
        <v>2</v>
      </c>
      <c r="H28" s="61">
        <f t="shared" ca="1" si="8"/>
        <v>4</v>
      </c>
      <c r="I28" s="75">
        <f t="shared" ca="1" si="4"/>
        <v>6</v>
      </c>
      <c r="J28" s="65"/>
    </row>
    <row r="29" spans="1:10" s="8" customFormat="1" ht="16.8" x14ac:dyDescent="0.3">
      <c r="A29" s="103" t="s">
        <v>44</v>
      </c>
      <c r="B29" s="86">
        <v>0</v>
      </c>
      <c r="C29" s="104" t="s">
        <v>24</v>
      </c>
      <c r="D29" s="105" t="str">
        <f>IF(C29="Str",'Personal File'!$C$11,IF(C29="Dex",'Personal File'!$C$12,IF(C29="Con",'Personal File'!$C$13,IF(C29="Int",'Personal File'!$C$14,IF(C29="Wis",'Personal File'!$C$15,IF(C29="Cha",'Personal File'!$C$16))))))</f>
        <v>+2</v>
      </c>
      <c r="E29" s="105" t="str">
        <f t="shared" si="7"/>
        <v>Dex (+2)</v>
      </c>
      <c r="F29" s="89" t="s">
        <v>52</v>
      </c>
      <c r="G29" s="89">
        <f t="shared" si="6"/>
        <v>2</v>
      </c>
      <c r="H29" s="61">
        <f t="shared" ca="1" si="8"/>
        <v>6</v>
      </c>
      <c r="I29" s="89">
        <f t="shared" ca="1" si="4"/>
        <v>8</v>
      </c>
      <c r="J29" s="90"/>
    </row>
    <row r="30" spans="1:10" ht="16.8" x14ac:dyDescent="0.3">
      <c r="A30" s="78" t="s">
        <v>70</v>
      </c>
      <c r="B30" s="71">
        <v>0</v>
      </c>
      <c r="C30" s="79" t="s">
        <v>20</v>
      </c>
      <c r="D30" s="80" t="str">
        <f>IF(C30="Str",'Personal File'!$C$11,IF(C30="Dex",'Personal File'!$C$12,IF(C30="Con",'Personal File'!$C$13,IF(C30="Int",'Personal File'!$C$14,IF(C30="Wis",'Personal File'!$C$15,IF(C30="Cha",'Personal File'!$C$16))))))</f>
        <v>+1</v>
      </c>
      <c r="E30" s="81" t="str">
        <f t="shared" si="7"/>
        <v>Cha (+1)</v>
      </c>
      <c r="F30" s="75" t="s">
        <v>52</v>
      </c>
      <c r="G30" s="75">
        <f t="shared" si="6"/>
        <v>1</v>
      </c>
      <c r="H30" s="61">
        <f t="shared" ca="1" si="8"/>
        <v>11</v>
      </c>
      <c r="I30" s="75">
        <f t="shared" ca="1" si="4"/>
        <v>12</v>
      </c>
      <c r="J30" s="65"/>
    </row>
    <row r="31" spans="1:10" ht="16.8" x14ac:dyDescent="0.3">
      <c r="A31" s="91" t="s">
        <v>107</v>
      </c>
      <c r="B31" s="82">
        <v>5</v>
      </c>
      <c r="C31" s="214" t="s">
        <v>23</v>
      </c>
      <c r="D31" s="215" t="str">
        <f>IF(C31="Str",'Personal File'!$C$11,IF(C31="Dex",'Personal File'!$C$12,IF(C31="Con",'Personal File'!$C$13,IF(C31="Int",'Personal File'!$C$14,IF(C31="Wis",'Personal File'!$C$15,IF(C31="Cha",'Personal File'!$C$16))))))</f>
        <v>+1</v>
      </c>
      <c r="E31" s="215" t="str">
        <f t="shared" si="7"/>
        <v>Wis (+1)</v>
      </c>
      <c r="F31" s="83" t="s">
        <v>52</v>
      </c>
      <c r="G31" s="83">
        <f t="shared" si="6"/>
        <v>6</v>
      </c>
      <c r="H31" s="61">
        <f t="shared" ca="1" si="8"/>
        <v>12</v>
      </c>
      <c r="I31" s="83">
        <f t="shared" ca="1" si="4"/>
        <v>18</v>
      </c>
      <c r="J31" s="84"/>
    </row>
    <row r="32" spans="1:10" ht="16.8" x14ac:dyDescent="0.3">
      <c r="A32" s="91" t="s">
        <v>178</v>
      </c>
      <c r="B32" s="82">
        <v>2</v>
      </c>
      <c r="C32" s="214" t="s">
        <v>23</v>
      </c>
      <c r="D32" s="215" t="str">
        <f>IF(C32="Str",'Personal File'!$C$11,IF(C32="Dex",'Personal File'!$C$12,IF(C32="Con",'Personal File'!$C$13,IF(C32="Int",'Personal File'!$C$14,IF(C32="Wis",'Personal File'!$C$15,IF(C32="Cha",'Personal File'!$C$16))))))</f>
        <v>+1</v>
      </c>
      <c r="E32" s="215" t="str">
        <f t="shared" ref="E32" si="15">CONCATENATE(C32," (",D32,")")</f>
        <v>Wis (+1)</v>
      </c>
      <c r="F32" s="83" t="s">
        <v>52</v>
      </c>
      <c r="G32" s="83">
        <f t="shared" ref="G32" si="16">B32+D32+F32</f>
        <v>3</v>
      </c>
      <c r="H32" s="61">
        <f t="shared" ca="1" si="8"/>
        <v>16</v>
      </c>
      <c r="I32" s="83">
        <f t="shared" ref="I32" ca="1" si="17">SUM(G32:H32)</f>
        <v>19</v>
      </c>
      <c r="J32" s="84"/>
    </row>
    <row r="33" spans="1:10" ht="16.8" x14ac:dyDescent="0.3">
      <c r="A33" s="91" t="s">
        <v>177</v>
      </c>
      <c r="B33" s="82">
        <v>2</v>
      </c>
      <c r="C33" s="214" t="s">
        <v>23</v>
      </c>
      <c r="D33" s="215" t="str">
        <f>IF(C33="Str",'Personal File'!$C$11,IF(C33="Dex",'Personal File'!$C$12,IF(C33="Con",'Personal File'!$C$13,IF(C33="Int",'Personal File'!$C$14,IF(C33="Wis",'Personal File'!$C$15,IF(C33="Cha",'Personal File'!$C$16))))))</f>
        <v>+1</v>
      </c>
      <c r="E33" s="215" t="str">
        <f t="shared" ref="E33" si="18">CONCATENATE(C33," (",D33,")")</f>
        <v>Wis (+1)</v>
      </c>
      <c r="F33" s="83" t="s">
        <v>52</v>
      </c>
      <c r="G33" s="83">
        <f t="shared" ref="G33" si="19">B33+D33+F33</f>
        <v>3</v>
      </c>
      <c r="H33" s="61">
        <f t="shared" ca="1" si="8"/>
        <v>4</v>
      </c>
      <c r="I33" s="83">
        <f t="shared" ref="I33" ca="1" si="20">SUM(G33:H33)</f>
        <v>7</v>
      </c>
      <c r="J33" s="84"/>
    </row>
    <row r="34" spans="1:10" ht="16.8" x14ac:dyDescent="0.3">
      <c r="A34" s="278" t="s">
        <v>11</v>
      </c>
      <c r="B34" s="279">
        <v>0</v>
      </c>
      <c r="C34" s="280" t="s">
        <v>24</v>
      </c>
      <c r="D34" s="281" t="str">
        <f>IF(C34="Str",'Personal File'!$C$11,IF(C34="Dex",'Personal File'!$C$12,IF(C34="Con",'Personal File'!$C$13,IF(C34="Int",'Personal File'!$C$14,IF(C34="Wis",'Personal File'!$C$15,IF(C34="Cha",'Personal File'!$C$16))))))</f>
        <v>+2</v>
      </c>
      <c r="E34" s="282" t="str">
        <f t="shared" si="7"/>
        <v>Dex (+2)</v>
      </c>
      <c r="F34" s="283" t="s">
        <v>52</v>
      </c>
      <c r="G34" s="283">
        <f t="shared" si="6"/>
        <v>2</v>
      </c>
      <c r="H34" s="61">
        <f t="shared" ca="1" si="8"/>
        <v>20</v>
      </c>
      <c r="I34" s="283">
        <f t="shared" ca="1" si="4"/>
        <v>22</v>
      </c>
      <c r="J34" s="284"/>
    </row>
    <row r="35" spans="1:10" ht="16.8" x14ac:dyDescent="0.3">
      <c r="A35" s="100" t="s">
        <v>12</v>
      </c>
      <c r="B35" s="82">
        <v>2</v>
      </c>
      <c r="C35" s="101" t="s">
        <v>22</v>
      </c>
      <c r="D35" s="102" t="str">
        <f>IF(C35="Str",'Personal File'!$C$11,IF(C35="Dex",'Personal File'!$C$12,IF(C35="Con",'Personal File'!$C$13,IF(C35="Int",'Personal File'!$C$14,IF(C35="Wis",'Personal File'!$C$15,IF(C35="Cha",'Personal File'!$C$16))))))</f>
        <v>+0</v>
      </c>
      <c r="E35" s="102" t="str">
        <f t="shared" si="7"/>
        <v>Int (+0)</v>
      </c>
      <c r="F35" s="83" t="s">
        <v>52</v>
      </c>
      <c r="G35" s="83">
        <f t="shared" si="6"/>
        <v>2</v>
      </c>
      <c r="H35" s="61">
        <f t="shared" ca="1" si="8"/>
        <v>16</v>
      </c>
      <c r="I35" s="83">
        <f t="shared" ca="1" si="4"/>
        <v>18</v>
      </c>
      <c r="J35" s="200"/>
    </row>
    <row r="36" spans="1:10" ht="16.8" x14ac:dyDescent="0.3">
      <c r="A36" s="213" t="s">
        <v>45</v>
      </c>
      <c r="B36" s="82">
        <v>1</v>
      </c>
      <c r="C36" s="214" t="s">
        <v>23</v>
      </c>
      <c r="D36" s="215" t="str">
        <f>IF(C36="Str",'Personal File'!$C$11,IF(C36="Dex",'Personal File'!$C$12,IF(C36="Con",'Personal File'!$C$13,IF(C36="Int",'Personal File'!$C$14,IF(C36="Wis",'Personal File'!$C$15,IF(C36="Cha",'Personal File'!$C$16))))))</f>
        <v>+1</v>
      </c>
      <c r="E36" s="215" t="str">
        <f t="shared" si="7"/>
        <v>Wis (+1)</v>
      </c>
      <c r="F36" s="83" t="s">
        <v>52</v>
      </c>
      <c r="G36" s="83">
        <f t="shared" si="6"/>
        <v>2</v>
      </c>
      <c r="H36" s="61">
        <f t="shared" ca="1" si="8"/>
        <v>16</v>
      </c>
      <c r="I36" s="83">
        <f t="shared" ca="1" si="4"/>
        <v>18</v>
      </c>
      <c r="J36" s="84"/>
    </row>
    <row r="37" spans="1:10" ht="16.8" x14ac:dyDescent="0.3">
      <c r="A37" s="103" t="s">
        <v>71</v>
      </c>
      <c r="B37" s="86">
        <v>0</v>
      </c>
      <c r="C37" s="104" t="s">
        <v>24</v>
      </c>
      <c r="D37" s="105" t="str">
        <f>IF(C37="Str",'Personal File'!$C$11,IF(C37="Dex",'Personal File'!$C$12,IF(C37="Con",'Personal File'!$C$13,IF(C37="Int",'Personal File'!$C$14,IF(C37="Wis",'Personal File'!$C$15,IF(C37="Cha",'Personal File'!$C$16))))))</f>
        <v>+2</v>
      </c>
      <c r="E37" s="105" t="str">
        <f t="shared" si="7"/>
        <v>Dex (+2)</v>
      </c>
      <c r="F37" s="110">
        <f>SUM(Martial!$D$37:$D$39)</f>
        <v>0</v>
      </c>
      <c r="G37" s="89">
        <f t="shared" si="6"/>
        <v>2</v>
      </c>
      <c r="H37" s="61">
        <f t="shared" ca="1" si="8"/>
        <v>1</v>
      </c>
      <c r="I37" s="89">
        <f t="shared" ca="1" si="4"/>
        <v>3</v>
      </c>
      <c r="J37" s="90"/>
    </row>
    <row r="38" spans="1:10" ht="16.8" x14ac:dyDescent="0.3">
      <c r="A38" s="106" t="s">
        <v>195</v>
      </c>
      <c r="B38" s="107">
        <v>0</v>
      </c>
      <c r="C38" s="108" t="s">
        <v>22</v>
      </c>
      <c r="D38" s="109" t="str">
        <f>IF(C38="Str",'Personal File'!$C$11,IF(C38="Dex",'Personal File'!$C$12,IF(C38="Con",'Personal File'!$C$13,IF(C38="Int",'Personal File'!$C$14,IF(C38="Wis",'Personal File'!$C$15,IF(C38="Cha",'Personal File'!$C$16))))))</f>
        <v>+0</v>
      </c>
      <c r="E38" s="109" t="str">
        <f t="shared" ref="E38" si="21">CONCATENATE(C38," (",D38,")")</f>
        <v>Int (+0)</v>
      </c>
      <c r="F38" s="110" t="s">
        <v>52</v>
      </c>
      <c r="G38" s="110">
        <f t="shared" ref="G38" si="22">B38+D38+F38</f>
        <v>0</v>
      </c>
      <c r="H38" s="61">
        <f t="shared" ca="1" si="8"/>
        <v>20</v>
      </c>
      <c r="I38" s="110">
        <f t="shared" ref="I38" ca="1" si="23">SUM(G38:H38)</f>
        <v>20</v>
      </c>
      <c r="J38" s="111"/>
    </row>
    <row r="39" spans="1:10" ht="16.8" x14ac:dyDescent="0.3">
      <c r="A39" s="106" t="s">
        <v>46</v>
      </c>
      <c r="B39" s="107">
        <v>0</v>
      </c>
      <c r="C39" s="108" t="s">
        <v>22</v>
      </c>
      <c r="D39" s="109" t="str">
        <f>IF(C39="Str",'Personal File'!$C$11,IF(C39="Dex",'Personal File'!$C$12,IF(C39="Con",'Personal File'!$C$13,IF(C39="Int",'Personal File'!$C$14,IF(C39="Wis",'Personal File'!$C$15,IF(C39="Cha",'Personal File'!$C$16))))))</f>
        <v>+0</v>
      </c>
      <c r="E39" s="109" t="str">
        <f t="shared" si="7"/>
        <v>Int (+0)</v>
      </c>
      <c r="F39" s="110" t="s">
        <v>52</v>
      </c>
      <c r="G39" s="110">
        <f t="shared" si="6"/>
        <v>0</v>
      </c>
      <c r="H39" s="61">
        <f t="shared" ca="1" si="8"/>
        <v>17</v>
      </c>
      <c r="I39" s="110">
        <f t="shared" ca="1" si="4"/>
        <v>17</v>
      </c>
      <c r="J39" s="111"/>
    </row>
    <row r="40" spans="1:10" ht="16.8" x14ac:dyDescent="0.3">
      <c r="A40" s="213" t="s">
        <v>47</v>
      </c>
      <c r="B40" s="82">
        <v>7</v>
      </c>
      <c r="C40" s="214" t="s">
        <v>23</v>
      </c>
      <c r="D40" s="215" t="str">
        <f>IF(C40="Str",'Personal File'!$C$11,IF(C40="Dex",'Personal File'!$C$12,IF(C40="Con",'Personal File'!$C$13,IF(C40="Int",'Personal File'!$C$14,IF(C40="Wis",'Personal File'!$C$15,IF(C40="Cha",'Personal File'!$C$16))))))</f>
        <v>+1</v>
      </c>
      <c r="E40" s="215" t="str">
        <f t="shared" si="7"/>
        <v>Wis (+1)</v>
      </c>
      <c r="F40" s="83" t="s">
        <v>52</v>
      </c>
      <c r="G40" s="83">
        <f t="shared" si="6"/>
        <v>8</v>
      </c>
      <c r="H40" s="61">
        <f t="shared" ca="1" si="8"/>
        <v>6</v>
      </c>
      <c r="I40" s="83">
        <f t="shared" ca="1" si="4"/>
        <v>14</v>
      </c>
      <c r="J40" s="84"/>
    </row>
    <row r="41" spans="1:10" ht="16.8" x14ac:dyDescent="0.3">
      <c r="A41" s="213" t="s">
        <v>72</v>
      </c>
      <c r="B41" s="82">
        <v>8</v>
      </c>
      <c r="C41" s="214" t="s">
        <v>23</v>
      </c>
      <c r="D41" s="215" t="str">
        <f>IF(C41="Str",'Personal File'!$C$11,IF(C41="Dex",'Personal File'!$C$12,IF(C41="Con",'Personal File'!$C$13,IF(C41="Int",'Personal File'!$C$14,IF(C41="Wis",'Personal File'!$C$15,IF(C41="Cha",'Personal File'!$C$16))))))</f>
        <v>+1</v>
      </c>
      <c r="E41" s="215" t="str">
        <f t="shared" si="7"/>
        <v>Wis (+1)</v>
      </c>
      <c r="F41" s="83" t="s">
        <v>52</v>
      </c>
      <c r="G41" s="83">
        <f t="shared" si="6"/>
        <v>9</v>
      </c>
      <c r="H41" s="61">
        <f t="shared" ca="1" si="8"/>
        <v>8</v>
      </c>
      <c r="I41" s="83">
        <f t="shared" ca="1" si="4"/>
        <v>17</v>
      </c>
      <c r="J41" s="200"/>
    </row>
    <row r="42" spans="1:10" ht="16.8" x14ac:dyDescent="0.3">
      <c r="A42" s="164" t="s">
        <v>13</v>
      </c>
      <c r="B42" s="82">
        <v>3</v>
      </c>
      <c r="C42" s="165" t="s">
        <v>25</v>
      </c>
      <c r="D42" s="166" t="str">
        <f>IF(C42="Str",'Personal File'!$C$11,IF(C42="Dex",'Personal File'!$C$12,IF(C42="Con",'Personal File'!$C$13,IF(C42="Int",'Personal File'!$C$14,IF(C42="Wis",'Personal File'!$C$15,IF(C42="Cha",'Personal File'!$C$16))))))</f>
        <v>+2</v>
      </c>
      <c r="E42" s="166" t="str">
        <f t="shared" si="7"/>
        <v>Str (+2)</v>
      </c>
      <c r="F42" s="83" t="s">
        <v>52</v>
      </c>
      <c r="G42" s="83">
        <f t="shared" si="6"/>
        <v>5</v>
      </c>
      <c r="H42" s="61">
        <f t="shared" ca="1" si="8"/>
        <v>15</v>
      </c>
      <c r="I42" s="83">
        <f t="shared" ca="1" si="4"/>
        <v>20</v>
      </c>
      <c r="J42" s="200"/>
    </row>
    <row r="43" spans="1:10" ht="16.8" x14ac:dyDescent="0.3">
      <c r="A43" s="113" t="s">
        <v>48</v>
      </c>
      <c r="B43" s="107">
        <v>0</v>
      </c>
      <c r="C43" s="114" t="s">
        <v>24</v>
      </c>
      <c r="D43" s="115" t="str">
        <f>IF(C43="Str",'Personal File'!$C$11,IF(C43="Dex",'Personal File'!$C$12,IF(C43="Con",'Personal File'!$C$13,IF(C43="Int",'Personal File'!$C$14,IF(C43="Wis",'Personal File'!$C$15,IF(C43="Cha",'Personal File'!$C$16))))))</f>
        <v>+2</v>
      </c>
      <c r="E43" s="115" t="str">
        <f t="shared" si="7"/>
        <v>Dex (+2)</v>
      </c>
      <c r="F43" s="110">
        <f>SUM(Martial!$D$37:$D$39)</f>
        <v>0</v>
      </c>
      <c r="G43" s="110">
        <f t="shared" si="6"/>
        <v>2</v>
      </c>
      <c r="H43" s="61">
        <f t="shared" ca="1" si="8"/>
        <v>10</v>
      </c>
      <c r="I43" s="110">
        <f t="shared" ca="1" si="4"/>
        <v>12</v>
      </c>
      <c r="J43" s="111"/>
    </row>
    <row r="44" spans="1:10" ht="16.8" x14ac:dyDescent="0.3">
      <c r="A44" s="116" t="s">
        <v>49</v>
      </c>
      <c r="B44" s="86">
        <v>0</v>
      </c>
      <c r="C44" s="117" t="s">
        <v>20</v>
      </c>
      <c r="D44" s="118" t="str">
        <f>IF(C44="Str",'Personal File'!$C$11,IF(C44="Dex",'Personal File'!$C$12,IF(C44="Con",'Personal File'!$C$13,IF(C44="Int",'Personal File'!$C$14,IF(C44="Wis",'Personal File'!$C$15,IF(C44="Cha",'Personal File'!$C$16))))))</f>
        <v>+1</v>
      </c>
      <c r="E44" s="118" t="str">
        <f t="shared" si="7"/>
        <v>Cha (+1)</v>
      </c>
      <c r="F44" s="89" t="s">
        <v>52</v>
      </c>
      <c r="G44" s="89">
        <f t="shared" si="6"/>
        <v>1</v>
      </c>
      <c r="H44" s="61">
        <f t="shared" ca="1" si="8"/>
        <v>16</v>
      </c>
      <c r="I44" s="89">
        <f t="shared" ca="1" si="4"/>
        <v>17</v>
      </c>
      <c r="J44" s="90"/>
    </row>
    <row r="45" spans="1:10" ht="17.399999999999999" thickBot="1" x14ac:dyDescent="0.35">
      <c r="A45" s="290" t="s">
        <v>50</v>
      </c>
      <c r="B45" s="291">
        <v>2</v>
      </c>
      <c r="C45" s="292" t="s">
        <v>24</v>
      </c>
      <c r="D45" s="293" t="str">
        <f>IF(C45="Str",'Personal File'!$C$11,IF(C45="Dex",'Personal File'!$C$12,IF(C45="Con",'Personal File'!$C$13,IF(C45="Int",'Personal File'!$C$14,IF(C45="Wis",'Personal File'!$C$15,IF(C45="Cha",'Personal File'!$C$16))))))</f>
        <v>+2</v>
      </c>
      <c r="E45" s="293" t="str">
        <f t="shared" si="7"/>
        <v>Dex (+2)</v>
      </c>
      <c r="F45" s="294" t="s">
        <v>52</v>
      </c>
      <c r="G45" s="294">
        <f t="shared" si="6"/>
        <v>4</v>
      </c>
      <c r="H45" s="119">
        <f t="shared" ref="H45" ca="1" si="24">RANDBETWEEN(1,20)</f>
        <v>7</v>
      </c>
      <c r="I45" s="294">
        <f t="shared" ca="1" si="4"/>
        <v>11</v>
      </c>
      <c r="J45" s="295"/>
    </row>
    <row r="46" spans="1:10" ht="16.2" thickTop="1" x14ac:dyDescent="0.3">
      <c r="A46" s="155"/>
      <c r="B46" s="156">
        <f>SUM(B6:B45)+B7+B24+B26</f>
        <v>70</v>
      </c>
      <c r="C46" s="157"/>
      <c r="D46" s="157"/>
      <c r="E46" s="156">
        <f>SUM(E47:E54)</f>
        <v>70</v>
      </c>
      <c r="F46" s="159" t="s">
        <v>53</v>
      </c>
      <c r="G46" s="157"/>
      <c r="H46" s="157"/>
      <c r="I46" s="157"/>
      <c r="J46" s="155"/>
    </row>
    <row r="47" spans="1:10" x14ac:dyDescent="0.3">
      <c r="A47" s="155"/>
      <c r="B47" s="156"/>
      <c r="C47" s="157"/>
      <c r="D47" s="157"/>
      <c r="E47" s="161">
        <f>4*(8+'Personal File'!$C$14)</f>
        <v>32</v>
      </c>
      <c r="F47" s="159" t="s">
        <v>98</v>
      </c>
      <c r="G47" s="157"/>
      <c r="H47" s="157"/>
      <c r="I47" s="157"/>
      <c r="J47" s="155"/>
    </row>
    <row r="48" spans="1:10" x14ac:dyDescent="0.3">
      <c r="A48" s="155"/>
      <c r="B48" s="156"/>
      <c r="C48" s="157"/>
      <c r="D48" s="157"/>
      <c r="E48" s="161">
        <f>8+'Personal File'!$C$14</f>
        <v>8</v>
      </c>
      <c r="F48" s="159" t="s">
        <v>155</v>
      </c>
      <c r="G48" s="157"/>
      <c r="H48" s="157"/>
      <c r="I48" s="157"/>
      <c r="J48" s="155"/>
    </row>
    <row r="49" spans="1:10" x14ac:dyDescent="0.3">
      <c r="A49" s="155"/>
      <c r="B49" s="156"/>
      <c r="C49" s="157"/>
      <c r="D49" s="157"/>
      <c r="E49" s="161">
        <f>8+'Personal File'!$C$14</f>
        <v>8</v>
      </c>
      <c r="F49" s="159" t="s">
        <v>156</v>
      </c>
      <c r="G49" s="157"/>
      <c r="H49" s="157"/>
      <c r="I49" s="157"/>
      <c r="J49" s="155"/>
    </row>
    <row r="50" spans="1:10" x14ac:dyDescent="0.3">
      <c r="A50" s="155"/>
      <c r="B50" s="156"/>
      <c r="C50" s="157"/>
      <c r="D50" s="157"/>
      <c r="E50" s="343">
        <v>0</v>
      </c>
      <c r="F50" s="159" t="s">
        <v>172</v>
      </c>
      <c r="G50" s="157"/>
      <c r="H50" s="157"/>
      <c r="I50" s="157"/>
      <c r="J50" s="155"/>
    </row>
    <row r="51" spans="1:10" x14ac:dyDescent="0.3">
      <c r="A51" s="155"/>
      <c r="B51" s="156"/>
      <c r="C51" s="157"/>
      <c r="D51" s="157"/>
      <c r="E51" s="161">
        <f>8+'Personal File'!$C$14</f>
        <v>8</v>
      </c>
      <c r="F51" s="159" t="s">
        <v>173</v>
      </c>
      <c r="G51" s="157"/>
      <c r="H51" s="157"/>
      <c r="I51" s="157"/>
      <c r="J51" s="155"/>
    </row>
    <row r="52" spans="1:10" x14ac:dyDescent="0.3">
      <c r="A52" s="155"/>
      <c r="B52" s="156"/>
      <c r="C52" s="157"/>
      <c r="D52" s="157"/>
      <c r="E52" s="343">
        <v>0</v>
      </c>
      <c r="F52" s="159" t="s">
        <v>175</v>
      </c>
      <c r="G52" s="157"/>
      <c r="H52" s="157"/>
      <c r="I52" s="157"/>
      <c r="J52" s="155"/>
    </row>
    <row r="53" spans="1:10" x14ac:dyDescent="0.3">
      <c r="A53" s="155"/>
      <c r="B53" s="156"/>
      <c r="C53" s="157"/>
      <c r="D53" s="157"/>
      <c r="E53" s="161">
        <f>8+'Personal File'!$C$14</f>
        <v>8</v>
      </c>
      <c r="F53" s="159" t="s">
        <v>218</v>
      </c>
      <c r="G53" s="157"/>
      <c r="H53" s="157"/>
      <c r="I53" s="157"/>
      <c r="J53" s="155"/>
    </row>
    <row r="54" spans="1:10" x14ac:dyDescent="0.3">
      <c r="A54" s="155"/>
      <c r="B54" s="156"/>
      <c r="C54" s="157"/>
      <c r="D54" s="157"/>
      <c r="E54" s="161">
        <f>6+'Personal File'!$C$14</f>
        <v>6</v>
      </c>
      <c r="F54" s="159" t="s">
        <v>237</v>
      </c>
      <c r="G54" s="157"/>
      <c r="H54" s="157"/>
      <c r="I54" s="157"/>
      <c r="J54" s="155"/>
    </row>
    <row r="55" spans="1:10" x14ac:dyDescent="0.3">
      <c r="A55" s="155"/>
      <c r="B55" s="156"/>
      <c r="C55" s="157"/>
      <c r="D55" s="157"/>
      <c r="E55" s="161"/>
      <c r="F55" s="160"/>
      <c r="G55" s="157"/>
      <c r="H55" s="157"/>
      <c r="I55" s="157"/>
      <c r="J55" s="155"/>
    </row>
    <row r="56" spans="1:10" x14ac:dyDescent="0.3">
      <c r="A56" s="155"/>
      <c r="B56" s="156"/>
      <c r="C56" s="157"/>
      <c r="D56" s="157"/>
      <c r="E56" s="161"/>
      <c r="F56" s="160"/>
      <c r="G56" s="157"/>
      <c r="H56" s="157"/>
      <c r="I56" s="157"/>
      <c r="J56" s="155"/>
    </row>
    <row r="57" spans="1:10" x14ac:dyDescent="0.3">
      <c r="A57" s="155"/>
      <c r="B57" s="156"/>
      <c r="C57" s="157"/>
      <c r="D57" s="157"/>
      <c r="E57" s="161"/>
      <c r="F57" s="160"/>
      <c r="G57" s="157"/>
      <c r="H57" s="157"/>
      <c r="I57" s="157"/>
      <c r="J57" s="155"/>
    </row>
    <row r="58" spans="1:10" x14ac:dyDescent="0.3">
      <c r="A58" s="155"/>
      <c r="B58" s="156"/>
      <c r="C58" s="157"/>
      <c r="D58" s="157"/>
      <c r="E58" s="161"/>
      <c r="F58" s="160"/>
      <c r="G58" s="157"/>
      <c r="H58" s="157"/>
      <c r="I58" s="157"/>
      <c r="J58" s="155"/>
    </row>
    <row r="59" spans="1:10" x14ac:dyDescent="0.3">
      <c r="A59" s="155"/>
      <c r="B59" s="156"/>
      <c r="C59" s="157"/>
      <c r="D59" s="157"/>
      <c r="E59" s="161"/>
      <c r="F59" s="160"/>
      <c r="G59" s="157"/>
      <c r="H59" s="157"/>
      <c r="I59" s="157"/>
      <c r="J59" s="155"/>
    </row>
    <row r="60" spans="1:10" x14ac:dyDescent="0.3">
      <c r="A60" s="155"/>
      <c r="B60" s="156"/>
      <c r="C60" s="157"/>
      <c r="D60" s="157"/>
      <c r="E60" s="161"/>
      <c r="F60" s="160"/>
      <c r="G60" s="157"/>
      <c r="H60" s="157"/>
      <c r="I60" s="157"/>
      <c r="J60" s="155"/>
    </row>
    <row r="61" spans="1:10" x14ac:dyDescent="0.3">
      <c r="A61" s="155"/>
      <c r="B61" s="155"/>
      <c r="C61" s="157"/>
      <c r="D61" s="157"/>
      <c r="E61" s="158"/>
      <c r="F61" s="160"/>
      <c r="G61" s="157"/>
      <c r="H61" s="157"/>
      <c r="I61" s="157"/>
      <c r="J61" s="155"/>
    </row>
    <row r="62" spans="1:10" x14ac:dyDescent="0.3">
      <c r="A62" s="162"/>
      <c r="B62" s="162"/>
      <c r="C62" s="163"/>
      <c r="D62" s="163"/>
      <c r="E62" s="163"/>
      <c r="F62" s="163"/>
      <c r="G62" s="163"/>
      <c r="H62" s="163"/>
      <c r="I62" s="163"/>
      <c r="J62" s="162"/>
    </row>
    <row r="63" spans="1:10" x14ac:dyDescent="0.3">
      <c r="A63" s="162"/>
      <c r="B63" s="162"/>
      <c r="C63" s="163"/>
      <c r="D63" s="163"/>
      <c r="E63" s="163"/>
      <c r="F63" s="163"/>
      <c r="G63" s="163"/>
      <c r="H63" s="163"/>
      <c r="I63" s="163"/>
      <c r="J63" s="162"/>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6"/>
  <sheetViews>
    <sheetView showGridLines="0" workbookViewId="0"/>
  </sheetViews>
  <sheetFormatPr defaultColWidth="13" defaultRowHeight="15.6" x14ac:dyDescent="0.3"/>
  <cols>
    <col min="1" max="1" width="31.796875" style="52" bestFit="1" customWidth="1"/>
    <col min="2" max="2" width="2.09765625" style="50" customWidth="1"/>
    <col min="3" max="3" width="15.296875" style="50" bestFit="1" customWidth="1"/>
    <col min="4" max="4" width="6.19921875" style="50" bestFit="1" customWidth="1"/>
    <col min="5" max="5" width="4.09765625" style="50" bestFit="1" customWidth="1"/>
    <col min="6" max="6" width="6.296875" style="50" bestFit="1" customWidth="1"/>
    <col min="7" max="16384" width="13" style="50"/>
  </cols>
  <sheetData>
    <row r="1" spans="1:6" ht="24" thickTop="1" thickBot="1" x14ac:dyDescent="0.3">
      <c r="A1" s="222" t="s">
        <v>101</v>
      </c>
      <c r="B1" s="329"/>
      <c r="C1" s="330" t="s">
        <v>210</v>
      </c>
      <c r="D1" s="320"/>
      <c r="E1" s="320"/>
      <c r="F1" s="331"/>
    </row>
    <row r="2" spans="1:6" ht="17.399999999999999" thickTop="1" x14ac:dyDescent="0.3">
      <c r="A2" s="382" t="s">
        <v>219</v>
      </c>
      <c r="C2" s="321" t="s">
        <v>60</v>
      </c>
      <c r="D2" s="322" t="s">
        <v>0</v>
      </c>
      <c r="E2" s="360" t="s">
        <v>161</v>
      </c>
    </row>
    <row r="3" spans="1:6" ht="16.8" x14ac:dyDescent="0.3">
      <c r="A3" s="382" t="str">
        <f>CONCATENATE("Aura of Menace DC ",'Personal File'!E3+10)</f>
        <v>Aura of Menace DC 17</v>
      </c>
      <c r="C3" s="323" t="s">
        <v>163</v>
      </c>
      <c r="D3" s="324">
        <v>0</v>
      </c>
      <c r="E3" s="361">
        <f>D3+'Personal File'!$C$15</f>
        <v>1</v>
      </c>
    </row>
    <row r="4" spans="1:6" ht="16.8" x14ac:dyDescent="0.3">
      <c r="A4" s="382" t="s">
        <v>174</v>
      </c>
      <c r="C4" s="325" t="s">
        <v>164</v>
      </c>
      <c r="D4" s="326">
        <v>0</v>
      </c>
      <c r="E4" s="362">
        <f>D4+'Personal File'!$C$15</f>
        <v>1</v>
      </c>
    </row>
    <row r="5" spans="1:6" ht="16.8" x14ac:dyDescent="0.3">
      <c r="A5" s="383" t="s">
        <v>189</v>
      </c>
      <c r="C5" s="325" t="s">
        <v>165</v>
      </c>
      <c r="D5" s="326">
        <v>0</v>
      </c>
      <c r="E5" s="362">
        <f>D5+'Personal File'!$C$15</f>
        <v>1</v>
      </c>
    </row>
    <row r="6" spans="1:6" ht="17.399999999999999" thickBot="1" x14ac:dyDescent="0.35">
      <c r="A6" s="384" t="str">
        <f>CONCATENATE("Tongues, CL ",8+'Personal File'!E3)</f>
        <v>Tongues, CL 15</v>
      </c>
      <c r="C6" s="327" t="s">
        <v>162</v>
      </c>
      <c r="D6" s="328">
        <v>0</v>
      </c>
      <c r="E6" s="363">
        <f>D6+'Personal File'!$C$15</f>
        <v>1</v>
      </c>
    </row>
    <row r="7" spans="1:6" ht="16.8" thickTop="1" thickBot="1" x14ac:dyDescent="0.35"/>
    <row r="8" spans="1:6" ht="22.2" thickTop="1" thickBot="1" x14ac:dyDescent="0.35">
      <c r="A8" s="405" t="s">
        <v>234</v>
      </c>
      <c r="D8" s="53" t="s">
        <v>187</v>
      </c>
      <c r="E8" s="348">
        <f>'Personal File'!$E$5</f>
        <v>6</v>
      </c>
    </row>
    <row r="9" spans="1:6" ht="16.8" x14ac:dyDescent="0.3">
      <c r="A9" s="382" t="s">
        <v>235</v>
      </c>
      <c r="F9" s="120"/>
    </row>
    <row r="10" spans="1:6" ht="16.8" x14ac:dyDescent="0.3">
      <c r="A10" s="406" t="s">
        <v>236</v>
      </c>
    </row>
    <row r="11" spans="1:6" ht="17.399999999999999" thickBot="1" x14ac:dyDescent="0.35">
      <c r="A11" s="384" t="s">
        <v>240</v>
      </c>
    </row>
    <row r="12" spans="1:6" ht="16.8" thickTop="1" thickBot="1" x14ac:dyDescent="0.35"/>
    <row r="13" spans="1:6" ht="22.2" thickTop="1" thickBot="1" x14ac:dyDescent="0.35">
      <c r="A13" s="223" t="s">
        <v>86</v>
      </c>
    </row>
    <row r="14" spans="1:6" ht="16.8" x14ac:dyDescent="0.3">
      <c r="A14" s="382" t="s">
        <v>75</v>
      </c>
    </row>
    <row r="15" spans="1:6" ht="17.399999999999999" thickBot="1" x14ac:dyDescent="0.35">
      <c r="A15" s="216" t="s">
        <v>239</v>
      </c>
    </row>
    <row r="16" spans="1:6" ht="16.8" thickTop="1" thickBot="1" x14ac:dyDescent="0.35"/>
    <row r="17" spans="1:1" ht="22.2" thickTop="1" thickBot="1" x14ac:dyDescent="0.35">
      <c r="A17" s="222" t="s">
        <v>208</v>
      </c>
    </row>
    <row r="18" spans="1:1" ht="16.8" x14ac:dyDescent="0.3">
      <c r="A18" s="385" t="s">
        <v>220</v>
      </c>
    </row>
    <row r="19" spans="1:1" ht="16.8" x14ac:dyDescent="0.3">
      <c r="A19" s="407" t="s">
        <v>266</v>
      </c>
    </row>
    <row r="20" spans="1:1" ht="16.8" x14ac:dyDescent="0.3">
      <c r="A20" s="407" t="s">
        <v>221</v>
      </c>
    </row>
    <row r="21" spans="1:1" ht="17.399999999999999" thickBot="1" x14ac:dyDescent="0.35">
      <c r="A21" s="386" t="s">
        <v>246</v>
      </c>
    </row>
    <row r="22" spans="1:1" ht="16.8" thickTop="1" thickBot="1" x14ac:dyDescent="0.35"/>
    <row r="23" spans="1:1" ht="22.2" thickTop="1" thickBot="1" x14ac:dyDescent="0.35">
      <c r="A23" s="221" t="s">
        <v>61</v>
      </c>
    </row>
    <row r="24" spans="1:1" ht="16.8" x14ac:dyDescent="0.3">
      <c r="A24" s="319" t="s">
        <v>202</v>
      </c>
    </row>
    <row r="25" spans="1:1" ht="17.399999999999999" thickBot="1" x14ac:dyDescent="0.35">
      <c r="A25" s="54" t="s">
        <v>167</v>
      </c>
    </row>
    <row r="26" spans="1:1" ht="16.2" thickTop="1" x14ac:dyDescent="0.3"/>
  </sheetData>
  <conditionalFormatting sqref="F1">
    <cfRule type="cellIs" dxfId="81" priority="1" operator="equal">
      <formula>"þ"</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50"/>
  <sheetViews>
    <sheetView showGridLines="0" zoomScaleNormal="100" workbookViewId="0"/>
  </sheetViews>
  <sheetFormatPr defaultColWidth="13" defaultRowHeight="15.6" x14ac:dyDescent="0.3"/>
  <cols>
    <col min="1" max="1" width="22.796875" style="21" bestFit="1" customWidth="1"/>
    <col min="2" max="2" width="8.5" style="21" bestFit="1" customWidth="1"/>
    <col min="3" max="3" width="6.8984375" style="21" bestFit="1" customWidth="1"/>
    <col min="4" max="4" width="6.296875" style="21" bestFit="1" customWidth="1"/>
    <col min="5" max="5" width="8.09765625" style="21" bestFit="1" customWidth="1"/>
    <col min="6" max="6" width="8.3984375" style="21" bestFit="1" customWidth="1"/>
    <col min="7" max="7" width="4.796875" style="21" bestFit="1" customWidth="1"/>
    <col min="8" max="8" width="4.69921875" style="21" bestFit="1" customWidth="1"/>
    <col min="9" max="9" width="5.69921875" style="21" bestFit="1" customWidth="1"/>
    <col min="10" max="10" width="6.296875" style="21" bestFit="1" customWidth="1"/>
    <col min="11" max="11" width="19.5" style="21" bestFit="1" customWidth="1"/>
    <col min="12" max="12" width="2" style="13" customWidth="1"/>
    <col min="13" max="13" width="5.796875" style="13" bestFit="1" customWidth="1"/>
    <col min="14" max="16384" width="13" style="13"/>
  </cols>
  <sheetData>
    <row r="1" spans="1:13" ht="23.4" thickBot="1" x14ac:dyDescent="0.35">
      <c r="A1" s="12" t="s">
        <v>85</v>
      </c>
      <c r="B1" s="12"/>
      <c r="C1" s="12"/>
      <c r="D1" s="12"/>
      <c r="E1" s="12"/>
      <c r="F1" s="12"/>
      <c r="G1" s="12"/>
      <c r="H1" s="12"/>
      <c r="I1" s="12"/>
      <c r="J1" s="12"/>
      <c r="K1" s="12"/>
      <c r="M1" s="401"/>
    </row>
    <row r="2" spans="1:13" ht="16.8" thickTop="1" thickBot="1" x14ac:dyDescent="0.35">
      <c r="A2" s="14" t="s">
        <v>2</v>
      </c>
      <c r="B2" s="15" t="s">
        <v>97</v>
      </c>
      <c r="C2" s="15" t="s">
        <v>15</v>
      </c>
      <c r="D2" s="15" t="s">
        <v>16</v>
      </c>
      <c r="E2" s="16" t="s">
        <v>54</v>
      </c>
      <c r="F2" s="15" t="s">
        <v>14</v>
      </c>
      <c r="G2" s="15" t="s">
        <v>17</v>
      </c>
      <c r="H2" s="17" t="s">
        <v>73</v>
      </c>
      <c r="I2" s="18" t="s">
        <v>74</v>
      </c>
      <c r="J2" s="17" t="s">
        <v>67</v>
      </c>
      <c r="K2" s="19" t="s">
        <v>1</v>
      </c>
      <c r="M2" s="170" t="s">
        <v>78</v>
      </c>
    </row>
    <row r="3" spans="1:13" x14ac:dyDescent="0.3">
      <c r="A3" s="368" t="s">
        <v>99</v>
      </c>
      <c r="B3" s="175" t="s">
        <v>188</v>
      </c>
      <c r="C3" s="369">
        <f>'Personal File'!$C$11+0</f>
        <v>2</v>
      </c>
      <c r="D3" s="369">
        <v>0</v>
      </c>
      <c r="E3" s="370" t="s">
        <v>100</v>
      </c>
      <c r="F3" s="371" t="s">
        <v>81</v>
      </c>
      <c r="G3" s="372" t="s">
        <v>83</v>
      </c>
      <c r="H3" s="373" t="str">
        <f>CONCATENATE("+",'Personal File'!$B$9+'Personal File'!$C$11+D3)</f>
        <v>+9</v>
      </c>
      <c r="I3" s="257">
        <f t="shared" ref="I3:I26" ca="1" si="0">RANDBETWEEN(1,20)</f>
        <v>16</v>
      </c>
      <c r="J3" s="374">
        <f t="shared" ref="J3:J5" ca="1" si="1">I3+RIGHT(H3,2)</f>
        <v>25</v>
      </c>
      <c r="K3" s="375" t="s">
        <v>267</v>
      </c>
      <c r="L3" s="359"/>
      <c r="M3" s="260" t="s">
        <v>83</v>
      </c>
    </row>
    <row r="4" spans="1:13" x14ac:dyDescent="0.3">
      <c r="A4" s="251" t="s">
        <v>157</v>
      </c>
      <c r="B4" s="11" t="s">
        <v>113</v>
      </c>
      <c r="C4" s="252">
        <f>'Personal File'!$C$11/2</f>
        <v>1</v>
      </c>
      <c r="D4" s="252">
        <v>0</v>
      </c>
      <c r="E4" s="253" t="s">
        <v>100</v>
      </c>
      <c r="F4" s="254" t="s">
        <v>159</v>
      </c>
      <c r="G4" s="357" t="s">
        <v>83</v>
      </c>
      <c r="H4" s="255" t="str">
        <f>CONCATENATE("+",'Personal File'!$B$9+'Personal File'!$C$11+D4-1)</f>
        <v>+8</v>
      </c>
      <c r="I4" s="257">
        <f t="shared" ca="1" si="0"/>
        <v>14</v>
      </c>
      <c r="J4" s="358">
        <f t="shared" ca="1" si="1"/>
        <v>22</v>
      </c>
      <c r="K4" s="259" t="s">
        <v>267</v>
      </c>
      <c r="L4" s="359"/>
      <c r="M4" s="260" t="s">
        <v>83</v>
      </c>
    </row>
    <row r="5" spans="1:13" x14ac:dyDescent="0.3">
      <c r="A5" s="417" t="s">
        <v>158</v>
      </c>
      <c r="B5" s="418" t="s">
        <v>113</v>
      </c>
      <c r="C5" s="419">
        <f>'Personal File'!$C$11/2</f>
        <v>1</v>
      </c>
      <c r="D5" s="419">
        <v>0</v>
      </c>
      <c r="E5" s="420" t="s">
        <v>100</v>
      </c>
      <c r="F5" s="421" t="s">
        <v>159</v>
      </c>
      <c r="G5" s="434" t="s">
        <v>83</v>
      </c>
      <c r="H5" s="422" t="str">
        <f>CONCATENATE("+",'Personal File'!$B$9+'Personal File'!$C$11+D5-1)</f>
        <v>+8</v>
      </c>
      <c r="I5" s="424">
        <f t="shared" ca="1" si="0"/>
        <v>16</v>
      </c>
      <c r="J5" s="435">
        <f t="shared" ca="1" si="1"/>
        <v>24</v>
      </c>
      <c r="K5" s="426" t="s">
        <v>267</v>
      </c>
      <c r="L5" s="359"/>
      <c r="M5" s="436" t="s">
        <v>83</v>
      </c>
    </row>
    <row r="6" spans="1:13" x14ac:dyDescent="0.3">
      <c r="A6" s="197" t="s">
        <v>228</v>
      </c>
      <c r="B6" s="198" t="s">
        <v>188</v>
      </c>
      <c r="C6" s="427">
        <f>'Personal File'!$C$11+1</f>
        <v>3</v>
      </c>
      <c r="D6" s="427">
        <f>1</f>
        <v>1</v>
      </c>
      <c r="E6" s="428" t="s">
        <v>110</v>
      </c>
      <c r="F6" s="429" t="s">
        <v>111</v>
      </c>
      <c r="G6" s="262">
        <v>4</v>
      </c>
      <c r="H6" s="430" t="str">
        <f>CONCATENATE("+",'Personal File'!$B$9+'Personal File'!$C$11+D6)</f>
        <v>+10</v>
      </c>
      <c r="I6" s="431">
        <f t="shared" ca="1" si="0"/>
        <v>16</v>
      </c>
      <c r="J6" s="432">
        <f t="shared" ref="J6:J26" ca="1" si="2">I6+RIGHT(H6,2)</f>
        <v>26</v>
      </c>
      <c r="K6" s="433"/>
      <c r="M6" s="260">
        <v>2015</v>
      </c>
    </row>
    <row r="7" spans="1:13" x14ac:dyDescent="0.3">
      <c r="A7" s="417" t="s">
        <v>253</v>
      </c>
      <c r="B7" s="418" t="s">
        <v>188</v>
      </c>
      <c r="C7" s="419">
        <f>'Personal File'!$C$11+1</f>
        <v>3</v>
      </c>
      <c r="D7" s="419">
        <f>1</f>
        <v>1</v>
      </c>
      <c r="E7" s="420" t="s">
        <v>110</v>
      </c>
      <c r="F7" s="421" t="s">
        <v>111</v>
      </c>
      <c r="G7" s="434" t="s">
        <v>83</v>
      </c>
      <c r="H7" s="423" t="str">
        <f>CONCATENATE("+",'Personal File'!$B$9+'Personal File'!$C$11+D7-5)</f>
        <v>+5</v>
      </c>
      <c r="I7" s="424">
        <f t="shared" ca="1" si="0"/>
        <v>17</v>
      </c>
      <c r="J7" s="425">
        <f t="shared" ref="J7:J9" ca="1" si="3">I7+RIGHT(H7,2)</f>
        <v>22</v>
      </c>
      <c r="K7" s="426"/>
      <c r="M7" s="436" t="s">
        <v>83</v>
      </c>
    </row>
    <row r="8" spans="1:13" x14ac:dyDescent="0.3">
      <c r="A8" s="197" t="s">
        <v>272</v>
      </c>
      <c r="B8" s="198" t="s">
        <v>188</v>
      </c>
      <c r="C8" s="427">
        <f>3+1</f>
        <v>4</v>
      </c>
      <c r="D8" s="427">
        <f>1</f>
        <v>1</v>
      </c>
      <c r="E8" s="428" t="s">
        <v>193</v>
      </c>
      <c r="F8" s="429" t="s">
        <v>111</v>
      </c>
      <c r="G8" s="261">
        <v>6</v>
      </c>
      <c r="H8" s="430" t="str">
        <f>CONCATENATE("+",'Personal File'!$B$9+'Personal File'!$C$11+D8)</f>
        <v>+10</v>
      </c>
      <c r="I8" s="431">
        <f t="shared" ca="1" si="0"/>
        <v>12</v>
      </c>
      <c r="J8" s="432">
        <f t="shared" ca="1" si="3"/>
        <v>22</v>
      </c>
      <c r="K8" s="433"/>
      <c r="M8" s="260">
        <v>2000</v>
      </c>
    </row>
    <row r="9" spans="1:13" x14ac:dyDescent="0.3">
      <c r="A9" s="417" t="s">
        <v>273</v>
      </c>
      <c r="B9" s="418" t="s">
        <v>188</v>
      </c>
      <c r="C9" s="419">
        <v>4</v>
      </c>
      <c r="D9" s="419">
        <f>1</f>
        <v>1</v>
      </c>
      <c r="E9" s="428" t="s">
        <v>193</v>
      </c>
      <c r="F9" s="421" t="s">
        <v>111</v>
      </c>
      <c r="G9" s="434" t="s">
        <v>83</v>
      </c>
      <c r="H9" s="423" t="str">
        <f>CONCATENATE("+",'Personal File'!$B$9+'Personal File'!$C$11+D9-5)</f>
        <v>+5</v>
      </c>
      <c r="I9" s="424">
        <f t="shared" ca="1" si="0"/>
        <v>19</v>
      </c>
      <c r="J9" s="425">
        <f t="shared" ca="1" si="3"/>
        <v>24</v>
      </c>
      <c r="K9" s="426"/>
      <c r="M9" s="436" t="s">
        <v>83</v>
      </c>
    </row>
    <row r="10" spans="1:13" x14ac:dyDescent="0.3">
      <c r="A10" s="197" t="s">
        <v>248</v>
      </c>
      <c r="B10" s="198" t="s">
        <v>188</v>
      </c>
      <c r="C10" s="427">
        <f>'Personal File'!$C$11+1</f>
        <v>3</v>
      </c>
      <c r="D10" s="427">
        <f>1</f>
        <v>1</v>
      </c>
      <c r="E10" s="428" t="s">
        <v>193</v>
      </c>
      <c r="F10" s="429" t="s">
        <v>81</v>
      </c>
      <c r="G10" s="261" t="s">
        <v>250</v>
      </c>
      <c r="H10" s="430" t="str">
        <f>CONCATENATE("+",'Personal File'!$B$9+'Personal File'!$C$11+D10)</f>
        <v>+10</v>
      </c>
      <c r="I10" s="431">
        <f t="shared" ca="1" si="0"/>
        <v>14</v>
      </c>
      <c r="J10" s="432">
        <f t="shared" ref="J10:J12" ca="1" si="4">I10+RIGHT(H10,2)</f>
        <v>24</v>
      </c>
      <c r="K10" s="433" t="s">
        <v>249</v>
      </c>
      <c r="M10" s="260">
        <v>2305</v>
      </c>
    </row>
    <row r="11" spans="1:13" x14ac:dyDescent="0.3">
      <c r="A11" s="417" t="s">
        <v>254</v>
      </c>
      <c r="B11" s="418" t="s">
        <v>188</v>
      </c>
      <c r="C11" s="419">
        <f>'Personal File'!$C$11+1</f>
        <v>3</v>
      </c>
      <c r="D11" s="419">
        <f>1</f>
        <v>1</v>
      </c>
      <c r="E11" s="420" t="s">
        <v>193</v>
      </c>
      <c r="F11" s="421" t="s">
        <v>81</v>
      </c>
      <c r="G11" s="434" t="s">
        <v>83</v>
      </c>
      <c r="H11" s="423" t="str">
        <f>CONCATENATE("+",'Personal File'!$B$9+'Personal File'!$C$11+D11-5)</f>
        <v>+5</v>
      </c>
      <c r="I11" s="424">
        <f t="shared" ca="1" si="0"/>
        <v>1</v>
      </c>
      <c r="J11" s="425">
        <f t="shared" ref="J11" ca="1" si="5">I11+RIGHT(H11,2)</f>
        <v>6</v>
      </c>
      <c r="K11" s="426" t="s">
        <v>249</v>
      </c>
      <c r="M11" s="436" t="s">
        <v>83</v>
      </c>
    </row>
    <row r="12" spans="1:13" x14ac:dyDescent="0.3">
      <c r="A12" s="197" t="s">
        <v>262</v>
      </c>
      <c r="B12" s="198" t="s">
        <v>188</v>
      </c>
      <c r="C12" s="427" t="str">
        <f>'Personal File'!$C$11</f>
        <v>+2</v>
      </c>
      <c r="D12" s="427">
        <v>0</v>
      </c>
      <c r="E12" s="428" t="s">
        <v>193</v>
      </c>
      <c r="F12" s="429" t="s">
        <v>81</v>
      </c>
      <c r="G12" s="261" t="s">
        <v>252</v>
      </c>
      <c r="H12" s="430" t="str">
        <f>CONCATENATE("+",'Personal File'!$B$9+'Personal File'!$C$11+D12)</f>
        <v>+9</v>
      </c>
      <c r="I12" s="431">
        <f t="shared" ca="1" si="0"/>
        <v>20</v>
      </c>
      <c r="J12" s="432">
        <f t="shared" ca="1" si="4"/>
        <v>29</v>
      </c>
      <c r="K12" s="433" t="s">
        <v>249</v>
      </c>
      <c r="M12" s="260">
        <v>3</v>
      </c>
    </row>
    <row r="13" spans="1:13" x14ac:dyDescent="0.3">
      <c r="A13" s="417" t="s">
        <v>255</v>
      </c>
      <c r="B13" s="418" t="s">
        <v>188</v>
      </c>
      <c r="C13" s="419" t="str">
        <f>'Personal File'!$C$11</f>
        <v>+2</v>
      </c>
      <c r="D13" s="419">
        <v>0</v>
      </c>
      <c r="E13" s="420" t="s">
        <v>193</v>
      </c>
      <c r="F13" s="421" t="s">
        <v>81</v>
      </c>
      <c r="G13" s="434" t="s">
        <v>83</v>
      </c>
      <c r="H13" s="423" t="str">
        <f>CONCATENATE("+",'Personal File'!$B$9+'Personal File'!$C$11+D13-5)</f>
        <v>+4</v>
      </c>
      <c r="I13" s="424">
        <f t="shared" ca="1" si="0"/>
        <v>12</v>
      </c>
      <c r="J13" s="425">
        <f t="shared" ref="J13" ca="1" si="6">I13+RIGHT(H13,2)</f>
        <v>16</v>
      </c>
      <c r="K13" s="426" t="s">
        <v>249</v>
      </c>
      <c r="M13" s="436" t="s">
        <v>83</v>
      </c>
    </row>
    <row r="14" spans="1:13" x14ac:dyDescent="0.3">
      <c r="A14" s="197" t="s">
        <v>231</v>
      </c>
      <c r="B14" s="198" t="s">
        <v>215</v>
      </c>
      <c r="C14" s="427">
        <f>'Personal File'!$C$11+1</f>
        <v>3</v>
      </c>
      <c r="D14" s="427">
        <f>1</f>
        <v>1</v>
      </c>
      <c r="E14" s="428" t="s">
        <v>110</v>
      </c>
      <c r="F14" s="429" t="s">
        <v>81</v>
      </c>
      <c r="G14" s="262">
        <v>2</v>
      </c>
      <c r="H14" s="430" t="str">
        <f>CONCATENATE("+",'Personal File'!$B$9+'Personal File'!$C$11+D14)</f>
        <v>+10</v>
      </c>
      <c r="I14" s="431">
        <f t="shared" ca="1" si="0"/>
        <v>4</v>
      </c>
      <c r="J14" s="432">
        <f t="shared" ref="J14" ca="1" si="7">I14+RIGHT(H14,2)</f>
        <v>14</v>
      </c>
      <c r="K14" s="433"/>
      <c r="M14" s="260">
        <v>300</v>
      </c>
    </row>
    <row r="15" spans="1:13" x14ac:dyDescent="0.3">
      <c r="A15" s="417" t="s">
        <v>256</v>
      </c>
      <c r="B15" s="418" t="s">
        <v>215</v>
      </c>
      <c r="C15" s="419">
        <f>'Personal File'!$C$11+1</f>
        <v>3</v>
      </c>
      <c r="D15" s="419">
        <f>1</f>
        <v>1</v>
      </c>
      <c r="E15" s="420" t="s">
        <v>110</v>
      </c>
      <c r="F15" s="421" t="s">
        <v>81</v>
      </c>
      <c r="G15" s="434" t="s">
        <v>83</v>
      </c>
      <c r="H15" s="423" t="str">
        <f>CONCATENATE("+",'Personal File'!$B$9+'Personal File'!$C$11+D15-5)</f>
        <v>+5</v>
      </c>
      <c r="I15" s="424">
        <f t="shared" ca="1" si="0"/>
        <v>12</v>
      </c>
      <c r="J15" s="425">
        <f t="shared" ref="J15" ca="1" si="8">I15+RIGHT(H15,2)</f>
        <v>17</v>
      </c>
      <c r="K15" s="426"/>
      <c r="M15" s="436" t="s">
        <v>83</v>
      </c>
    </row>
    <row r="16" spans="1:13" x14ac:dyDescent="0.3">
      <c r="A16" s="197" t="s">
        <v>108</v>
      </c>
      <c r="B16" s="198" t="s">
        <v>113</v>
      </c>
      <c r="C16" s="427">
        <f>'Personal File'!$C$11+0</f>
        <v>2</v>
      </c>
      <c r="D16" s="427">
        <v>0</v>
      </c>
      <c r="E16" s="428" t="s">
        <v>110</v>
      </c>
      <c r="F16" s="429" t="s">
        <v>112</v>
      </c>
      <c r="G16" s="262">
        <v>1</v>
      </c>
      <c r="H16" s="430" t="str">
        <f>CONCATENATE("+",'Personal File'!$B$9+'Personal File'!$C$11+D16)</f>
        <v>+9</v>
      </c>
      <c r="I16" s="431">
        <f t="shared" ca="1" si="0"/>
        <v>11</v>
      </c>
      <c r="J16" s="432">
        <f t="shared" ca="1" si="2"/>
        <v>20</v>
      </c>
      <c r="K16" s="433"/>
      <c r="M16" s="260">
        <v>2</v>
      </c>
    </row>
    <row r="17" spans="1:13" x14ac:dyDescent="0.3">
      <c r="A17" s="417" t="s">
        <v>257</v>
      </c>
      <c r="B17" s="418" t="s">
        <v>113</v>
      </c>
      <c r="C17" s="419">
        <f>'Personal File'!$C$11+0</f>
        <v>2</v>
      </c>
      <c r="D17" s="419">
        <v>0</v>
      </c>
      <c r="E17" s="420" t="s">
        <v>110</v>
      </c>
      <c r="F17" s="421" t="s">
        <v>112</v>
      </c>
      <c r="G17" s="434" t="s">
        <v>83</v>
      </c>
      <c r="H17" s="423" t="str">
        <f>CONCATENATE("+",'Personal File'!$B$9+'Personal File'!$C$11+D17-5)</f>
        <v>+4</v>
      </c>
      <c r="I17" s="424">
        <f t="shared" ca="1" si="0"/>
        <v>15</v>
      </c>
      <c r="J17" s="425">
        <f t="shared" ref="J17" ca="1" si="9">I17+RIGHT(H17,2)</f>
        <v>19</v>
      </c>
      <c r="K17" s="426"/>
      <c r="M17" s="436" t="s">
        <v>83</v>
      </c>
    </row>
    <row r="18" spans="1:13" x14ac:dyDescent="0.3">
      <c r="A18" s="197" t="s">
        <v>109</v>
      </c>
      <c r="B18" s="198" t="s">
        <v>113</v>
      </c>
      <c r="C18" s="427">
        <f>'Personal File'!$C$11+0</f>
        <v>2</v>
      </c>
      <c r="D18" s="427">
        <v>0</v>
      </c>
      <c r="E18" s="428" t="s">
        <v>110</v>
      </c>
      <c r="F18" s="429" t="s">
        <v>112</v>
      </c>
      <c r="G18" s="262">
        <v>1</v>
      </c>
      <c r="H18" s="430" t="str">
        <f>CONCATENATE("+",'Personal File'!$B$9+'Personal File'!$C$11+D18)</f>
        <v>+9</v>
      </c>
      <c r="I18" s="431">
        <f t="shared" ca="1" si="0"/>
        <v>17</v>
      </c>
      <c r="J18" s="432">
        <f t="shared" ref="J18" ca="1" si="10">I18+RIGHT(H18,2)</f>
        <v>26</v>
      </c>
      <c r="K18" s="433"/>
      <c r="M18" s="260">
        <v>2</v>
      </c>
    </row>
    <row r="19" spans="1:13" x14ac:dyDescent="0.3">
      <c r="A19" s="417" t="s">
        <v>257</v>
      </c>
      <c r="B19" s="418" t="s">
        <v>113</v>
      </c>
      <c r="C19" s="419">
        <f>'Personal File'!$C$11+0</f>
        <v>2</v>
      </c>
      <c r="D19" s="419">
        <v>0</v>
      </c>
      <c r="E19" s="420" t="s">
        <v>110</v>
      </c>
      <c r="F19" s="421" t="s">
        <v>112</v>
      </c>
      <c r="G19" s="434" t="s">
        <v>83</v>
      </c>
      <c r="H19" s="423" t="str">
        <f>CONCATENATE("+",'Personal File'!$B$9+'Personal File'!$C$11+D19-5)</f>
        <v>+4</v>
      </c>
      <c r="I19" s="424">
        <f t="shared" ca="1" si="0"/>
        <v>17</v>
      </c>
      <c r="J19" s="425">
        <f t="shared" ref="J19:J20" ca="1" si="11">I19+RIGHT(H19,2)</f>
        <v>21</v>
      </c>
      <c r="K19" s="426"/>
      <c r="M19" s="436" t="s">
        <v>83</v>
      </c>
    </row>
    <row r="20" spans="1:13" x14ac:dyDescent="0.3">
      <c r="A20" s="197" t="s">
        <v>269</v>
      </c>
      <c r="B20" s="198" t="s">
        <v>113</v>
      </c>
      <c r="C20" s="427">
        <v>1</v>
      </c>
      <c r="D20" s="427">
        <f>1</f>
        <v>1</v>
      </c>
      <c r="E20" s="428" t="s">
        <v>270</v>
      </c>
      <c r="F20" s="429" t="s">
        <v>271</v>
      </c>
      <c r="G20" s="262">
        <v>1</v>
      </c>
      <c r="H20" s="430" t="str">
        <f>CONCATENATE("+",'Personal File'!$B$9+'Personal File'!$C$11+D20)</f>
        <v>+10</v>
      </c>
      <c r="I20" s="431">
        <f t="shared" ca="1" si="0"/>
        <v>15</v>
      </c>
      <c r="J20" s="432">
        <f t="shared" ca="1" si="11"/>
        <v>25</v>
      </c>
      <c r="K20" s="433"/>
      <c r="M20" s="260">
        <v>8000</v>
      </c>
    </row>
    <row r="21" spans="1:13" x14ac:dyDescent="0.3">
      <c r="A21" s="417" t="s">
        <v>257</v>
      </c>
      <c r="B21" s="418" t="s">
        <v>113</v>
      </c>
      <c r="C21" s="419">
        <v>1</v>
      </c>
      <c r="D21" s="419">
        <f>1</f>
        <v>1</v>
      </c>
      <c r="E21" s="420" t="s">
        <v>270</v>
      </c>
      <c r="F21" s="421" t="s">
        <v>271</v>
      </c>
      <c r="G21" s="434" t="s">
        <v>83</v>
      </c>
      <c r="H21" s="423" t="str">
        <f>CONCATENATE("+",'Personal File'!$B$9+'Personal File'!$C$11+D21-5)</f>
        <v>+5</v>
      </c>
      <c r="I21" s="424">
        <f t="shared" ca="1" si="0"/>
        <v>1</v>
      </c>
      <c r="J21" s="425">
        <f t="shared" ref="J21" ca="1" si="12">I21+RIGHT(H21,2)</f>
        <v>6</v>
      </c>
      <c r="K21" s="426"/>
      <c r="M21" s="436" t="s">
        <v>83</v>
      </c>
    </row>
    <row r="22" spans="1:13" x14ac:dyDescent="0.3">
      <c r="A22" s="197" t="s">
        <v>213</v>
      </c>
      <c r="B22" s="198" t="s">
        <v>215</v>
      </c>
      <c r="C22" s="427">
        <f>'Personal File'!$C$11+0</f>
        <v>2</v>
      </c>
      <c r="D22" s="427">
        <v>0</v>
      </c>
      <c r="E22" s="428" t="s">
        <v>193</v>
      </c>
      <c r="F22" s="429" t="s">
        <v>111</v>
      </c>
      <c r="G22" s="262">
        <v>3</v>
      </c>
      <c r="H22" s="430" t="str">
        <f>CONCATENATE("+",'Personal File'!$B$9+'Personal File'!$C$11+D22)</f>
        <v>+9</v>
      </c>
      <c r="I22" s="431">
        <f t="shared" ca="1" si="0"/>
        <v>17</v>
      </c>
      <c r="J22" s="432">
        <f t="shared" ref="J22:J24" ca="1" si="13">I22+RIGHT(H22,2)</f>
        <v>26</v>
      </c>
      <c r="K22" s="433"/>
      <c r="M22" s="260">
        <v>6</v>
      </c>
    </row>
    <row r="23" spans="1:13" x14ac:dyDescent="0.3">
      <c r="A23" s="417" t="s">
        <v>258</v>
      </c>
      <c r="B23" s="418" t="s">
        <v>215</v>
      </c>
      <c r="C23" s="419">
        <f>'Personal File'!$C$11+0</f>
        <v>2</v>
      </c>
      <c r="D23" s="419">
        <v>0</v>
      </c>
      <c r="E23" s="420" t="s">
        <v>193</v>
      </c>
      <c r="F23" s="421" t="s">
        <v>111</v>
      </c>
      <c r="G23" s="434" t="s">
        <v>83</v>
      </c>
      <c r="H23" s="423" t="str">
        <f>CONCATENATE("+",'Personal File'!$B$9+'Personal File'!$C$11+D23-5)</f>
        <v>+4</v>
      </c>
      <c r="I23" s="424">
        <f t="shared" ca="1" si="0"/>
        <v>15</v>
      </c>
      <c r="J23" s="425">
        <f t="shared" ref="J23" ca="1" si="14">I23+RIGHT(H23,2)</f>
        <v>19</v>
      </c>
      <c r="K23" s="426"/>
      <c r="M23" s="436" t="s">
        <v>83</v>
      </c>
    </row>
    <row r="24" spans="1:13" x14ac:dyDescent="0.3">
      <c r="A24" s="197" t="s">
        <v>214</v>
      </c>
      <c r="B24" s="198" t="s">
        <v>215</v>
      </c>
      <c r="C24" s="427">
        <f>'Personal File'!$C$11-1</f>
        <v>1</v>
      </c>
      <c r="D24" s="427">
        <v>0</v>
      </c>
      <c r="E24" s="428" t="s">
        <v>193</v>
      </c>
      <c r="F24" s="429" t="s">
        <v>111</v>
      </c>
      <c r="G24" s="262">
        <v>3</v>
      </c>
      <c r="H24" s="430" t="str">
        <f>CONCATENATE("+",'Personal File'!$B$9+'Personal File'!$C$11+D24)</f>
        <v>+9</v>
      </c>
      <c r="I24" s="431">
        <f t="shared" ca="1" si="0"/>
        <v>2</v>
      </c>
      <c r="J24" s="432">
        <f t="shared" ca="1" si="13"/>
        <v>11</v>
      </c>
      <c r="K24" s="433"/>
      <c r="M24" s="260">
        <v>26</v>
      </c>
    </row>
    <row r="25" spans="1:13" x14ac:dyDescent="0.3">
      <c r="A25" s="417" t="s">
        <v>258</v>
      </c>
      <c r="B25" s="418" t="s">
        <v>215</v>
      </c>
      <c r="C25" s="419">
        <f>'Personal File'!$C$11-1</f>
        <v>1</v>
      </c>
      <c r="D25" s="419">
        <v>0</v>
      </c>
      <c r="E25" s="420" t="s">
        <v>193</v>
      </c>
      <c r="F25" s="421" t="s">
        <v>111</v>
      </c>
      <c r="G25" s="434" t="s">
        <v>83</v>
      </c>
      <c r="H25" s="423" t="str">
        <f>CONCATENATE("+",'Personal File'!$B$9+'Personal File'!$C$11+D25-5)</f>
        <v>+4</v>
      </c>
      <c r="I25" s="424">
        <f t="shared" ca="1" si="0"/>
        <v>2</v>
      </c>
      <c r="J25" s="425">
        <f t="shared" ref="J25" ca="1" si="15">I25+RIGHT(H25,2)</f>
        <v>6</v>
      </c>
      <c r="K25" s="426"/>
      <c r="M25" s="436" t="s">
        <v>83</v>
      </c>
    </row>
    <row r="26" spans="1:13" ht="16.2" thickBot="1" x14ac:dyDescent="0.35">
      <c r="A26" s="408" t="s">
        <v>211</v>
      </c>
      <c r="B26" s="409" t="s">
        <v>83</v>
      </c>
      <c r="C26" s="410" t="s">
        <v>83</v>
      </c>
      <c r="D26" s="410">
        <v>0</v>
      </c>
      <c r="E26" s="411" t="s">
        <v>83</v>
      </c>
      <c r="F26" s="409" t="s">
        <v>83</v>
      </c>
      <c r="G26" s="412" t="s">
        <v>83</v>
      </c>
      <c r="H26" s="413" t="str">
        <f>CONCATENATE("+",'Personal File'!$B$9+'Personal File'!$C$11+D26)</f>
        <v>+9</v>
      </c>
      <c r="I26" s="414">
        <f t="shared" ca="1" si="0"/>
        <v>19</v>
      </c>
      <c r="J26" s="415">
        <f t="shared" ca="1" si="2"/>
        <v>28</v>
      </c>
      <c r="K26" s="416"/>
      <c r="M26" s="437" t="s">
        <v>83</v>
      </c>
    </row>
    <row r="27" spans="1:13" ht="16.8" thickTop="1" thickBot="1" x14ac:dyDescent="0.35"/>
    <row r="28" spans="1:13" ht="16.8" thickTop="1" thickBot="1" x14ac:dyDescent="0.35">
      <c r="A28" s="14" t="s">
        <v>4</v>
      </c>
      <c r="B28" s="15" t="s">
        <v>97</v>
      </c>
      <c r="C28" s="15" t="s">
        <v>15</v>
      </c>
      <c r="D28" s="15" t="s">
        <v>16</v>
      </c>
      <c r="E28" s="16" t="s">
        <v>54</v>
      </c>
      <c r="F28" s="15" t="s">
        <v>5</v>
      </c>
      <c r="G28" s="15" t="s">
        <v>17</v>
      </c>
      <c r="H28" s="17" t="s">
        <v>73</v>
      </c>
      <c r="I28" s="18" t="s">
        <v>74</v>
      </c>
      <c r="J28" s="17" t="s">
        <v>67</v>
      </c>
      <c r="K28" s="19" t="s">
        <v>1</v>
      </c>
      <c r="M28" s="170" t="s">
        <v>78</v>
      </c>
    </row>
    <row r="29" spans="1:13" x14ac:dyDescent="0.3">
      <c r="A29" s="197" t="s">
        <v>224</v>
      </c>
      <c r="B29" s="198" t="s">
        <v>188</v>
      </c>
      <c r="C29" s="350">
        <f>'Personal File'!$C$11+1</f>
        <v>3</v>
      </c>
      <c r="D29" s="376">
        <v>2</v>
      </c>
      <c r="E29" s="198" t="s">
        <v>193</v>
      </c>
      <c r="F29" s="261" t="s">
        <v>194</v>
      </c>
      <c r="G29" s="261" t="s">
        <v>259</v>
      </c>
      <c r="H29" s="256" t="str">
        <f>CONCATENATE("+",'Personal File'!$B$9+'Personal File'!$C$12+D29)</f>
        <v>+11</v>
      </c>
      <c r="I29" s="257">
        <f t="shared" ref="I29:I33" ca="1" si="16">RANDBETWEEN(1,20)</f>
        <v>14</v>
      </c>
      <c r="J29" s="258">
        <f t="shared" ref="J29:J33" ca="1" si="17">I29+RIGHT(H29,2)</f>
        <v>25</v>
      </c>
      <c r="K29" s="433" t="s">
        <v>249</v>
      </c>
      <c r="M29" s="260">
        <f>100+300+2000+200</f>
        <v>2600</v>
      </c>
    </row>
    <row r="30" spans="1:13" x14ac:dyDescent="0.3">
      <c r="A30" s="197" t="s">
        <v>268</v>
      </c>
      <c r="B30" s="198" t="s">
        <v>188</v>
      </c>
      <c r="C30" s="350">
        <f>'Personal File'!$C$11+1</f>
        <v>3</v>
      </c>
      <c r="D30" s="376">
        <v>2</v>
      </c>
      <c r="E30" s="198" t="s">
        <v>193</v>
      </c>
      <c r="F30" s="261" t="s">
        <v>194</v>
      </c>
      <c r="G30" s="261" t="s">
        <v>259</v>
      </c>
      <c r="H30" s="256" t="str">
        <f>CONCATENATE("+",'Personal File'!$B$9+'Personal File'!$C$12+D30-5)</f>
        <v>+6</v>
      </c>
      <c r="I30" s="257">
        <f t="shared" ca="1" si="16"/>
        <v>18</v>
      </c>
      <c r="J30" s="258">
        <f t="shared" ref="J30" ca="1" si="18">I30+RIGHT(H30,2)</f>
        <v>24</v>
      </c>
      <c r="K30" s="433" t="s">
        <v>249</v>
      </c>
      <c r="M30" s="260">
        <f>100+300+2000+200</f>
        <v>2600</v>
      </c>
    </row>
    <row r="31" spans="1:13" x14ac:dyDescent="0.3">
      <c r="A31" s="197" t="s">
        <v>260</v>
      </c>
      <c r="B31" s="198" t="s">
        <v>215</v>
      </c>
      <c r="C31" s="350" t="str">
        <f>'Personal File'!$C$11</f>
        <v>+2</v>
      </c>
      <c r="D31" s="376">
        <v>0</v>
      </c>
      <c r="E31" s="198">
        <v>20</v>
      </c>
      <c r="F31" s="261" t="s">
        <v>80</v>
      </c>
      <c r="G31" s="261" t="s">
        <v>251</v>
      </c>
      <c r="H31" s="256" t="str">
        <f>CONCATENATE("+",'Personal File'!$B$9+'Personal File'!$C$12+D31)</f>
        <v>+9</v>
      </c>
      <c r="I31" s="257">
        <f t="shared" ca="1" si="16"/>
        <v>4</v>
      </c>
      <c r="J31" s="258">
        <f t="shared" ref="J31:J32" ca="1" si="19">I31+RIGHT(H31,2)</f>
        <v>13</v>
      </c>
      <c r="K31" s="259" t="s">
        <v>249</v>
      </c>
      <c r="M31" s="260">
        <v>12</v>
      </c>
    </row>
    <row r="32" spans="1:13" x14ac:dyDescent="0.3">
      <c r="A32" s="197" t="s">
        <v>261</v>
      </c>
      <c r="B32" s="198" t="s">
        <v>215</v>
      </c>
      <c r="C32" s="350" t="str">
        <f>'Personal File'!$C$11</f>
        <v>+2</v>
      </c>
      <c r="D32" s="376">
        <v>2</v>
      </c>
      <c r="E32" s="198">
        <v>20</v>
      </c>
      <c r="F32" s="261" t="s">
        <v>80</v>
      </c>
      <c r="G32" s="261" t="s">
        <v>251</v>
      </c>
      <c r="H32" s="256" t="str">
        <f>CONCATENATE("+",'Personal File'!$B$9+'Personal File'!$C$12+D32)</f>
        <v>+11</v>
      </c>
      <c r="I32" s="257">
        <f t="shared" ca="1" si="16"/>
        <v>20</v>
      </c>
      <c r="J32" s="258">
        <f t="shared" ca="1" si="19"/>
        <v>31</v>
      </c>
      <c r="K32" s="259" t="s">
        <v>249</v>
      </c>
      <c r="M32" s="260">
        <f>4*301</f>
        <v>1204</v>
      </c>
    </row>
    <row r="33" spans="1:13" x14ac:dyDescent="0.3">
      <c r="A33" s="251" t="s">
        <v>198</v>
      </c>
      <c r="B33" s="11" t="s">
        <v>199</v>
      </c>
      <c r="C33" s="365">
        <v>0</v>
      </c>
      <c r="D33" s="376">
        <v>0</v>
      </c>
      <c r="E33" s="11" t="s">
        <v>83</v>
      </c>
      <c r="F33" s="357" t="s">
        <v>200</v>
      </c>
      <c r="G33" s="255" t="s">
        <v>83</v>
      </c>
      <c r="H33" s="256" t="str">
        <f>CONCATENATE("+",'Personal File'!$B$9+'Personal File'!$C$12+D33)</f>
        <v>+9</v>
      </c>
      <c r="I33" s="257">
        <f t="shared" ca="1" si="16"/>
        <v>3</v>
      </c>
      <c r="J33" s="258">
        <f t="shared" ca="1" si="17"/>
        <v>12</v>
      </c>
      <c r="K33" s="366"/>
      <c r="M33" s="367" t="s">
        <v>83</v>
      </c>
    </row>
    <row r="34" spans="1:13" ht="16.2" thickBot="1" x14ac:dyDescent="0.35">
      <c r="A34" s="202" t="s">
        <v>201</v>
      </c>
      <c r="B34" s="20" t="s">
        <v>199</v>
      </c>
      <c r="C34" s="351">
        <v>0</v>
      </c>
      <c r="D34" s="377">
        <v>0</v>
      </c>
      <c r="E34" s="20" t="s">
        <v>83</v>
      </c>
      <c r="F34" s="203" t="s">
        <v>200</v>
      </c>
      <c r="G34" s="355" t="s">
        <v>83</v>
      </c>
      <c r="H34" s="204" t="str">
        <f>CONCATENATE("+",'Personal File'!$B$9+'Personal File'!$C$12+D34-5)</f>
        <v>+4</v>
      </c>
      <c r="I34" s="195">
        <f t="shared" ref="I34" ca="1" si="20">RANDBETWEEN(1,20)</f>
        <v>19</v>
      </c>
      <c r="J34" s="196">
        <f t="shared" ref="J34" ca="1" si="21">I34+RIGHT(H34,2)</f>
        <v>23</v>
      </c>
      <c r="K34" s="205"/>
      <c r="M34" s="189" t="s">
        <v>83</v>
      </c>
    </row>
    <row r="35" spans="1:13" ht="16.8" thickTop="1" thickBot="1" x14ac:dyDescent="0.35">
      <c r="D35" s="22"/>
      <c r="E35" s="22"/>
      <c r="G35" s="23"/>
      <c r="H35" s="23"/>
      <c r="I35" s="23"/>
      <c r="J35" s="23"/>
    </row>
    <row r="36" spans="1:13" ht="16.8" thickTop="1" thickBot="1" x14ac:dyDescent="0.35">
      <c r="A36" s="14" t="s">
        <v>58</v>
      </c>
      <c r="B36" s="15" t="s">
        <v>8</v>
      </c>
      <c r="C36" s="15" t="s">
        <v>24</v>
      </c>
      <c r="D36" s="15" t="s">
        <v>67</v>
      </c>
      <c r="E36" s="15" t="s">
        <v>68</v>
      </c>
      <c r="F36" s="15" t="s">
        <v>69</v>
      </c>
      <c r="G36" s="15" t="s">
        <v>17</v>
      </c>
      <c r="H36" s="24" t="s">
        <v>1</v>
      </c>
      <c r="I36" s="25"/>
      <c r="J36" s="25"/>
      <c r="K36" s="26"/>
      <c r="M36" s="170" t="s">
        <v>78</v>
      </c>
    </row>
    <row r="37" spans="1:13" x14ac:dyDescent="0.3">
      <c r="A37" s="263" t="s">
        <v>160</v>
      </c>
      <c r="B37" s="264">
        <v>6</v>
      </c>
      <c r="C37" s="265" t="s">
        <v>83</v>
      </c>
      <c r="D37" s="264" t="s">
        <v>83</v>
      </c>
      <c r="E37" s="266" t="s">
        <v>83</v>
      </c>
      <c r="F37" s="264" t="s">
        <v>83</v>
      </c>
      <c r="G37" s="267" t="s">
        <v>83</v>
      </c>
      <c r="H37" s="268"/>
      <c r="I37" s="27"/>
      <c r="J37" s="27"/>
      <c r="K37" s="269"/>
      <c r="M37" s="177" t="s">
        <v>83</v>
      </c>
    </row>
    <row r="38" spans="1:13" x14ac:dyDescent="0.3">
      <c r="A38" s="388" t="s">
        <v>227</v>
      </c>
      <c r="B38" s="389">
        <v>5</v>
      </c>
      <c r="C38" s="390">
        <v>6</v>
      </c>
      <c r="D38" s="389">
        <v>0</v>
      </c>
      <c r="E38" s="391">
        <v>0.1</v>
      </c>
      <c r="F38" s="389" t="s">
        <v>80</v>
      </c>
      <c r="G38" s="392">
        <v>12.5</v>
      </c>
      <c r="H38" s="393"/>
      <c r="I38" s="394"/>
      <c r="J38" s="394"/>
      <c r="K38" s="395"/>
      <c r="M38" s="367">
        <v>3300</v>
      </c>
    </row>
    <row r="39" spans="1:13" ht="16.2" thickBot="1" x14ac:dyDescent="0.35">
      <c r="A39" s="270" t="s">
        <v>185</v>
      </c>
      <c r="B39" s="271">
        <v>1</v>
      </c>
      <c r="C39" s="272" t="s">
        <v>83</v>
      </c>
      <c r="D39" s="272" t="s">
        <v>83</v>
      </c>
      <c r="E39" s="345" t="s">
        <v>83</v>
      </c>
      <c r="F39" s="272" t="s">
        <v>83</v>
      </c>
      <c r="G39" s="346">
        <v>0</v>
      </c>
      <c r="H39" s="273"/>
      <c r="I39" s="37"/>
      <c r="J39" s="37"/>
      <c r="K39" s="274"/>
      <c r="M39" s="189">
        <v>2000</v>
      </c>
    </row>
    <row r="40" spans="1:13" ht="16.8" thickTop="1" thickBot="1" x14ac:dyDescent="0.35"/>
    <row r="41" spans="1:13" ht="16.8" thickTop="1" thickBot="1" x14ac:dyDescent="0.35">
      <c r="A41" s="28"/>
      <c r="B41" s="23"/>
      <c r="D41" s="29" t="s">
        <v>59</v>
      </c>
      <c r="E41" s="30"/>
      <c r="F41" s="24" t="s">
        <v>3</v>
      </c>
      <c r="G41" s="15" t="s">
        <v>17</v>
      </c>
      <c r="H41" s="17" t="s">
        <v>73</v>
      </c>
      <c r="I41" s="24" t="s">
        <v>1</v>
      </c>
      <c r="J41" s="25"/>
      <c r="K41" s="26"/>
      <c r="M41" s="170" t="s">
        <v>78</v>
      </c>
    </row>
    <row r="42" spans="1:13" x14ac:dyDescent="0.3">
      <c r="A42" s="28"/>
      <c r="B42" s="23"/>
      <c r="D42" s="210" t="s">
        <v>196</v>
      </c>
      <c r="E42" s="31"/>
      <c r="F42" s="32">
        <v>33</v>
      </c>
      <c r="G42" s="267" t="s">
        <v>265</v>
      </c>
      <c r="H42" s="33" t="s">
        <v>197</v>
      </c>
      <c r="I42" s="438" t="s">
        <v>249</v>
      </c>
      <c r="J42" s="27"/>
      <c r="K42" s="439"/>
      <c r="M42" s="177">
        <f>F42/20</f>
        <v>1.65</v>
      </c>
    </row>
    <row r="43" spans="1:13" ht="16.2" thickBot="1" x14ac:dyDescent="0.35">
      <c r="D43" s="34" t="s">
        <v>212</v>
      </c>
      <c r="E43" s="35"/>
      <c r="F43" s="36">
        <v>20</v>
      </c>
      <c r="G43" s="346" t="s">
        <v>265</v>
      </c>
      <c r="H43" s="364" t="s">
        <v>197</v>
      </c>
      <c r="I43" s="440" t="s">
        <v>249</v>
      </c>
      <c r="J43" s="37"/>
      <c r="K43" s="441"/>
      <c r="M43" s="189">
        <v>41</v>
      </c>
    </row>
    <row r="44" spans="1:13" ht="16.8" thickTop="1" thickBot="1" x14ac:dyDescent="0.35"/>
    <row r="45" spans="1:13" ht="16.8" thickTop="1" thickBot="1" x14ac:dyDescent="0.35">
      <c r="D45" s="29" t="s">
        <v>76</v>
      </c>
      <c r="E45" s="25"/>
      <c r="F45" s="25"/>
      <c r="G45" s="25"/>
      <c r="H45" s="168" t="s">
        <v>3</v>
      </c>
      <c r="I45" s="168" t="s">
        <v>0</v>
      </c>
      <c r="J45" s="168" t="s">
        <v>77</v>
      </c>
      <c r="K45" s="26" t="s">
        <v>65</v>
      </c>
      <c r="L45" s="169"/>
      <c r="M45" s="170" t="s">
        <v>78</v>
      </c>
    </row>
    <row r="46" spans="1:13" x14ac:dyDescent="0.3">
      <c r="D46" s="171"/>
      <c r="E46" s="172"/>
      <c r="F46" s="172"/>
      <c r="G46" s="173"/>
      <c r="H46" s="174"/>
      <c r="I46" s="175"/>
      <c r="J46" s="175"/>
      <c r="K46" s="176"/>
      <c r="L46" s="169"/>
      <c r="M46" s="177"/>
    </row>
    <row r="47" spans="1:13" x14ac:dyDescent="0.3">
      <c r="D47" s="242"/>
      <c r="E47" s="243"/>
      <c r="F47" s="243"/>
      <c r="G47" s="244"/>
      <c r="H47" s="245"/>
      <c r="I47" s="198"/>
      <c r="J47" s="198"/>
      <c r="K47" s="246"/>
      <c r="L47" s="169"/>
      <c r="M47" s="199"/>
    </row>
    <row r="48" spans="1:13" x14ac:dyDescent="0.3">
      <c r="D48" s="178"/>
      <c r="E48" s="179"/>
      <c r="F48" s="179"/>
      <c r="G48" s="180"/>
      <c r="H48" s="181"/>
      <c r="I48" s="11"/>
      <c r="J48" s="11"/>
      <c r="K48" s="182"/>
      <c r="L48" s="169"/>
      <c r="M48" s="199"/>
    </row>
    <row r="49" spans="4:13" ht="16.2" thickBot="1" x14ac:dyDescent="0.35">
      <c r="D49" s="183"/>
      <c r="E49" s="184"/>
      <c r="F49" s="184"/>
      <c r="G49" s="185"/>
      <c r="H49" s="186"/>
      <c r="I49" s="187"/>
      <c r="J49" s="187"/>
      <c r="K49" s="188"/>
      <c r="L49" s="169"/>
      <c r="M49" s="189"/>
    </row>
    <row r="50" spans="4:13" ht="16.2" thickTop="1" x14ac:dyDescent="0.3"/>
  </sheetData>
  <phoneticPr fontId="0" type="noConversion"/>
  <conditionalFormatting sqref="I26">
    <cfRule type="cellIs" dxfId="80" priority="129" operator="equal">
      <formula>20</formula>
    </cfRule>
    <cfRule type="cellIs" dxfId="79" priority="130" operator="equal">
      <formula>1</formula>
    </cfRule>
  </conditionalFormatting>
  <conditionalFormatting sqref="I3:I5">
    <cfRule type="cellIs" dxfId="78" priority="89" operator="equal">
      <formula>20</formula>
    </cfRule>
    <cfRule type="cellIs" dxfId="77" priority="90" operator="equal">
      <formula>1</formula>
    </cfRule>
  </conditionalFormatting>
  <conditionalFormatting sqref="I16 I18">
    <cfRule type="cellIs" dxfId="76" priority="87" operator="equal">
      <formula>1</formula>
    </cfRule>
    <cfRule type="cellIs" dxfId="75" priority="88" operator="greaterThanOrEqual">
      <formula>19</formula>
    </cfRule>
  </conditionalFormatting>
  <conditionalFormatting sqref="I22 I24">
    <cfRule type="cellIs" dxfId="74" priority="81" operator="equal">
      <formula>1</formula>
    </cfRule>
    <cfRule type="cellIs" dxfId="73" priority="82" operator="greaterThanOrEqual">
      <formula>19</formula>
    </cfRule>
  </conditionalFormatting>
  <conditionalFormatting sqref="I3:I6 I16 I18 I22 I24 I26">
    <cfRule type="cellIs" dxfId="72" priority="79" operator="equal">
      <formula>1</formula>
    </cfRule>
    <cfRule type="cellIs" dxfId="71" priority="80" operator="greaterThanOrEqual">
      <formula>19</formula>
    </cfRule>
  </conditionalFormatting>
  <conditionalFormatting sqref="I34">
    <cfRule type="cellIs" dxfId="70" priority="77" operator="equal">
      <formula>20</formula>
    </cfRule>
    <cfRule type="cellIs" dxfId="69" priority="78" operator="equal">
      <formula>1</formula>
    </cfRule>
  </conditionalFormatting>
  <conditionalFormatting sqref="I34">
    <cfRule type="cellIs" dxfId="68" priority="75" operator="equal">
      <formula>1</formula>
    </cfRule>
    <cfRule type="cellIs" dxfId="67" priority="76" operator="greaterThanOrEqual">
      <formula>19</formula>
    </cfRule>
  </conditionalFormatting>
  <conditionalFormatting sqref="I29:I30 I33">
    <cfRule type="cellIs" dxfId="66" priority="73" operator="equal">
      <formula>1</formula>
    </cfRule>
    <cfRule type="cellIs" dxfId="65" priority="74" operator="greaterThanOrEqual">
      <formula>19</formula>
    </cfRule>
  </conditionalFormatting>
  <conditionalFormatting sqref="I29:I30 I33">
    <cfRule type="cellIs" dxfId="64" priority="71" operator="equal">
      <formula>1</formula>
    </cfRule>
    <cfRule type="cellIs" dxfId="63" priority="72" operator="greaterThanOrEqual">
      <formula>19</formula>
    </cfRule>
  </conditionalFormatting>
  <conditionalFormatting sqref="I6">
    <cfRule type="cellIs" dxfId="62" priority="69" operator="equal">
      <formula>20</formula>
    </cfRule>
    <cfRule type="cellIs" dxfId="61" priority="70" operator="equal">
      <formula>1</formula>
    </cfRule>
  </conditionalFormatting>
  <conditionalFormatting sqref="I14">
    <cfRule type="cellIs" dxfId="60" priority="67" operator="equal">
      <formula>1</formula>
    </cfRule>
    <cfRule type="cellIs" dxfId="59" priority="68" operator="greaterThanOrEqual">
      <formula>19</formula>
    </cfRule>
  </conditionalFormatting>
  <conditionalFormatting sqref="I14">
    <cfRule type="cellIs" dxfId="58" priority="65" operator="equal">
      <formula>20</formula>
    </cfRule>
    <cfRule type="cellIs" dxfId="57" priority="66" operator="equal">
      <formula>1</formula>
    </cfRule>
  </conditionalFormatting>
  <conditionalFormatting sqref="I31:I32">
    <cfRule type="cellIs" dxfId="56" priority="55" operator="equal">
      <formula>1</formula>
    </cfRule>
    <cfRule type="cellIs" dxfId="55" priority="56" operator="greaterThanOrEqual">
      <formula>19</formula>
    </cfRule>
  </conditionalFormatting>
  <conditionalFormatting sqref="I31:I32">
    <cfRule type="cellIs" dxfId="54" priority="53" operator="equal">
      <formula>1</formula>
    </cfRule>
    <cfRule type="cellIs" dxfId="53" priority="54" operator="greaterThanOrEqual">
      <formula>19</formula>
    </cfRule>
  </conditionalFormatting>
  <conditionalFormatting sqref="I10 I12">
    <cfRule type="cellIs" dxfId="52" priority="51" operator="equal">
      <formula>1</formula>
    </cfRule>
    <cfRule type="cellIs" dxfId="51" priority="52" operator="greaterThanOrEqual">
      <formula>19</formula>
    </cfRule>
  </conditionalFormatting>
  <conditionalFormatting sqref="I10 I12">
    <cfRule type="cellIs" dxfId="50" priority="49" operator="equal">
      <formula>20</formula>
    </cfRule>
    <cfRule type="cellIs" dxfId="49" priority="50" operator="equal">
      <formula>1</formula>
    </cfRule>
  </conditionalFormatting>
  <conditionalFormatting sqref="I7">
    <cfRule type="cellIs" dxfId="48" priority="47" operator="equal">
      <formula>1</formula>
    </cfRule>
    <cfRule type="cellIs" dxfId="47" priority="48" operator="greaterThanOrEqual">
      <formula>19</formula>
    </cfRule>
  </conditionalFormatting>
  <conditionalFormatting sqref="I7">
    <cfRule type="cellIs" dxfId="46" priority="45" operator="equal">
      <formula>20</formula>
    </cfRule>
    <cfRule type="cellIs" dxfId="45" priority="46" operator="equal">
      <formula>1</formula>
    </cfRule>
  </conditionalFormatting>
  <conditionalFormatting sqref="I11">
    <cfRule type="cellIs" dxfId="44" priority="43" operator="equal">
      <formula>1</formula>
    </cfRule>
    <cfRule type="cellIs" dxfId="43" priority="44" operator="greaterThanOrEqual">
      <formula>19</formula>
    </cfRule>
  </conditionalFormatting>
  <conditionalFormatting sqref="I11">
    <cfRule type="cellIs" dxfId="42" priority="41" operator="equal">
      <formula>20</formula>
    </cfRule>
    <cfRule type="cellIs" dxfId="41" priority="42" operator="equal">
      <formula>1</formula>
    </cfRule>
  </conditionalFormatting>
  <conditionalFormatting sqref="I13">
    <cfRule type="cellIs" dxfId="40" priority="39" operator="equal">
      <formula>1</formula>
    </cfRule>
    <cfRule type="cellIs" dxfId="39" priority="40" operator="greaterThanOrEqual">
      <formula>19</formula>
    </cfRule>
  </conditionalFormatting>
  <conditionalFormatting sqref="I13">
    <cfRule type="cellIs" dxfId="38" priority="37" operator="equal">
      <formula>20</formula>
    </cfRule>
    <cfRule type="cellIs" dxfId="37" priority="38" operator="equal">
      <formula>1</formula>
    </cfRule>
  </conditionalFormatting>
  <conditionalFormatting sqref="I15">
    <cfRule type="cellIs" dxfId="36" priority="35" operator="equal">
      <formula>1</formula>
    </cfRule>
    <cfRule type="cellIs" dxfId="35" priority="36" operator="greaterThanOrEqual">
      <formula>19</formula>
    </cfRule>
  </conditionalFormatting>
  <conditionalFormatting sqref="I15">
    <cfRule type="cellIs" dxfId="34" priority="33" operator="equal">
      <formula>20</formula>
    </cfRule>
    <cfRule type="cellIs" dxfId="33" priority="34" operator="equal">
      <formula>1</formula>
    </cfRule>
  </conditionalFormatting>
  <conditionalFormatting sqref="I17">
    <cfRule type="cellIs" dxfId="32" priority="31" operator="equal">
      <formula>1</formula>
    </cfRule>
    <cfRule type="cellIs" dxfId="31" priority="32" operator="greaterThanOrEqual">
      <formula>19</formula>
    </cfRule>
  </conditionalFormatting>
  <conditionalFormatting sqref="I17">
    <cfRule type="cellIs" dxfId="30" priority="29" operator="equal">
      <formula>1</formula>
    </cfRule>
    <cfRule type="cellIs" dxfId="29" priority="30" operator="greaterThanOrEqual">
      <formula>19</formula>
    </cfRule>
  </conditionalFormatting>
  <conditionalFormatting sqref="I19">
    <cfRule type="cellIs" dxfId="28" priority="27" operator="equal">
      <formula>1</formula>
    </cfRule>
    <cfRule type="cellIs" dxfId="27" priority="28" operator="greaterThanOrEqual">
      <formula>19</formula>
    </cfRule>
  </conditionalFormatting>
  <conditionalFormatting sqref="I19">
    <cfRule type="cellIs" dxfId="26" priority="25" operator="equal">
      <formula>1</formula>
    </cfRule>
    <cfRule type="cellIs" dxfId="25" priority="26" operator="greaterThanOrEqual">
      <formula>19</formula>
    </cfRule>
  </conditionalFormatting>
  <conditionalFormatting sqref="I23">
    <cfRule type="cellIs" dxfId="24" priority="23" operator="equal">
      <formula>1</formula>
    </cfRule>
    <cfRule type="cellIs" dxfId="23" priority="24" operator="greaterThanOrEqual">
      <formula>19</formula>
    </cfRule>
  </conditionalFormatting>
  <conditionalFormatting sqref="I23">
    <cfRule type="cellIs" dxfId="22" priority="21" operator="equal">
      <formula>1</formula>
    </cfRule>
    <cfRule type="cellIs" dxfId="21" priority="22" operator="greaterThanOrEqual">
      <formula>19</formula>
    </cfRule>
  </conditionalFormatting>
  <conditionalFormatting sqref="I25">
    <cfRule type="cellIs" dxfId="20" priority="19" operator="equal">
      <formula>1</formula>
    </cfRule>
    <cfRule type="cellIs" dxfId="19" priority="20" operator="greaterThanOrEqual">
      <formula>19</formula>
    </cfRule>
  </conditionalFormatting>
  <conditionalFormatting sqref="I25">
    <cfRule type="cellIs" dxfId="18" priority="17" operator="equal">
      <formula>1</formula>
    </cfRule>
    <cfRule type="cellIs" dxfId="17" priority="18" operator="greaterThanOrEqual">
      <formula>19</formula>
    </cfRule>
  </conditionalFormatting>
  <conditionalFormatting sqref="I20">
    <cfRule type="cellIs" dxfId="16" priority="15" operator="equal">
      <formula>1</formula>
    </cfRule>
    <cfRule type="cellIs" dxfId="15" priority="16" operator="greaterThanOrEqual">
      <formula>19</formula>
    </cfRule>
  </conditionalFormatting>
  <conditionalFormatting sqref="I20">
    <cfRule type="cellIs" dxfId="14" priority="13" operator="equal">
      <formula>1</formula>
    </cfRule>
    <cfRule type="cellIs" dxfId="13" priority="14" operator="greaterThanOrEqual">
      <formula>19</formula>
    </cfRule>
  </conditionalFormatting>
  <conditionalFormatting sqref="I21">
    <cfRule type="cellIs" dxfId="12" priority="11" operator="equal">
      <formula>1</formula>
    </cfRule>
    <cfRule type="cellIs" dxfId="11" priority="12" operator="greaterThanOrEqual">
      <formula>19</formula>
    </cfRule>
  </conditionalFormatting>
  <conditionalFormatting sqref="I21">
    <cfRule type="cellIs" dxfId="10" priority="9" operator="equal">
      <formula>1</formula>
    </cfRule>
    <cfRule type="cellIs" dxfId="9" priority="10" operator="greaterThanOrEqual">
      <formula>19</formula>
    </cfRule>
  </conditionalFormatting>
  <conditionalFormatting sqref="I8">
    <cfRule type="cellIs" dxfId="8" priority="7" operator="equal">
      <formula>1</formula>
    </cfRule>
    <cfRule type="cellIs" dxfId="7" priority="8" operator="greaterThanOrEqual">
      <formula>19</formula>
    </cfRule>
  </conditionalFormatting>
  <conditionalFormatting sqref="I8">
    <cfRule type="cellIs" dxfId="6" priority="5" operator="equal">
      <formula>20</formula>
    </cfRule>
    <cfRule type="cellIs" dxfId="5" priority="6" operator="equal">
      <formula>1</formula>
    </cfRule>
  </conditionalFormatting>
  <conditionalFormatting sqref="I9">
    <cfRule type="cellIs" dxfId="4" priority="3" operator="equal">
      <formula>1</formula>
    </cfRule>
    <cfRule type="cellIs" dxfId="3" priority="4" operator="greaterThanOrEqual">
      <formula>19</formula>
    </cfRule>
  </conditionalFormatting>
  <conditionalFormatting sqref="I9">
    <cfRule type="cellIs" dxfId="2" priority="1" operator="equal">
      <formula>20</formula>
    </cfRule>
    <cfRule type="cellIs" dxfId="1"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1"/>
  <sheetViews>
    <sheetView showGridLines="0" workbookViewId="0"/>
  </sheetViews>
  <sheetFormatPr defaultColWidth="13" defaultRowHeight="15.6" x14ac:dyDescent="0.3"/>
  <cols>
    <col min="1" max="1" width="26.796875" style="21" bestFit="1" customWidth="1"/>
    <col min="2" max="2" width="4.69921875" style="21" bestFit="1" customWidth="1"/>
    <col min="3" max="3" width="4.3984375" style="23" bestFit="1" customWidth="1"/>
    <col min="4" max="5" width="17.09765625" style="13" customWidth="1"/>
    <col min="6" max="6" width="2.69921875" style="13" customWidth="1"/>
    <col min="7" max="7" width="8.296875" style="13" bestFit="1" customWidth="1"/>
    <col min="8" max="16384" width="13" style="13"/>
  </cols>
  <sheetData>
    <row r="1" spans="1:7" ht="23.4" thickBot="1" x14ac:dyDescent="0.35">
      <c r="A1" s="12" t="s">
        <v>62</v>
      </c>
      <c r="B1" s="12"/>
      <c r="C1" s="38"/>
      <c r="D1" s="12"/>
      <c r="E1" s="12"/>
    </row>
    <row r="2" spans="1:7" s="21" customFormat="1" ht="16.8" thickTop="1" thickBot="1" x14ac:dyDescent="0.35">
      <c r="A2" s="39" t="s">
        <v>63</v>
      </c>
      <c r="B2" s="39" t="s">
        <v>3</v>
      </c>
      <c r="C2" s="40" t="s">
        <v>17</v>
      </c>
      <c r="D2" s="41" t="s">
        <v>64</v>
      </c>
      <c r="E2" s="42" t="s">
        <v>65</v>
      </c>
      <c r="G2" s="190" t="s">
        <v>78</v>
      </c>
    </row>
    <row r="3" spans="1:7" x14ac:dyDescent="0.3">
      <c r="A3" s="43" t="s">
        <v>226</v>
      </c>
      <c r="B3" s="207">
        <v>1</v>
      </c>
      <c r="C3" s="396">
        <v>1</v>
      </c>
      <c r="D3" s="48"/>
      <c r="E3" s="49"/>
      <c r="G3" s="191">
        <v>1000</v>
      </c>
    </row>
    <row r="4" spans="1:7" x14ac:dyDescent="0.3">
      <c r="A4" s="43" t="s">
        <v>207</v>
      </c>
      <c r="B4" s="206">
        <v>1</v>
      </c>
      <c r="C4" s="167">
        <v>1</v>
      </c>
      <c r="D4" s="48"/>
      <c r="E4" s="49"/>
      <c r="G4" s="191">
        <v>1</v>
      </c>
    </row>
    <row r="5" spans="1:7" x14ac:dyDescent="0.3">
      <c r="A5" s="43" t="s">
        <v>222</v>
      </c>
      <c r="B5" s="207">
        <v>1</v>
      </c>
      <c r="C5" s="47" t="s">
        <v>223</v>
      </c>
      <c r="D5" s="45"/>
      <c r="E5" s="46"/>
      <c r="G5" s="305">
        <v>0.05</v>
      </c>
    </row>
    <row r="6" spans="1:7" x14ac:dyDescent="0.3">
      <c r="A6" s="43" t="s">
        <v>241</v>
      </c>
      <c r="B6" s="206">
        <v>1</v>
      </c>
      <c r="C6" s="167">
        <v>1</v>
      </c>
      <c r="D6" s="48"/>
      <c r="E6" s="49"/>
      <c r="G6" s="191">
        <v>25</v>
      </c>
    </row>
    <row r="7" spans="1:7" ht="16.2" thickBot="1" x14ac:dyDescent="0.35">
      <c r="A7" s="193"/>
      <c r="B7" s="208"/>
      <c r="C7" s="148"/>
      <c r="D7" s="149"/>
      <c r="E7" s="150"/>
      <c r="G7" s="192"/>
    </row>
    <row r="8" spans="1:7" ht="24" thickTop="1" thickBot="1" x14ac:dyDescent="0.35">
      <c r="A8" s="12" t="s">
        <v>66</v>
      </c>
      <c r="B8" s="12"/>
      <c r="C8" s="151"/>
      <c r="D8" s="12"/>
      <c r="E8" s="152"/>
    </row>
    <row r="9" spans="1:7" ht="16.8" thickTop="1" thickBot="1" x14ac:dyDescent="0.35">
      <c r="A9" s="39" t="s">
        <v>63</v>
      </c>
      <c r="B9" s="39" t="s">
        <v>3</v>
      </c>
      <c r="C9" s="40" t="s">
        <v>17</v>
      </c>
      <c r="D9" s="41" t="s">
        <v>64</v>
      </c>
      <c r="E9" s="42" t="s">
        <v>65</v>
      </c>
      <c r="G9" s="190" t="s">
        <v>78</v>
      </c>
    </row>
    <row r="10" spans="1:7" x14ac:dyDescent="0.3">
      <c r="A10" s="220" t="s">
        <v>203</v>
      </c>
      <c r="B10" s="217">
        <v>95</v>
      </c>
      <c r="C10" s="167">
        <f>B10/100</f>
        <v>0.95</v>
      </c>
      <c r="D10" s="218"/>
      <c r="E10" s="49"/>
      <c r="G10" s="219">
        <f>B10</f>
        <v>95</v>
      </c>
    </row>
    <row r="11" spans="1:7" x14ac:dyDescent="0.3">
      <c r="A11" s="220" t="s">
        <v>263</v>
      </c>
      <c r="B11" s="217">
        <v>1</v>
      </c>
      <c r="C11" s="167">
        <v>2</v>
      </c>
      <c r="D11" s="218"/>
      <c r="E11" s="49"/>
      <c r="G11" s="219">
        <v>2</v>
      </c>
    </row>
    <row r="12" spans="1:7" x14ac:dyDescent="0.3">
      <c r="A12" s="220" t="s">
        <v>204</v>
      </c>
      <c r="B12" s="217">
        <v>0</v>
      </c>
      <c r="C12" s="167">
        <f>B12/100</f>
        <v>0</v>
      </c>
      <c r="D12" s="218"/>
      <c r="E12" s="49"/>
      <c r="G12" s="219">
        <f>B12*5</f>
        <v>0</v>
      </c>
    </row>
    <row r="13" spans="1:7" x14ac:dyDescent="0.3">
      <c r="A13" s="43" t="s">
        <v>243</v>
      </c>
      <c r="B13" s="342">
        <v>1</v>
      </c>
      <c r="C13" s="44">
        <v>4</v>
      </c>
      <c r="D13" s="45" t="s">
        <v>244</v>
      </c>
      <c r="E13" s="46"/>
      <c r="G13" s="219">
        <v>7200</v>
      </c>
    </row>
    <row r="14" spans="1:7" ht="16.2" thickBot="1" x14ac:dyDescent="0.35">
      <c r="A14" s="193" t="s">
        <v>247</v>
      </c>
      <c r="B14" s="208">
        <v>1</v>
      </c>
      <c r="C14" s="148">
        <v>2</v>
      </c>
      <c r="D14" s="239"/>
      <c r="E14" s="150"/>
      <c r="G14" s="192">
        <v>1800</v>
      </c>
    </row>
    <row r="15" spans="1:7" ht="24" thickTop="1" thickBot="1" x14ac:dyDescent="0.35">
      <c r="A15" s="12" t="s">
        <v>166</v>
      </c>
      <c r="B15" s="12"/>
      <c r="C15" s="151"/>
      <c r="D15" s="12"/>
      <c r="E15" s="152"/>
      <c r="G15" s="310">
        <v>2000</v>
      </c>
    </row>
    <row r="16" spans="1:7" ht="16.8" thickTop="1" thickBot="1" x14ac:dyDescent="0.35">
      <c r="A16" s="39" t="s">
        <v>63</v>
      </c>
      <c r="B16" s="39" t="s">
        <v>3</v>
      </c>
      <c r="C16" s="40" t="s">
        <v>17</v>
      </c>
      <c r="D16" s="41" t="s">
        <v>64</v>
      </c>
      <c r="E16" s="42" t="s">
        <v>65</v>
      </c>
      <c r="F16" s="310"/>
      <c r="G16" s="190" t="s">
        <v>78</v>
      </c>
    </row>
    <row r="17" spans="1:7" x14ac:dyDescent="0.3">
      <c r="A17" s="250" t="s">
        <v>204</v>
      </c>
      <c r="B17" s="341">
        <v>60</v>
      </c>
      <c r="C17" s="338">
        <f>B17/100</f>
        <v>0.6</v>
      </c>
      <c r="D17" s="339"/>
      <c r="E17" s="340"/>
      <c r="G17" s="219">
        <f>B17*5</f>
        <v>300</v>
      </c>
    </row>
    <row r="18" spans="1:7" x14ac:dyDescent="0.3">
      <c r="A18" s="356" t="s">
        <v>203</v>
      </c>
      <c r="B18" s="378">
        <v>1300</v>
      </c>
      <c r="C18" s="379">
        <f>B18/100</f>
        <v>13</v>
      </c>
      <c r="D18" s="443"/>
      <c r="E18" s="381"/>
      <c r="G18" s="219">
        <f>B18</f>
        <v>1300</v>
      </c>
    </row>
    <row r="19" spans="1:7" x14ac:dyDescent="0.3">
      <c r="A19" s="356" t="s">
        <v>168</v>
      </c>
      <c r="B19" s="378">
        <v>5</v>
      </c>
      <c r="C19" s="379">
        <v>0</v>
      </c>
      <c r="D19" s="380"/>
      <c r="E19" s="381"/>
      <c r="G19" s="219">
        <f>B19</f>
        <v>5</v>
      </c>
    </row>
    <row r="20" spans="1:7" x14ac:dyDescent="0.3">
      <c r="A20" s="356" t="s">
        <v>95</v>
      </c>
      <c r="B20" s="378">
        <v>0</v>
      </c>
      <c r="C20" s="379">
        <f>B20</f>
        <v>0</v>
      </c>
      <c r="D20" s="380"/>
      <c r="E20" s="381"/>
      <c r="G20" s="219">
        <f>0.05*B20</f>
        <v>0</v>
      </c>
    </row>
    <row r="21" spans="1:7" x14ac:dyDescent="0.3">
      <c r="A21" s="356" t="s">
        <v>96</v>
      </c>
      <c r="B21" s="378">
        <v>1</v>
      </c>
      <c r="C21" s="379">
        <v>4</v>
      </c>
      <c r="D21" s="380"/>
      <c r="E21" s="381"/>
      <c r="G21" s="219">
        <v>1</v>
      </c>
    </row>
    <row r="22" spans="1:7" x14ac:dyDescent="0.3">
      <c r="A22" s="43" t="s">
        <v>92</v>
      </c>
      <c r="B22" s="342">
        <v>1</v>
      </c>
      <c r="C22" s="44">
        <v>0</v>
      </c>
      <c r="D22" s="153"/>
      <c r="E22" s="46"/>
      <c r="G22" s="219">
        <v>1</v>
      </c>
    </row>
    <row r="23" spans="1:7" x14ac:dyDescent="0.3">
      <c r="A23" s="43" t="s">
        <v>114</v>
      </c>
      <c r="B23" s="342">
        <v>1</v>
      </c>
      <c r="C23" s="44">
        <v>0</v>
      </c>
      <c r="D23" s="153"/>
      <c r="E23" s="46"/>
      <c r="G23" s="219">
        <v>1</v>
      </c>
    </row>
    <row r="24" spans="1:7" x14ac:dyDescent="0.3">
      <c r="A24" s="220" t="s">
        <v>206</v>
      </c>
      <c r="B24" s="217">
        <v>6</v>
      </c>
      <c r="C24" s="167">
        <f>B24/12</f>
        <v>0.5</v>
      </c>
      <c r="D24" s="349"/>
      <c r="E24" s="49"/>
      <c r="G24" s="219">
        <f>B24/12</f>
        <v>0.5</v>
      </c>
    </row>
    <row r="25" spans="1:7" x14ac:dyDescent="0.3">
      <c r="A25" s="220" t="s">
        <v>186</v>
      </c>
      <c r="B25" s="217">
        <v>1</v>
      </c>
      <c r="C25" s="167">
        <v>0.5</v>
      </c>
      <c r="D25" s="349"/>
      <c r="E25" s="49"/>
      <c r="G25" s="219">
        <v>0.05</v>
      </c>
    </row>
    <row r="26" spans="1:7" x14ac:dyDescent="0.3">
      <c r="A26" s="220" t="s">
        <v>169</v>
      </c>
      <c r="B26" s="217">
        <v>2</v>
      </c>
      <c r="C26" s="167">
        <f>5*B26</f>
        <v>10</v>
      </c>
      <c r="D26" s="218"/>
      <c r="E26" s="49"/>
      <c r="G26" s="219">
        <f>10*B26</f>
        <v>20</v>
      </c>
    </row>
    <row r="27" spans="1:7" x14ac:dyDescent="0.3">
      <c r="A27" s="220" t="s">
        <v>170</v>
      </c>
      <c r="B27" s="217">
        <v>2</v>
      </c>
      <c r="C27" s="167">
        <v>10</v>
      </c>
      <c r="D27" s="218"/>
      <c r="E27" s="49"/>
      <c r="G27" s="219">
        <v>10</v>
      </c>
    </row>
    <row r="28" spans="1:7" x14ac:dyDescent="0.3">
      <c r="A28" s="448" t="s">
        <v>274</v>
      </c>
      <c r="B28" s="449">
        <v>2</v>
      </c>
      <c r="C28" s="396">
        <f>0.1*B28</f>
        <v>0.2</v>
      </c>
      <c r="D28" s="450"/>
      <c r="E28" s="451"/>
      <c r="F28" s="317"/>
      <c r="G28" s="219">
        <f>B28*10</f>
        <v>20</v>
      </c>
    </row>
    <row r="29" spans="1:7" x14ac:dyDescent="0.3">
      <c r="A29" s="43" t="s">
        <v>94</v>
      </c>
      <c r="B29" s="342">
        <v>1</v>
      </c>
      <c r="C29" s="44">
        <v>5</v>
      </c>
      <c r="D29" s="344"/>
      <c r="E29" s="46"/>
      <c r="G29" s="219">
        <v>80</v>
      </c>
    </row>
    <row r="30" spans="1:7" x14ac:dyDescent="0.3">
      <c r="A30" s="43" t="s">
        <v>93</v>
      </c>
      <c r="B30" s="342">
        <v>1</v>
      </c>
      <c r="C30" s="44">
        <v>1</v>
      </c>
      <c r="D30" s="344"/>
      <c r="E30" s="46"/>
      <c r="G30" s="219">
        <v>50</v>
      </c>
    </row>
    <row r="31" spans="1:7" x14ac:dyDescent="0.3">
      <c r="A31" s="43" t="s">
        <v>179</v>
      </c>
      <c r="B31" s="342">
        <v>1</v>
      </c>
      <c r="C31" s="44">
        <v>1</v>
      </c>
      <c r="D31" s="344"/>
      <c r="E31" s="46"/>
      <c r="G31" s="219">
        <v>10</v>
      </c>
    </row>
    <row r="32" spans="1:7" x14ac:dyDescent="0.3">
      <c r="A32" s="43" t="s">
        <v>184</v>
      </c>
      <c r="B32" s="342">
        <v>1</v>
      </c>
      <c r="C32" s="44">
        <v>1</v>
      </c>
      <c r="D32" s="45" t="s">
        <v>181</v>
      </c>
      <c r="E32" s="46"/>
      <c r="G32" s="219">
        <v>1</v>
      </c>
    </row>
    <row r="33" spans="1:7" x14ac:dyDescent="0.3">
      <c r="A33" s="43" t="s">
        <v>182</v>
      </c>
      <c r="B33" s="342">
        <v>1</v>
      </c>
      <c r="C33" s="44">
        <v>1</v>
      </c>
      <c r="D33" s="45" t="s">
        <v>181</v>
      </c>
      <c r="E33" s="46"/>
      <c r="G33" s="219">
        <v>1</v>
      </c>
    </row>
    <row r="34" spans="1:7" x14ac:dyDescent="0.3">
      <c r="A34" s="43" t="s">
        <v>183</v>
      </c>
      <c r="B34" s="342">
        <v>1</v>
      </c>
      <c r="C34" s="44">
        <v>1</v>
      </c>
      <c r="D34" s="45" t="s">
        <v>181</v>
      </c>
      <c r="E34" s="46"/>
      <c r="G34" s="219">
        <v>1</v>
      </c>
    </row>
    <row r="35" spans="1:7" x14ac:dyDescent="0.3">
      <c r="A35" s="220" t="s">
        <v>192</v>
      </c>
      <c r="B35" s="217">
        <v>6</v>
      </c>
      <c r="C35" s="167">
        <f>B35*0.5</f>
        <v>3</v>
      </c>
      <c r="D35" s="349" t="s">
        <v>242</v>
      </c>
      <c r="E35" s="49"/>
      <c r="G35" s="219">
        <f>40*B35</f>
        <v>240</v>
      </c>
    </row>
    <row r="36" spans="1:7" x14ac:dyDescent="0.3">
      <c r="A36" s="220" t="s">
        <v>205</v>
      </c>
      <c r="B36" s="217">
        <v>1</v>
      </c>
      <c r="C36" s="167">
        <v>0.5</v>
      </c>
      <c r="D36" s="218"/>
      <c r="E36" s="49"/>
      <c r="G36" s="219">
        <v>1</v>
      </c>
    </row>
    <row r="37" spans="1:7" x14ac:dyDescent="0.3">
      <c r="A37" s="220" t="s">
        <v>180</v>
      </c>
      <c r="B37" s="217">
        <v>1</v>
      </c>
      <c r="C37" s="167">
        <v>0.5</v>
      </c>
      <c r="D37" s="349"/>
      <c r="E37" s="49"/>
      <c r="G37" s="219">
        <v>1</v>
      </c>
    </row>
    <row r="38" spans="1:7" ht="16.2" thickBot="1" x14ac:dyDescent="0.35">
      <c r="A38" s="193" t="s">
        <v>190</v>
      </c>
      <c r="B38" s="332">
        <v>1</v>
      </c>
      <c r="C38" s="333">
        <v>1</v>
      </c>
      <c r="D38" s="334" t="s">
        <v>191</v>
      </c>
      <c r="E38" s="335"/>
      <c r="F38" s="310"/>
      <c r="G38" s="192">
        <v>35</v>
      </c>
    </row>
    <row r="39" spans="1:7" ht="16.2" thickTop="1" x14ac:dyDescent="0.3">
      <c r="A39" s="306" t="s">
        <v>264</v>
      </c>
      <c r="B39" s="336">
        <f>C39/120</f>
        <v>0.44833333333333336</v>
      </c>
      <c r="C39" s="337">
        <f>SUM(C16:C38)</f>
        <v>53.800000000000004</v>
      </c>
      <c r="D39" s="317"/>
      <c r="E39" s="317"/>
      <c r="F39" s="317"/>
      <c r="G39" s="442"/>
    </row>
    <row r="40" spans="1:7" x14ac:dyDescent="0.3">
      <c r="E40" s="120" t="s">
        <v>82</v>
      </c>
      <c r="G40" s="347">
        <f>SUM(Martial!M6:M49,Equipment!G3:G38)</f>
        <v>40619.25</v>
      </c>
    </row>
    <row r="41" spans="1:7" x14ac:dyDescent="0.3">
      <c r="E41" s="306" t="s">
        <v>171</v>
      </c>
      <c r="F41" s="310"/>
      <c r="G41" s="347">
        <v>27000</v>
      </c>
    </row>
  </sheetData>
  <phoneticPr fontId="0" type="noConversion"/>
  <conditionalFormatting sqref="B39">
    <cfRule type="cellIs" dxfId="0" priority="1" operator="greaterThan">
      <formula>0.99</formula>
    </cfRule>
  </conditionalFormatting>
  <printOptions gridLinesSet="0"/>
  <pageMargins left="0.62" right="0.33" top="0.5" bottom="0.63" header="0.5" footer="0.5"/>
  <pageSetup orientation="portrait" horizontalDpi="120" verticalDpi="144"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7210A-7FE2-4A5F-A2C7-EE06781CA8FC}">
  <dimension ref="A1:C19"/>
  <sheetViews>
    <sheetView showGridLines="0" workbookViewId="0"/>
  </sheetViews>
  <sheetFormatPr defaultColWidth="9" defaultRowHeight="15.6" x14ac:dyDescent="0.3"/>
  <cols>
    <col min="1" max="1" width="62.3984375" style="128" bestFit="1" customWidth="1"/>
    <col min="2" max="2" width="9.5" style="318" customWidth="1"/>
    <col min="3" max="3" width="6.3984375" style="128" customWidth="1"/>
    <col min="4" max="16384" width="9" style="128"/>
  </cols>
  <sheetData>
    <row r="1" spans="1:3" x14ac:dyDescent="0.3">
      <c r="A1" s="306" t="s">
        <v>141</v>
      </c>
      <c r="B1" s="307" t="str">
        <f>'Personal File'!A1</f>
        <v>Bazazath</v>
      </c>
      <c r="C1" s="308" t="s">
        <v>142</v>
      </c>
    </row>
    <row r="2" spans="1:3" x14ac:dyDescent="0.3">
      <c r="A2" s="309" t="s">
        <v>209</v>
      </c>
      <c r="B2" s="310" t="s">
        <v>233</v>
      </c>
      <c r="C2" s="311">
        <v>0.04</v>
      </c>
    </row>
    <row r="3" spans="1:3" x14ac:dyDescent="0.3">
      <c r="A3" s="309" t="s">
        <v>151</v>
      </c>
      <c r="B3" s="310" t="s">
        <v>150</v>
      </c>
      <c r="C3" s="311">
        <v>0.16</v>
      </c>
    </row>
    <row r="4" spans="1:3" x14ac:dyDescent="0.3">
      <c r="A4" s="309" t="s">
        <v>154</v>
      </c>
      <c r="B4" s="310" t="s">
        <v>143</v>
      </c>
      <c r="C4" s="311">
        <v>0.2</v>
      </c>
    </row>
    <row r="5" spans="1:3" x14ac:dyDescent="0.3">
      <c r="A5" s="309" t="s">
        <v>153</v>
      </c>
      <c r="B5" s="310" t="s">
        <v>150</v>
      </c>
      <c r="C5" s="311">
        <v>0.16</v>
      </c>
    </row>
    <row r="6" spans="1:3" x14ac:dyDescent="0.3">
      <c r="A6" s="309" t="s">
        <v>152</v>
      </c>
      <c r="B6" s="310" t="s">
        <v>143</v>
      </c>
      <c r="C6" s="311">
        <v>0.2</v>
      </c>
    </row>
    <row r="7" spans="1:3" x14ac:dyDescent="0.3">
      <c r="A7" s="306" t="s">
        <v>53</v>
      </c>
      <c r="B7" s="307"/>
      <c r="C7" s="308">
        <f>SUM(C2:C6)</f>
        <v>0.76</v>
      </c>
    </row>
    <row r="8" spans="1:3" x14ac:dyDescent="0.3">
      <c r="A8" s="306"/>
      <c r="B8" s="307"/>
      <c r="C8" s="308"/>
    </row>
    <row r="9" spans="1:3" x14ac:dyDescent="0.3">
      <c r="A9" s="306" t="s">
        <v>144</v>
      </c>
      <c r="B9" s="312">
        <v>0</v>
      </c>
      <c r="C9" s="313"/>
    </row>
    <row r="10" spans="1:3" x14ac:dyDescent="0.3">
      <c r="A10" s="306" t="s">
        <v>145</v>
      </c>
      <c r="B10" s="312"/>
      <c r="C10" s="313"/>
    </row>
    <row r="11" spans="1:3" x14ac:dyDescent="0.3">
      <c r="A11" s="306" t="s">
        <v>146</v>
      </c>
      <c r="B11" s="312">
        <f>IF(B9=0,B10*C7,(B10*C7*(1-(B9/4))))</f>
        <v>0</v>
      </c>
      <c r="C11" s="313"/>
    </row>
    <row r="12" spans="1:3" x14ac:dyDescent="0.3">
      <c r="A12" s="306" t="s">
        <v>147</v>
      </c>
      <c r="B12" s="314">
        <v>0</v>
      </c>
      <c r="C12" s="315"/>
    </row>
    <row r="13" spans="1:3" x14ac:dyDescent="0.3">
      <c r="A13" s="306" t="s">
        <v>53</v>
      </c>
      <c r="B13" s="316">
        <f>SUM(B11:B12)</f>
        <v>0</v>
      </c>
      <c r="C13" s="313"/>
    </row>
    <row r="14" spans="1:3" x14ac:dyDescent="0.3">
      <c r="A14" s="306" t="s">
        <v>148</v>
      </c>
      <c r="B14" s="312"/>
      <c r="C14" s="313"/>
    </row>
    <row r="15" spans="1:3" x14ac:dyDescent="0.3">
      <c r="A15" s="306" t="s">
        <v>149</v>
      </c>
      <c r="B15" s="316">
        <f>SUM(B13:B14)</f>
        <v>0</v>
      </c>
      <c r="C15" s="313"/>
    </row>
    <row r="17" spans="1:2" x14ac:dyDescent="0.3">
      <c r="A17" s="306" t="s">
        <v>216</v>
      </c>
      <c r="B17" s="128"/>
    </row>
    <row r="18" spans="1:2" x14ac:dyDescent="0.3">
      <c r="A18" s="317"/>
      <c r="B18" s="128"/>
    </row>
    <row r="19" spans="1:2" x14ac:dyDescent="0.3">
      <c r="B19" s="128"/>
    </row>
  </sheetData>
  <pageMargins left="0.75" right="0.75" top="1" bottom="1" header="0.5" footer="0.5"/>
  <pageSetup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Personal File</vt:lpstr>
      <vt:lpstr>Skills</vt:lpstr>
      <vt:lpstr>Feats</vt:lpstr>
      <vt:lpstr>Martial</vt:lpstr>
      <vt:lpstr>Equipment</vt:lpstr>
      <vt:lpstr>XP Awards</vt:lpstr>
      <vt:lpstr>Feats!OLE_LINK1</vt:lpstr>
      <vt:lpstr>'Personal File'!Print_Area</vt:lpstr>
      <vt:lpstr>Skills!Print_Area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D&amp;D Character Sheet</dc:title>
  <dc:creator>© Alexis A. Álvarez 2007</dc:creator>
  <cp:lastModifiedBy>Alexis Álvarez</cp:lastModifiedBy>
  <cp:lastPrinted>2007-10-12T15:52:45Z</cp:lastPrinted>
  <dcterms:created xsi:type="dcterms:W3CDTF">2000-10-24T15:39:59Z</dcterms:created>
  <dcterms:modified xsi:type="dcterms:W3CDTF">2022-03-06T12:38:32Z</dcterms:modified>
</cp:coreProperties>
</file>