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A\Juegos\FoL\Used\Characters\Part II\"/>
    </mc:Choice>
  </mc:AlternateContent>
  <xr:revisionPtr revIDLastSave="0" documentId="13_ncr:1_{8F1B76EB-100B-4B0D-95DB-79D144807094}"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ystra" sheetId="27" r:id="rId3"/>
    <sheet name="Spells" sheetId="26"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Mystra!$A$1:$H$40</definedName>
    <definedName name="_xlnm.Print_Area" localSheetId="0">'Personal File'!$A$1:$H$24</definedName>
    <definedName name="_xlnm.Print_Area" localSheetId="1">Skills!$A$1:$K$34</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6" l="1"/>
  <c r="D11" i="6"/>
  <c r="D10" i="6"/>
  <c r="D9" i="6"/>
  <c r="D8" i="6"/>
  <c r="C12" i="6"/>
  <c r="C11" i="6"/>
  <c r="C10" i="6"/>
  <c r="C9" i="6"/>
  <c r="C8" i="6"/>
  <c r="H9" i="6"/>
  <c r="B5" i="15"/>
  <c r="B4" i="15"/>
  <c r="B3" i="15"/>
  <c r="B10" i="4"/>
  <c r="I12" i="6" l="1"/>
  <c r="H38" i="15" l="1"/>
  <c r="H47" i="15" l="1"/>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5" i="15"/>
  <c r="H14" i="15"/>
  <c r="H13" i="15"/>
  <c r="H12" i="15"/>
  <c r="H11" i="15"/>
  <c r="H10" i="15"/>
  <c r="H9" i="15"/>
  <c r="H8" i="15"/>
  <c r="H7" i="15"/>
  <c r="F12" i="6" l="1"/>
  <c r="F8" i="6"/>
  <c r="F9" i="6"/>
  <c r="F10" i="6"/>
  <c r="F11" i="6"/>
  <c r="F43" i="15"/>
  <c r="B16" i="6" l="1"/>
  <c r="G21" i="6" l="1"/>
  <c r="E11" i="4" l="1"/>
  <c r="I11" i="6"/>
  <c r="I4" i="6" l="1"/>
  <c r="J10" i="26" l="1"/>
  <c r="I8" i="26" l="1"/>
  <c r="F5" i="15" l="1"/>
  <c r="F4" i="15"/>
  <c r="F3" i="15"/>
  <c r="B49" i="15" l="1"/>
  <c r="E55" i="15"/>
  <c r="B14" i="4"/>
  <c r="B13" i="4"/>
  <c r="B12" i="4"/>
  <c r="I10" i="6" l="1"/>
  <c r="I8" i="6" l="1"/>
  <c r="I9" i="6"/>
  <c r="G24" i="19" l="1"/>
  <c r="I3" i="6" l="1"/>
  <c r="H16" i="15" l="1"/>
  <c r="I5" i="6" l="1"/>
  <c r="G8" i="26" l="1"/>
  <c r="J8" i="26"/>
  <c r="E13" i="4" l="1"/>
  <c r="H5" i="15" l="1"/>
  <c r="H4" i="15"/>
  <c r="H3" i="15"/>
  <c r="C17" i="4" l="1"/>
  <c r="C16" i="4"/>
  <c r="C15" i="4"/>
  <c r="C14" i="4"/>
  <c r="E14" i="4" s="1"/>
  <c r="C13" i="4"/>
  <c r="C12" i="4"/>
  <c r="E15" i="4" l="1"/>
  <c r="E17" i="4" s="1"/>
  <c r="H12" i="6"/>
  <c r="J12" i="6" s="1"/>
  <c r="H10" i="6"/>
  <c r="J10" i="6" s="1"/>
  <c r="J9" i="6"/>
  <c r="H11" i="6"/>
  <c r="J11" i="6" s="1"/>
  <c r="B11" i="4"/>
  <c r="H8" i="6"/>
  <c r="J8" i="6" s="1"/>
  <c r="O4" i="26"/>
  <c r="O3" i="26"/>
  <c r="C4" i="26"/>
  <c r="C3" i="26"/>
  <c r="H4" i="6"/>
  <c r="J4" i="6" s="1"/>
  <c r="H3" i="6"/>
  <c r="J3" i="6" s="1"/>
  <c r="H5" i="6"/>
  <c r="J5" i="6" s="1"/>
  <c r="D36" i="15"/>
  <c r="E36" i="15" s="1"/>
  <c r="E51" i="15"/>
  <c r="E50" i="15"/>
  <c r="D41" i="15"/>
  <c r="D31" i="15"/>
  <c r="E54" i="15"/>
  <c r="E53" i="15"/>
  <c r="D29" i="15"/>
  <c r="D28" i="15"/>
  <c r="D26" i="15"/>
  <c r="D25" i="15"/>
  <c r="E52" i="15"/>
  <c r="D30" i="15"/>
  <c r="D27" i="15"/>
  <c r="D3" i="15"/>
  <c r="E3" i="15" s="1"/>
  <c r="D4" i="15"/>
  <c r="G4" i="15" s="1"/>
  <c r="E16" i="4"/>
  <c r="D5" i="15"/>
  <c r="H48" i="15"/>
  <c r="H6" i="15"/>
  <c r="E49" i="15" l="1"/>
  <c r="G36" i="15"/>
  <c r="I36" i="15" s="1"/>
  <c r="G28" i="15"/>
  <c r="I28" i="15" s="1"/>
  <c r="E28" i="15"/>
  <c r="E31" i="15"/>
  <c r="G31" i="15"/>
  <c r="I31" i="15" s="1"/>
  <c r="G25" i="15"/>
  <c r="I25" i="15" s="1"/>
  <c r="E25" i="15"/>
  <c r="G29" i="15"/>
  <c r="I29" i="15" s="1"/>
  <c r="E29" i="15"/>
  <c r="G41" i="15"/>
  <c r="I41" i="15" s="1"/>
  <c r="E41" i="15"/>
  <c r="G26" i="15"/>
  <c r="I26" i="15" s="1"/>
  <c r="E26" i="15"/>
  <c r="G27" i="15"/>
  <c r="I27" i="15" s="1"/>
  <c r="E27" i="15"/>
  <c r="G30" i="15"/>
  <c r="I30" i="15" s="1"/>
  <c r="E30" i="15"/>
  <c r="E4" i="15"/>
  <c r="I4" i="15"/>
  <c r="G3" i="15"/>
  <c r="I3" i="15" s="1"/>
  <c r="E5" i="15"/>
  <c r="G5" i="15"/>
  <c r="I5" i="15" l="1"/>
  <c r="D24" i="15" l="1"/>
  <c r="E24" i="15" l="1"/>
  <c r="G24" i="15"/>
  <c r="I24" i="15" l="1"/>
  <c r="D42" i="15" l="1"/>
  <c r="D19" i="15"/>
  <c r="D44" i="15"/>
  <c r="D46" i="15"/>
  <c r="D43" i="15"/>
  <c r="D45" i="15"/>
  <c r="D38" i="15"/>
  <c r="D47" i="15"/>
  <c r="D34" i="15"/>
  <c r="D40" i="15"/>
  <c r="D14" i="15"/>
  <c r="D12" i="15"/>
  <c r="D48" i="15"/>
  <c r="D39" i="15"/>
  <c r="D37" i="15"/>
  <c r="D35" i="15"/>
  <c r="D33" i="15"/>
  <c r="D32"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33" i="15"/>
  <c r="G33" i="15"/>
  <c r="I33" i="15" s="1"/>
  <c r="E48" i="15"/>
  <c r="G48" i="15"/>
  <c r="E34" i="15"/>
  <c r="G34" i="15"/>
  <c r="I34" i="15" s="1"/>
  <c r="E43" i="15"/>
  <c r="G43" i="15"/>
  <c r="E19" i="15"/>
  <c r="G19" i="15"/>
  <c r="E7" i="15"/>
  <c r="G7" i="15"/>
  <c r="E17" i="15"/>
  <c r="G17" i="15"/>
  <c r="E22" i="15"/>
  <c r="G22" i="15"/>
  <c r="E35" i="15"/>
  <c r="G35" i="15"/>
  <c r="I35" i="15" s="1"/>
  <c r="E12" i="15"/>
  <c r="G12" i="15"/>
  <c r="E47" i="15"/>
  <c r="G47" i="15"/>
  <c r="E46" i="15"/>
  <c r="G46" i="15"/>
  <c r="E42" i="15"/>
  <c r="G42" i="15"/>
  <c r="E13" i="15"/>
  <c r="G13" i="15"/>
  <c r="I13" i="15" s="1"/>
  <c r="E18" i="15"/>
  <c r="G18" i="15"/>
  <c r="E23" i="15"/>
  <c r="G23" i="15"/>
  <c r="E37" i="15"/>
  <c r="G37" i="15"/>
  <c r="E14" i="15"/>
  <c r="G14" i="15"/>
  <c r="E38" i="15"/>
  <c r="G38" i="15"/>
  <c r="E11" i="15"/>
  <c r="G11" i="15"/>
  <c r="I11" i="15" s="1"/>
  <c r="E9" i="15"/>
  <c r="G9" i="15"/>
  <c r="E15" i="15"/>
  <c r="G15" i="15"/>
  <c r="E20" i="15"/>
  <c r="G20" i="15"/>
  <c r="E32" i="15"/>
  <c r="G32" i="15"/>
  <c r="E39" i="15"/>
  <c r="G39" i="15"/>
  <c r="I39" i="15" s="1"/>
  <c r="E40" i="15"/>
  <c r="G40" i="15"/>
  <c r="E45" i="15"/>
  <c r="G45" i="15"/>
  <c r="I45" i="15" s="1"/>
  <c r="E44" i="15"/>
  <c r="G44" i="15"/>
  <c r="I12" i="15" l="1"/>
  <c r="I46" i="15"/>
  <c r="I9" i="15"/>
  <c r="I23" i="15"/>
  <c r="I7" i="15"/>
  <c r="I32" i="15"/>
  <c r="I15" i="15"/>
  <c r="I37" i="15"/>
  <c r="I18" i="15"/>
  <c r="I17" i="15"/>
  <c r="I19" i="15"/>
  <c r="I16" i="15"/>
  <c r="I44" i="15"/>
  <c r="I40" i="15"/>
  <c r="I14" i="15"/>
  <c r="I47" i="15"/>
  <c r="I48" i="15"/>
  <c r="I21" i="15"/>
  <c r="I38" i="15"/>
  <c r="I42" i="15"/>
  <c r="I20" i="15"/>
  <c r="I43"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0" authorId="0" shapeId="0" xr:uid="{00000000-0006-0000-0000-000001000000}">
      <text>
        <r>
          <rPr>
            <i/>
            <sz val="12"/>
            <color indexed="81"/>
            <rFont val="Times New Roman"/>
            <family val="1"/>
          </rPr>
          <t>aid +1
haste +1
crushing despair -2</t>
        </r>
      </text>
    </comment>
    <comment ref="C11" authorId="0" shapeId="0" xr:uid="{00000000-0006-0000-0000-000002000000}">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E11" authorId="0" shapeId="0" xr:uid="{00000000-0006-0000-0000-000003000000}">
      <text>
        <r>
          <rPr>
            <b/>
            <sz val="12"/>
            <color indexed="81"/>
            <rFont val="Times New Roman"/>
            <family val="1"/>
          </rPr>
          <t xml:space="preserve">Price (Item Level):  </t>
        </r>
        <r>
          <rPr>
            <sz val="12"/>
            <color indexed="81"/>
            <rFont val="Times New Roman"/>
            <family val="1"/>
          </rPr>
          <t xml:space="preserve">9,000 gp (12th)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(mental)
</t>
        </r>
        <r>
          <rPr>
            <b/>
            <sz val="12"/>
            <color indexed="81"/>
            <rFont val="Times New Roman"/>
            <family val="1"/>
          </rPr>
          <t xml:space="preserve">Weight:  </t>
        </r>
        <r>
          <rPr>
            <sz val="12"/>
            <color indexed="81"/>
            <rFont val="Times New Roman"/>
            <family val="1"/>
          </rPr>
          <t>1 lb.
These exquisite sandals are made of mithral and green leather, and they bear intricate overlapping pieces of leather crafted to look like leaves.
Wearing a pair of sandals of the light step provides you with a +10-foot enhancement bonus to your base land speed, and you can ignore any extra movement costs for difficult terrain (PH 148).  You also leave no tracks, as if affected by pass without trace.  When you activate these sandals, you gain the benefit of a water walk spell for 60 minutes.  You can share this effect with up to five allies adjacent to you when you activate the sandals, though doing this reduces the overall duration accordingly.
For example, if you share the effect with one other person, the duration is 30 minutes apiece; if you share it with 5 other people, the duration is 10 minutes apiece.  This ability functions once per day.
MIC 198</t>
        </r>
      </text>
    </comment>
    <comment ref="E12" authorId="0" shapeId="0" xr:uid="{00000000-0006-0000-0000-000004000000}">
      <text>
        <r>
          <rPr>
            <sz val="12"/>
            <color indexed="81"/>
            <rFont val="Times New Roman"/>
            <family val="1"/>
          </rPr>
          <t>See PHB 162</t>
        </r>
      </text>
    </comment>
    <comment ref="B13" authorId="0" shapeId="0" xr:uid="{00000000-0006-0000-0000-000005000000}">
      <text>
        <r>
          <rPr>
            <sz val="12"/>
            <color indexed="81"/>
            <rFont val="Times New Roman"/>
            <family val="1"/>
          </rPr>
          <t>Gloves of Dexterity +4</t>
        </r>
      </text>
    </comment>
    <comment ref="B14" authorId="0" shapeId="0" xr:uid="{00000000-0006-0000-0000-000006000000}">
      <text>
        <r>
          <rPr>
            <sz val="12"/>
            <color indexed="81"/>
            <rFont val="Times New Roman"/>
            <family val="1"/>
          </rPr>
          <t>Amulet of Health +2</t>
        </r>
      </text>
    </comment>
    <comment ref="E15" authorId="0" shapeId="0" xr:uid="{00000000-0006-0000-0000-000008000000}">
      <text>
        <r>
          <rPr>
            <sz val="12"/>
            <color indexed="81"/>
            <rFont val="Times New Roman"/>
            <family val="1"/>
          </rPr>
          <t>Vulnerable -1</t>
        </r>
        <r>
          <rPr>
            <i/>
            <sz val="12"/>
            <color indexed="81"/>
            <rFont val="Times New Roman"/>
            <family val="1"/>
          </rPr>
          <t xml:space="preserve">
shield of faith +3
surge of fortune +2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Vest of Resistance +3</t>
        </r>
      </text>
    </comment>
    <comment ref="F4" authorId="0" shapeId="0" xr:uid="{00000000-0006-0000-0100-000002000000}">
      <text>
        <r>
          <rPr>
            <sz val="12"/>
            <color indexed="81"/>
            <rFont val="Times New Roman"/>
            <family val="1"/>
          </rPr>
          <t>Vest of Resistance +3</t>
        </r>
      </text>
    </comment>
    <comment ref="F5" authorId="0" shapeId="0" xr:uid="{00000000-0006-0000-0100-000003000000}">
      <text>
        <r>
          <rPr>
            <sz val="12"/>
            <color indexed="81"/>
            <rFont val="Times New Roman"/>
            <family val="1"/>
          </rPr>
          <t>Vest of Resistance +3</t>
        </r>
      </text>
    </comment>
    <comment ref="F43" authorId="0" shapeId="0" xr:uid="{00000000-0006-0000-0100-000004000000}">
      <text>
        <r>
          <rPr>
            <sz val="12"/>
            <color indexed="81"/>
            <rFont val="Times New Roman"/>
            <family val="1"/>
          </rPr>
          <t>Scout’s Headband +2
FRCS 37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200-000001000000}">
      <text>
        <r>
          <rPr>
            <sz val="12"/>
            <color indexed="81"/>
            <rFont val="Times New Roman"/>
            <family val="1"/>
          </rPr>
          <t>dead cockroach</t>
        </r>
      </text>
    </comment>
    <comment ref="D4" authorId="0" shapeId="0" xr:uid="{00000000-0006-0000-0200-000002000000}">
      <text>
        <r>
          <rPr>
            <sz val="12"/>
            <color indexed="81"/>
            <rFont val="Times New Roman"/>
            <family val="1"/>
          </rPr>
          <t>Tiny bell and a piece of fine silver wire</t>
        </r>
      </text>
    </comment>
    <comment ref="D5" authorId="0" shapeId="0" xr:uid="{00000000-0006-0000-0200-000003000000}">
      <text>
        <r>
          <rPr>
            <sz val="12"/>
            <color indexed="81"/>
            <rFont val="Times New Roman"/>
            <family val="1"/>
          </rPr>
          <t>Bait for said animal</t>
        </r>
      </text>
    </comment>
    <comment ref="D17" authorId="0" shapeId="0" xr:uid="{00000000-0006-0000-0200-000004000000}">
      <text>
        <r>
          <rPr>
            <sz val="12"/>
            <color indexed="81"/>
            <rFont val="Times New Roman"/>
            <family val="1"/>
          </rPr>
          <t>powdered black gemstone</t>
        </r>
      </text>
    </comment>
    <comment ref="D26" authorId="0" shapeId="0" xr:uid="{00000000-0006-0000-0200-000005000000}">
      <text>
        <r>
          <rPr>
            <sz val="12"/>
            <color indexed="81"/>
            <rFont val="Times New Roman"/>
            <family val="1"/>
          </rPr>
          <t>small mint leaf</t>
        </r>
      </text>
    </comment>
    <comment ref="D33" authorId="0" shapeId="0" xr:uid="{00000000-0006-0000-0200-000006000000}">
      <text>
        <r>
          <rPr>
            <sz val="12"/>
            <color indexed="81"/>
            <rFont val="Times New Roman"/>
            <family val="1"/>
          </rPr>
          <t>grasshopper leg</t>
        </r>
      </text>
    </comment>
    <comment ref="D34" authorId="0" shapeId="0" xr:uid="{00000000-0006-0000-0200-000007000000}">
      <text>
        <r>
          <rPr>
            <sz val="12"/>
            <color indexed="81"/>
            <rFont val="Times New Roman"/>
            <family val="1"/>
          </rPr>
          <t>kuo-toa scale</t>
        </r>
      </text>
    </comment>
    <comment ref="D36" authorId="0" shapeId="0" xr:uid="{00000000-0006-0000-0200-000008000000}">
      <text>
        <r>
          <rPr>
            <sz val="12"/>
            <color indexed="81"/>
            <rFont val="Times New Roman"/>
            <family val="1"/>
          </rPr>
          <t>Pinch of dirt</t>
        </r>
      </text>
    </comment>
    <comment ref="D41" authorId="0" shapeId="0" xr:uid="{00000000-0006-0000-0200-000009000000}">
      <text>
        <r>
          <rPr>
            <sz val="12"/>
            <color indexed="81"/>
            <rFont val="Times New Roman"/>
            <family val="1"/>
          </rPr>
          <t>fish scale</t>
        </r>
      </text>
    </comment>
    <comment ref="D43" authorId="0" shapeId="0" xr:uid="{00000000-0006-0000-0200-00000A000000}">
      <text>
        <r>
          <rPr>
            <sz val="12"/>
            <color indexed="81"/>
            <rFont val="Times New Roman"/>
            <family val="1"/>
          </rPr>
          <t>Prism, lens, or monocle</t>
        </r>
      </text>
    </comment>
    <comment ref="D50" authorId="0" shapeId="0" xr:uid="{00000000-0006-0000-0200-00000B000000}">
      <text>
        <r>
          <rPr>
            <sz val="12"/>
            <color indexed="81"/>
            <rFont val="Times New Roman"/>
            <family val="1"/>
          </rPr>
          <t>tern feathers/guano</t>
        </r>
      </text>
    </comment>
    <comment ref="D52" authorId="0" shapeId="0" xr:uid="{00000000-0006-0000-0200-00000C000000}">
      <text>
        <r>
          <rPr>
            <sz val="12"/>
            <color indexed="81"/>
            <rFont val="Times New Roman"/>
            <family val="1"/>
          </rPr>
          <t>spine from a sea urchin</t>
        </r>
      </text>
    </comment>
    <comment ref="D55" authorId="0" shapeId="0" xr:uid="{00000000-0006-0000-0200-00000D000000}">
      <text>
        <r>
          <rPr>
            <sz val="12"/>
            <color indexed="81"/>
            <rFont val="Times New Roman"/>
            <family val="1"/>
          </rPr>
          <t>MW arrow/bolt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J10" authorId="0" shapeId="0" xr:uid="{00000000-0006-0000-0300-000001000000}">
      <text>
        <r>
          <rPr>
            <sz val="12"/>
            <color indexed="81"/>
            <rFont val="Times New Roman"/>
            <family val="1"/>
          </rPr>
          <t>When casting ranger spells, a Shooting Star can treat her caster level as equal to one-half her ranger level +2.  If she also has arcane spellcasting ability rom another class, she can add her caster level from that calss to this value to determine her caster level.
Champions of Valor 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2" authorId="0" shapeId="0" xr:uid="{00000000-0006-0000-0400-000002000000}">
      <text>
        <r>
          <rPr>
            <sz val="12"/>
            <color indexed="81"/>
            <rFont val="Times New Roman"/>
            <family val="1"/>
          </rPr>
          <t>Because the members of this order need to report their findings over long distances, starting at 3rd level a Shooting Star develops the power to use the Weave itself to transmit short messages.  Once per day the character can transmit a message of 25 words or less to the nearest cleric, paladin, or ranger of Mystra (the Shooting Star can’t choose the recipient).  This ability only functions where the Weave is active, and it cannot jump planar boundaries; the ranger knows if either condition would prevent the message from reaching its target.  It is otherwise the equivalent of a sending spell.
This benefit replaces the Endurance bonus feat gained by a standard ranger at 3rd level.
Champions of Valor 50</t>
        </r>
      </text>
    </comment>
    <comment ref="A3" authorId="0" shapeId="0" xr:uid="{00000000-0006-0000-0400-00000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3" authorId="0" shapeId="0" xr:uid="{00000000-0006-0000-0400-000004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4" authorId="0" shapeId="0" xr:uid="{00000000-0006-0000-0400-00000500000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4" authorId="0" shapeId="0" xr:uid="{00000000-0006-0000-0400-00000600000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5" authorId="0" shapeId="0" xr:uid="{00000000-0006-0000-0400-00000700000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1-1/2).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 ref="C5" authorId="0" shapeId="0" xr:uid="{00000000-0006-0000-0400-000008000000}">
      <text>
        <r>
          <rPr>
            <sz val="12"/>
            <color indexed="81"/>
            <rFont val="Times New Roman"/>
            <family val="1"/>
          </rPr>
          <t>At 4th level, a Shooting Star gains a bonus 1st-level ranger spell slot as if from a high Wisdom score.  At 8th level she gains a bonus 2nd-level ranger spell slot, at 11th level she gains a bonus 3rd-level ranger spell slot, and at 14th level she gains a bonus 4th-level ranger spell slot.
This benefit replaces the animal companion class feature gained by a standard ranger at 4th level.
Champions of Valor 50</t>
        </r>
      </text>
    </comment>
    <comment ref="A6" authorId="0" shapeId="0" xr:uid="{00000000-0006-0000-0400-00000B000000}">
      <text>
        <r>
          <rPr>
            <sz val="12"/>
            <color indexed="81"/>
            <rFont val="Times New Roman"/>
            <family val="1"/>
          </rPr>
          <t xml:space="preserve">You are an expert at fi ring weapons with exceptional speed.
</t>
        </r>
        <r>
          <rPr>
            <b/>
            <sz val="12"/>
            <color indexed="81"/>
            <rFont val="Times New Roman"/>
            <family val="1"/>
          </rPr>
          <t xml:space="preserve">Prerequisites:  </t>
        </r>
        <r>
          <rPr>
            <sz val="12"/>
            <color indexed="81"/>
            <rFont val="Times New Roman"/>
            <family val="1"/>
          </rPr>
          <t xml:space="preserve">Manyshot, Point Blank Shot, Rapid Shot.
</t>
        </r>
        <r>
          <rPr>
            <b/>
            <sz val="12"/>
            <color indexed="81"/>
            <rFont val="Times New Roman"/>
            <family val="1"/>
          </rPr>
          <t xml:space="preserve">Benefit:  </t>
        </r>
        <r>
          <rPr>
            <sz val="12"/>
            <color indexed="81"/>
            <rFont val="Times New Roman"/>
            <family val="1"/>
          </rPr>
          <t xml:space="preserve">When using the Rapid Shot feat, you may ignore the –2 penalty on all your ranged attack rolls.
</t>
        </r>
        <r>
          <rPr>
            <b/>
            <sz val="12"/>
            <color indexed="81"/>
            <rFont val="Times New Roman"/>
            <family val="1"/>
          </rPr>
          <t xml:space="preserve">Special:  </t>
        </r>
        <r>
          <rPr>
            <sz val="12"/>
            <color indexed="81"/>
            <rFont val="Times New Roman"/>
            <family val="1"/>
          </rPr>
          <t>A fighter may select Improved Rapid Shot as one of his fighter bonus feats.
Complete Warrior</t>
        </r>
      </text>
    </comment>
    <comment ref="C6" authorId="0" shapeId="0" xr:uid="{00000000-0006-0000-0400-00000A000000}">
      <text>
        <r>
          <rPr>
            <sz val="12"/>
            <color indexed="81"/>
            <rFont val="Times New Roman"/>
            <family val="1"/>
          </rPr>
          <t>When casting ranger spells, a Shooting Star can treat her caster level as equal to one-half her ranger level +2.  If she also has arcane spellcasting ability rom another class, she can add her caster level from that calss to this value to determine her caster level.
Champions of Valor 50</t>
        </r>
      </text>
    </comment>
    <comment ref="C7" authorId="0" shapeId="0" xr:uid="{00000000-0006-0000-0400-00000C000000}">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C8" authorId="0" shapeId="0" xr:uid="{00000000-0006-0000-0400-00000E00000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 authorId="0" shapeId="0" xr:uid="{9EE75E32-CCF8-4E05-BC6A-E47B761520A6}">
      <text>
        <r>
          <rPr>
            <sz val="12"/>
            <color indexed="81"/>
            <rFont val="Times New Roman"/>
            <family val="1"/>
          </rPr>
          <t xml:space="preserve">-2 </t>
        </r>
        <r>
          <rPr>
            <i/>
            <sz val="12"/>
            <color indexed="81"/>
            <rFont val="Times New Roman"/>
            <family val="1"/>
          </rPr>
          <t>crushing despair</t>
        </r>
      </text>
    </comment>
    <comment ref="B4" authorId="0" shapeId="0" xr:uid="{79092915-E9DD-4191-A38D-B682343F3907}">
      <text>
        <r>
          <rPr>
            <sz val="12"/>
            <color indexed="81"/>
            <rFont val="Times New Roman"/>
            <family val="1"/>
          </rPr>
          <t xml:space="preserve">-2 </t>
        </r>
        <r>
          <rPr>
            <i/>
            <sz val="12"/>
            <color indexed="81"/>
            <rFont val="Times New Roman"/>
            <family val="1"/>
          </rPr>
          <t>crushing despair</t>
        </r>
      </text>
    </comment>
    <comment ref="B5" authorId="0" shapeId="0" xr:uid="{FF14E593-5FA4-449D-ABBC-E47349EFD7DC}">
      <text>
        <r>
          <rPr>
            <sz val="12"/>
            <color indexed="81"/>
            <rFont val="Times New Roman"/>
            <family val="1"/>
          </rPr>
          <t xml:space="preserve">-2 </t>
        </r>
        <r>
          <rPr>
            <i/>
            <sz val="12"/>
            <color indexed="81"/>
            <rFont val="Times New Roman"/>
            <family val="1"/>
          </rPr>
          <t>crushing despair</t>
        </r>
      </text>
    </comment>
    <comment ref="B8" authorId="0" shapeId="0" xr:uid="{62B9BEB6-5C64-4C56-A58D-2D465A1F1ED5}">
      <text>
        <r>
          <rPr>
            <sz val="12"/>
            <color indexed="81"/>
            <rFont val="Times New Roman"/>
            <family val="1"/>
          </rPr>
          <t xml:space="preserve">-2 </t>
        </r>
        <r>
          <rPr>
            <i/>
            <sz val="12"/>
            <color indexed="81"/>
            <rFont val="Times New Roman"/>
            <family val="1"/>
          </rPr>
          <t>crushing despair</t>
        </r>
      </text>
    </comment>
    <comment ref="C8" authorId="0" shapeId="0" xr:uid="{00000000-0006-0000-0500-000001000000}">
      <text>
        <r>
          <rPr>
            <sz val="12"/>
            <color indexed="81"/>
            <rFont val="Times New Roman"/>
            <family val="1"/>
          </rPr>
          <t>+1 Weapon
Weapon Specialization +2
Ranged Mastery +2
Strength +2</t>
        </r>
      </text>
    </comment>
    <comment ref="D8" authorId="0" shapeId="0" xr:uid="{00000000-0006-0000-0500-000002000000}">
      <text>
        <r>
          <rPr>
            <sz val="12"/>
            <color indexed="81"/>
            <rFont val="Times New Roman"/>
            <family val="1"/>
          </rPr>
          <t>Weapon +1
Ranged Mastery +2
height +2 (REMOVE)</t>
        </r>
      </text>
    </comment>
    <comment ref="E8" authorId="0" shapeId="0" xr:uid="{00000000-0006-0000-0500-000003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B9" authorId="0" shapeId="0" xr:uid="{60A2D2F6-4235-41E6-A568-A3922290BB8A}">
      <text>
        <r>
          <rPr>
            <sz val="12"/>
            <color indexed="81"/>
            <rFont val="Times New Roman"/>
            <family val="1"/>
          </rPr>
          <t xml:space="preserve">-2 </t>
        </r>
        <r>
          <rPr>
            <i/>
            <sz val="12"/>
            <color indexed="81"/>
            <rFont val="Times New Roman"/>
            <family val="1"/>
          </rPr>
          <t>crushing despair</t>
        </r>
      </text>
    </comment>
    <comment ref="C9" authorId="0" shapeId="0" xr:uid="{DA2331DF-B7AD-43CC-A022-3280CA822609}">
      <text>
        <r>
          <rPr>
            <sz val="12"/>
            <color indexed="81"/>
            <rFont val="Times New Roman"/>
            <family val="1"/>
          </rPr>
          <t>+1 Weapon
Weapon Specialization +2
Ranged Mastery +2
Strength +2</t>
        </r>
      </text>
    </comment>
    <comment ref="D9" authorId="0" shapeId="0" xr:uid="{D1614AFA-5959-4A4B-85C4-5262D6AD6314}">
      <text>
        <r>
          <rPr>
            <sz val="12"/>
            <color indexed="81"/>
            <rFont val="Times New Roman"/>
            <family val="1"/>
          </rPr>
          <t>Weapon +1
Ranged Mastery +2
height +2 (REMOVE)</t>
        </r>
      </text>
    </comment>
    <comment ref="E9" authorId="0" shapeId="0" xr:uid="{00000000-0006-0000-0500-00000C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B10" authorId="0" shapeId="0" xr:uid="{912F6A66-3788-41D3-81DC-41CEF6344BBB}">
      <text>
        <r>
          <rPr>
            <sz val="12"/>
            <color indexed="81"/>
            <rFont val="Times New Roman"/>
            <family val="1"/>
          </rPr>
          <t xml:space="preserve">-2 </t>
        </r>
        <r>
          <rPr>
            <i/>
            <sz val="12"/>
            <color indexed="81"/>
            <rFont val="Times New Roman"/>
            <family val="1"/>
          </rPr>
          <t>crushing despair</t>
        </r>
      </text>
    </comment>
    <comment ref="C10" authorId="0" shapeId="0" xr:uid="{0A12D385-FFD6-4116-A714-0FF5107CD1F5}">
      <text>
        <r>
          <rPr>
            <sz val="12"/>
            <color indexed="81"/>
            <rFont val="Times New Roman"/>
            <family val="1"/>
          </rPr>
          <t>+1 Weapon
Weapon Specialization +2
Ranged Mastery +2
Strength +2</t>
        </r>
      </text>
    </comment>
    <comment ref="D10" authorId="0" shapeId="0" xr:uid="{B4DBEED0-527A-41D2-86E1-1E20B82913A9}">
      <text>
        <r>
          <rPr>
            <sz val="12"/>
            <color indexed="81"/>
            <rFont val="Times New Roman"/>
            <family val="1"/>
          </rPr>
          <t>Weapon +1
Ranged Mastery +2
height +2 (REMOVE)</t>
        </r>
      </text>
    </comment>
    <comment ref="E10" authorId="0" shapeId="0" xr:uid="{00000000-0006-0000-0500-00000F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B11" authorId="0" shapeId="0" xr:uid="{5BC23F9A-4B38-4AEE-9B56-18ECB4113208}">
      <text>
        <r>
          <rPr>
            <sz val="12"/>
            <color indexed="81"/>
            <rFont val="Times New Roman"/>
            <family val="1"/>
          </rPr>
          <t xml:space="preserve">-2 </t>
        </r>
        <r>
          <rPr>
            <i/>
            <sz val="12"/>
            <color indexed="81"/>
            <rFont val="Times New Roman"/>
            <family val="1"/>
          </rPr>
          <t>crushing despair</t>
        </r>
      </text>
    </comment>
    <comment ref="C11" authorId="0" shapeId="0" xr:uid="{C6504824-514A-459D-9DF2-2768B7BCE428}">
      <text>
        <r>
          <rPr>
            <sz val="12"/>
            <color indexed="81"/>
            <rFont val="Times New Roman"/>
            <family val="1"/>
          </rPr>
          <t>+1 Weapon
Weapon Specialization +2
Ranged Mastery +2
Strength +2</t>
        </r>
      </text>
    </comment>
    <comment ref="D11" authorId="0" shapeId="0" xr:uid="{45647363-A567-4195-9D31-E2653D7D3C3F}">
      <text>
        <r>
          <rPr>
            <sz val="12"/>
            <color indexed="81"/>
            <rFont val="Times New Roman"/>
            <family val="1"/>
          </rPr>
          <t>Weapon +1
Ranged Mastery +2
height +2 (REMOVE)</t>
        </r>
      </text>
    </comment>
    <comment ref="E11" authorId="0" shapeId="0" xr:uid="{00000000-0006-0000-0500-000015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B12" authorId="0" shapeId="0" xr:uid="{DDECD701-8709-4608-95CB-DA1F4F411658}">
      <text>
        <r>
          <rPr>
            <sz val="12"/>
            <color indexed="81"/>
            <rFont val="Times New Roman"/>
            <family val="1"/>
          </rPr>
          <t xml:space="preserve">-2 </t>
        </r>
        <r>
          <rPr>
            <i/>
            <sz val="12"/>
            <color indexed="81"/>
            <rFont val="Times New Roman"/>
            <family val="1"/>
          </rPr>
          <t>crushing despair</t>
        </r>
      </text>
    </comment>
    <comment ref="C12" authorId="0" shapeId="0" xr:uid="{3408D146-7F21-406F-892F-1702CFA3A024}">
      <text>
        <r>
          <rPr>
            <sz val="12"/>
            <color indexed="81"/>
            <rFont val="Times New Roman"/>
            <family val="1"/>
          </rPr>
          <t>+1 Weapon
Weapon Specialization +2
Ranged Mastery +2
Strength +2</t>
        </r>
      </text>
    </comment>
    <comment ref="D12" authorId="0" shapeId="0" xr:uid="{08491CB3-FF85-4E36-9E14-B2AFCEEEB50A}">
      <text>
        <r>
          <rPr>
            <sz val="12"/>
            <color indexed="81"/>
            <rFont val="Times New Roman"/>
            <family val="1"/>
          </rPr>
          <t>Weapon +1
Ranged Mastery +2
height +2 (REMOVE)</t>
        </r>
      </text>
    </comment>
    <comment ref="E12" authorId="0" shapeId="0" xr:uid="{00000000-0006-0000-0500-000018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D15" authorId="0" shapeId="0" xr:uid="{00000000-0006-0000-0500-000019000000}">
      <text>
        <r>
          <rPr>
            <sz val="12"/>
            <color indexed="81"/>
            <rFont val="Times New Roman"/>
            <family val="1"/>
          </rPr>
          <t>Balance, Climb, Escape Artist, Hide, Jump, Move Silently, Sleight of Hand, Tumble.</t>
        </r>
      </text>
    </comment>
    <comment ref="A16" authorId="0" shapeId="0" xr:uid="{00000000-0006-0000-0500-00001A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6th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10 lb.
This delicate-looking chain shirt is forged from a silver-white mithral alloy that gleams like starlight. 
Up to seven times per day, you can activate this +1 mithral shirt to fill your space with a billowing silver mist.  This gleaming fog grants you concealment against attacks but does not interfere with your vision.  The mist lasts for 1 minute per activation, and it remains in the space where you activated the effect (it doesn’t move with you if you leave that space).
MIC 20</t>
        </r>
      </text>
    </comment>
    <comment ref="E20" authorId="0" shapeId="0" xr:uid="{00000000-0006-0000-0500-00001B000000}">
      <text>
        <r>
          <rPr>
            <sz val="12"/>
            <color indexed="81"/>
            <rFont val="Times New Roman"/>
            <family val="1"/>
          </rPr>
          <t>This appears to be a typical arrow container capable of holding about twenty arrows.  It has three distinct portions, each with a nondimensional space allowing it to store far more than would normally be possible.  The first and smallest one can contain up to sixty objects of the same general size and shape as an arrow.  The second slightly longer compartment holds up to eighteen objects of the same general size and shape as a javelin. The third and longest portion of the case contains as many as six objects of the same general size and shape as a bow (spears, staffs, or the like). Once the owner has filled it, the quiver can produce any item she wishes, as if from a regular quiver or scabbard.  The quiver of Ehlonna weighs the same no matter what’s placed inside it.
DMG 265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600-000001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9,000 gp (12th)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(mental)
</t>
        </r>
        <r>
          <rPr>
            <b/>
            <sz val="12"/>
            <color indexed="81"/>
            <rFont val="Times New Roman"/>
            <family val="1"/>
          </rPr>
          <t xml:space="preserve">Weight:  </t>
        </r>
        <r>
          <rPr>
            <sz val="12"/>
            <color indexed="81"/>
            <rFont val="Times New Roman"/>
            <family val="1"/>
          </rPr>
          <t>1 lb.
These exquisite sandals are made of mithral and green leather, and they bear intricate overlapping pieces of leather crafted to look like leaves.
Wearing a pair of sandals of the light step provides you with a +10-foot enhancement bonus to your base land speed, and you can ignore any extra movement costs for difficult terrain (PH 148).  You also leave no tracks, as if affected by pass without trace.  When you activate these sandals, you gain the benefit of a water walk spell for 60 minutes.  You can share this effect with up to five allies adjacent to you when you activate the sandals, though doing this reduces the overall duration accordingly.
For example, if you share the effect with one other person, the duration is 30 minutes apiece; if you share it with 5 other people, the duration is 10 minutes apiece.  This ability functions once per day.
MIC 198</t>
        </r>
      </text>
    </comment>
  </commentList>
</comments>
</file>

<file path=xl/sharedStrings.xml><?xml version="1.0" encoding="utf-8"?>
<sst xmlns="http://schemas.openxmlformats.org/spreadsheetml/2006/main" count="760" uniqueCount="318">
  <si>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</si>
  <si>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</si>
  <si>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</si>
  <si>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</si>
  <si>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</si>
  <si>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</si>
  <si>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</si>
  <si>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</si>
  <si>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</si>
  <si>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</si>
  <si>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</si>
  <si>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</si>
  <si>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</si>
  <si>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</si>
  <si>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</si>
  <si>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</si>
  <si>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</si>
  <si>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</si>
  <si>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</si>
  <si>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</si>
  <si>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</si>
  <si>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</si>
  <si>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</si>
  <si>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</si>
  <si>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</si>
  <si>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</si>
  <si>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</si>
  <si>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</si>
  <si>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</si>
  <si>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</si>
  <si>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</si>
  <si>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</si>
  <si>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</si>
  <si>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</si>
  <si>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</si>
  <si>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</si>
  <si>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</si>
  <si>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</si>
  <si>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</si>
  <si>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</si>
  <si>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</si>
  <si>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</si>
  <si>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</si>
  <si>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</si>
  <si>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</si>
  <si>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</si>
  <si>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</si>
  <si>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</si>
  <si>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</si>
  <si>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</si>
  <si>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</si>
  <si>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</si>
  <si>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</si>
  <si>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</si>
  <si>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</si>
  <si>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</si>
  <si>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</si>
  <si>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</si>
  <si>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</si>
  <si>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</si>
  <si>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</si>
  <si>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</si>
  <si>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</si>
  <si>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</si>
  <si>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</si>
  <si>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</si>
  <si>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</si>
  <si>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Universal</t>
  </si>
  <si>
    <t>1 min/lvl</t>
  </si>
  <si>
    <t>Instant</t>
  </si>
  <si>
    <t>Personal</t>
  </si>
  <si>
    <t>10 min/lvl</t>
  </si>
  <si>
    <t>Conjuration</t>
  </si>
  <si>
    <t>1 rnd/lvl</t>
  </si>
  <si>
    <t>Spell</t>
  </si>
  <si>
    <t>Cast?</t>
  </si>
  <si>
    <t>Languages</t>
  </si>
  <si>
    <t>School</t>
  </si>
  <si>
    <t>60’</t>
  </si>
  <si>
    <t>Equipment Worn</t>
  </si>
  <si>
    <t>Item</t>
  </si>
  <si>
    <t>Effects/</t>
  </si>
  <si>
    <t>Notes</t>
  </si>
  <si>
    <t>Equipment Carried</t>
  </si>
  <si>
    <t>Check</t>
  </si>
  <si>
    <t>Arcane</t>
  </si>
  <si>
    <t>Speed</t>
  </si>
  <si>
    <t>25’ + 2½’/lvl</t>
  </si>
  <si>
    <t>Prepared Spells</t>
  </si>
  <si>
    <t>Divination</t>
  </si>
  <si>
    <t>Endure Elements</t>
  </si>
  <si>
    <t>24 hours</t>
  </si>
  <si>
    <t>1 day/lvl</t>
  </si>
  <si>
    <t>400’ + 40’/lvl</t>
  </si>
  <si>
    <t>Longstrider</t>
  </si>
  <si>
    <t>Sleight of Hand</t>
  </si>
  <si>
    <t>Survival</t>
  </si>
  <si>
    <t>Craft:  (type)</t>
  </si>
  <si>
    <t>DC</t>
  </si>
  <si>
    <t>Weapon Proficiencies</t>
  </si>
  <si>
    <t>Atk</t>
  </si>
  <si>
    <t>Components</t>
  </si>
  <si>
    <t>Casting</t>
  </si>
  <si>
    <t>V S</t>
  </si>
  <si>
    <t>1 SA</t>
  </si>
  <si>
    <t>1 hr/lvl</t>
  </si>
  <si>
    <t>V S DF</t>
  </si>
  <si>
    <t>V S M</t>
  </si>
  <si>
    <t>V S M/DF</t>
  </si>
  <si>
    <t>Delay Poison</t>
  </si>
  <si>
    <t>2 hrs/lvl</t>
  </si>
  <si>
    <t>V S F</t>
  </si>
  <si>
    <t>V</t>
  </si>
  <si>
    <t>1 round</t>
  </si>
  <si>
    <t>Detect Poison</t>
  </si>
  <si>
    <t>Read Magic</t>
  </si>
  <si>
    <t>1st</t>
  </si>
  <si>
    <t>2nd</t>
  </si>
  <si>
    <t>3rd</t>
  </si>
  <si>
    <t>4th</t>
  </si>
  <si>
    <t>Spells per Day</t>
  </si>
  <si>
    <t>Spell Level</t>
  </si>
  <si>
    <t>Wisdom Bonus</t>
  </si>
  <si>
    <t>Feats</t>
  </si>
  <si>
    <t>Roll</t>
  </si>
  <si>
    <t>Skill/Save</t>
  </si>
  <si>
    <t>30’</t>
  </si>
  <si>
    <t>Cleric Spells</t>
  </si>
  <si>
    <t>Necromancy</t>
  </si>
  <si>
    <t>Transmutation</t>
  </si>
  <si>
    <t>Enchantment</t>
  </si>
  <si>
    <t>Knowledge:  Religion</t>
  </si>
  <si>
    <t>Domain Spell</t>
  </si>
  <si>
    <t>Perform:  [type]</t>
  </si>
  <si>
    <t>Knowledge:  Arcana</t>
  </si>
  <si>
    <t>Knowledge:  The Planes</t>
  </si>
  <si>
    <t>Value</t>
  </si>
  <si>
    <t>Total Equity:</t>
  </si>
  <si>
    <t>x2</t>
  </si>
  <si>
    <t>Traveler’s Outfit</t>
  </si>
  <si>
    <t>eight</t>
  </si>
  <si>
    <t>Grapple, Unarmed Strike</t>
  </si>
  <si>
    <t>Bludgeon</t>
  </si>
  <si>
    <t>Ebon Eyes</t>
  </si>
  <si>
    <t>Knowledge:  History</t>
  </si>
  <si>
    <t>Knowledge:  Nature</t>
  </si>
  <si>
    <t>Knowledge:  Dungeoneering</t>
  </si>
  <si>
    <t>Knowledge:  Local</t>
  </si>
  <si>
    <t>Knowledge:  Engineering</t>
  </si>
  <si>
    <t>Scrolls and Potions</t>
  </si>
  <si>
    <t>CLev</t>
  </si>
  <si>
    <t>Tomorrow’s Spells</t>
  </si>
  <si>
    <t>Mystra</t>
  </si>
  <si>
    <t>Female</t>
  </si>
  <si>
    <t>5’ 4”</t>
  </si>
  <si>
    <t>Low-light Vision</t>
  </si>
  <si>
    <t>Flaws</t>
  </si>
  <si>
    <t>Stash:  ?</t>
  </si>
  <si>
    <t>Quiver of Ehlonna</t>
  </si>
  <si>
    <t>-</t>
  </si>
  <si>
    <t>Profession:  [type]</t>
  </si>
  <si>
    <t>Spell Compendium</t>
  </si>
  <si>
    <t>Reference</t>
  </si>
  <si>
    <t>Page</t>
  </si>
  <si>
    <t>PHB</t>
  </si>
  <si>
    <t>Swift</t>
  </si>
  <si>
    <t>Frostburn</t>
  </si>
  <si>
    <t>Detect Animals/Plants</t>
  </si>
  <si>
    <t>40’</t>
  </si>
  <si>
    <t>Book of Exalted Deeds</t>
  </si>
  <si>
    <t>Eyes of the Avoral</t>
  </si>
  <si>
    <t>V S F DF</t>
  </si>
  <si>
    <t>V DF</t>
  </si>
  <si>
    <t>Complete Adventurer</t>
  </si>
  <si>
    <t>Planar Handbook</t>
  </si>
  <si>
    <t>Complete Divine</t>
  </si>
  <si>
    <t>Resist Planar Alignment</t>
  </si>
  <si>
    <t>S DF</t>
  </si>
  <si>
    <t>Healing Lorecall</t>
  </si>
  <si>
    <t>Champions of Valor</t>
  </si>
  <si>
    <t>Resist Energy</t>
  </si>
  <si>
    <t>Stormwrack</t>
  </si>
  <si>
    <t>S</t>
  </si>
  <si>
    <t>Champions of Ruin</t>
  </si>
  <si>
    <t>Complete Arcane</t>
  </si>
  <si>
    <t>Races of the Wild</t>
  </si>
  <si>
    <t>Vulnerable (-1 to AC)</t>
  </si>
  <si>
    <t>Total Spells</t>
  </si>
  <si>
    <t>+1 within 30’</t>
  </si>
  <si>
    <t>Caster Level:</t>
  </si>
  <si>
    <t>Dagger</t>
  </si>
  <si>
    <t>19-20, x2</t>
  </si>
  <si>
    <t>Prcg/Slsh</t>
  </si>
  <si>
    <t>q</t>
  </si>
  <si>
    <t>Human</t>
  </si>
  <si>
    <t>Dalelands</t>
  </si>
  <si>
    <t>Fighter</t>
  </si>
  <si>
    <t>ranger (shooting star) 3</t>
  </si>
  <si>
    <t>ranger (shooting star) 4</t>
  </si>
  <si>
    <t>Amulet of Health +2</t>
  </si>
  <si>
    <t>Gloves of Dexterity +4</t>
  </si>
  <si>
    <t>Vest of Resistance +3</t>
  </si>
  <si>
    <t>Scout’s Headband</t>
  </si>
  <si>
    <t>Sandals of the Light Step</t>
  </si>
  <si>
    <t>DB Longbow +1, Rapid Shot</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</si>
  <si>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</si>
  <si>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Ranger Features</t>
  </si>
  <si>
    <t>Common</t>
  </si>
  <si>
    <t>All Weapons, Armor &amp; Shields</t>
  </si>
  <si>
    <t>Alarm</t>
  </si>
  <si>
    <t>Easy Trail</t>
  </si>
  <si>
    <t>Hide from Animals</t>
  </si>
  <si>
    <t>Deep Breath</t>
  </si>
  <si>
    <t>Summon Nature’s Ally I</t>
  </si>
  <si>
    <t>Arrow Mind</t>
  </si>
  <si>
    <t>Bloodhound</t>
  </si>
  <si>
    <t>Detect Snares &amp; Pits</t>
  </si>
  <si>
    <t>Guided Shot</t>
  </si>
  <si>
    <t>Insightful Feint</t>
  </si>
  <si>
    <t>Instant Locksmith</t>
  </si>
  <si>
    <t>Instant Search</t>
  </si>
  <si>
    <t>Lay of the Land</t>
  </si>
  <si>
    <t>Sniper’s Shot</t>
  </si>
  <si>
    <t>Speak with Animals</t>
  </si>
  <si>
    <t>Vine Strike</t>
  </si>
  <si>
    <t>Animal Messenger</t>
  </si>
  <si>
    <t>Calm Animals</t>
  </si>
  <si>
    <t>Charm Animal</t>
  </si>
  <si>
    <t>Enrage Animals</t>
  </si>
  <si>
    <t>Ease of Breath</t>
  </si>
  <si>
    <t>Naturewatch</t>
  </si>
  <si>
    <t>Accelerated Movement</t>
  </si>
  <si>
    <t>Embrace the Wild</t>
  </si>
  <si>
    <t>Entangle</t>
  </si>
  <si>
    <t>Exacting Shot</t>
  </si>
  <si>
    <t>Hawkeye</t>
  </si>
  <si>
    <t>Horrible Taste</t>
  </si>
  <si>
    <t>Kuo-Toa Skin</t>
  </si>
  <si>
    <t>Magic Fang</t>
  </si>
  <si>
    <t>Pass without Trace</t>
  </si>
  <si>
    <t>Quickswim</t>
  </si>
  <si>
    <t>Raptor’s Sight</t>
  </si>
  <si>
    <t>Silvered Claws</t>
  </si>
  <si>
    <t>Tern’s Persistence</t>
  </si>
  <si>
    <t>Traveler’s Mount</t>
  </si>
  <si>
    <t>Urchin’s Spines</t>
  </si>
  <si>
    <t>Webfoot</t>
  </si>
  <si>
    <t>Woodwisp Arrow</t>
  </si>
  <si>
    <t>3 FR</t>
  </si>
  <si>
    <t>Immediate</t>
  </si>
  <si>
    <t xml:space="preserve">Book of Exalted Deeds </t>
  </si>
  <si>
    <t>Ranger</t>
  </si>
  <si>
    <t>ranger 1</t>
  </si>
  <si>
    <t>ranger 2</t>
  </si>
  <si>
    <t>ranger 5</t>
  </si>
  <si>
    <r>
      <t>Shooting Star</t>
    </r>
    <r>
      <rPr>
        <vertAlign val="subscript"/>
        <sz val="13"/>
        <rFont val="Times New Roman"/>
        <family val="1"/>
      </rPr>
      <t>3,4</t>
    </r>
  </si>
  <si>
    <t>S.Star Bonus</t>
  </si>
  <si>
    <t>MW Longsword</t>
  </si>
  <si>
    <t>Deepwood Sniper</t>
  </si>
  <si>
    <t>Human: Point Blank Shot</t>
  </si>
  <si>
    <t>1st: Weapon Focus ~ Longbow</t>
  </si>
  <si>
    <t>3rd: Precise Shot</t>
  </si>
  <si>
    <t>6th: Far Shot</t>
  </si>
  <si>
    <t>Flaw 1: Improved Rapid Shot</t>
  </si>
  <si>
    <t>Slashing</t>
  </si>
  <si>
    <t>19-20,x4</t>
  </si>
  <si>
    <t>Arrows</t>
  </si>
  <si>
    <t>Mithralmist Shirt</t>
  </si>
  <si>
    <t>SS3: Weavespeak</t>
  </si>
  <si>
    <t>R2: Combat Style: Archery (Rapid Shot)</t>
  </si>
  <si>
    <t>SS4: Bonus Spells</t>
  </si>
  <si>
    <t>SS4: Improved Spellcasting</t>
  </si>
  <si>
    <t>R1: Wild Empathy</t>
  </si>
  <si>
    <t>R1: Track</t>
  </si>
  <si>
    <t>115 lbs</t>
  </si>
  <si>
    <t>R1: Favored Enemy: Monstrous Humanoid</t>
  </si>
  <si>
    <t>Dragonbone Composite Longbow +1 Force +2 Strength</t>
  </si>
  <si>
    <t>Speak Language:  [type]</t>
  </si>
  <si>
    <t>Hunter’s Mercy</t>
  </si>
  <si>
    <t>Magic of Faerûn</t>
  </si>
  <si>
    <t>special</t>
  </si>
  <si>
    <t>Dragonbone Longbow, Manyshot (2)</t>
  </si>
  <si>
    <t>Dragonbone Longbow, Manyshot (3)</t>
  </si>
  <si>
    <r>
      <t xml:space="preserve">+1 </t>
    </r>
    <r>
      <rPr>
        <i/>
        <sz val="13"/>
        <rFont val="Times New Roman"/>
        <family val="1"/>
      </rPr>
      <t>haste</t>
    </r>
  </si>
  <si>
    <r>
      <t xml:space="preserve">DB Longbow +1, </t>
    </r>
    <r>
      <rPr>
        <i/>
        <sz val="12"/>
        <rFont val="Times New Roman"/>
        <family val="1"/>
      </rPr>
      <t>haste</t>
    </r>
  </si>
  <si>
    <t>NPC</t>
  </si>
  <si>
    <t>Race</t>
  </si>
  <si>
    <t>Age</t>
  </si>
  <si>
    <t>Class</t>
  </si>
  <si>
    <t>Region</t>
  </si>
  <si>
    <t>Sex</t>
  </si>
  <si>
    <t>Deity</t>
  </si>
  <si>
    <t>Height</t>
  </si>
  <si>
    <t>Alignment</t>
  </si>
  <si>
    <t>Weight</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</si>
  <si>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</si>
  <si>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</si>
  <si>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</si>
  <si>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</si>
  <si>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</si>
  <si>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</si>
  <si>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</si>
  <si>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</si>
  <si>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</si>
  <si>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</si>
  <si>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</si>
  <si>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</si>
  <si>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</si>
  <si>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</si>
  <si>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</si>
  <si>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AC</t>
  </si>
  <si>
    <t>Brie</t>
  </si>
  <si>
    <t>Spells</t>
  </si>
  <si>
    <t>Chaotic Neutral</t>
  </si>
  <si>
    <r>
      <t xml:space="preserve">-2 </t>
    </r>
    <r>
      <rPr>
        <i/>
        <sz val="13"/>
        <rFont val="Times New Roman"/>
        <family val="1"/>
      </rPr>
      <t>crushing despair</t>
    </r>
  </si>
  <si>
    <t>1d4-2</t>
  </si>
  <si>
    <t>1d8-2</t>
  </si>
  <si>
    <t>1d3-2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</si>
</sst>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0\ [$₲-474]"/>
  </numFmts>
  <fonts count="70"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sz val="13"/>
      <color rgb="FF0000FF"/>
      <name val="Times New Roman"/>
      <family val="1"/>
    </font>
    <font>
      <i/>
      <sz val="12"/>
      <color indexed="81"/>
      <name val="Times New Roman"/>
      <family val="1"/>
    </font>
    <font>
      <i/>
      <sz val="16"/>
      <color theme="0"/>
      <name val="Times New Roman"/>
      <family val="1"/>
    </font>
    <font>
      <i/>
      <sz val="18"/>
      <color theme="0" tint="-0.499984740745262"/>
      <name val="Times New Roman"/>
      <family val="1"/>
    </font>
    <font>
      <i/>
      <sz val="18"/>
      <color rgb="FF9966FF"/>
      <name val="Times New Roman"/>
      <family val="1"/>
    </font>
    <font>
      <sz val="13"/>
      <color rgb="FFFF0000"/>
      <name val="Times New Roman"/>
      <family val="1"/>
    </font>
    <font>
      <sz val="13"/>
      <color rgb="FFFFFF00"/>
      <name val="Times New Roman"/>
      <family val="1"/>
    </font>
    <font>
      <i/>
      <sz val="18"/>
      <color rgb="FF009900"/>
      <name val="Times New Roman"/>
      <family val="1"/>
    </font>
    <font>
      <sz val="13"/>
      <color rgb="FF009900"/>
      <name val="Times New Roman"/>
      <family val="1"/>
    </font>
    <font>
      <vertAlign val="subscript"/>
      <sz val="13"/>
      <name val="Times New Roman"/>
      <family val="1"/>
    </font>
    <font>
      <sz val="12"/>
      <name val="Times New Roman"/>
      <family val="1"/>
    </font>
    <font>
      <i/>
      <sz val="13"/>
      <color rgb="FF0000FF"/>
      <name val="Times New Roman"/>
      <family val="1"/>
    </font>
    <font>
      <i/>
      <sz val="13"/>
      <name val="Times New Roman"/>
      <family val="1"/>
    </font>
    <font>
      <i/>
      <sz val="12"/>
      <name val="Times New Roman"/>
      <family val="1"/>
    </font>
    <font>
      <sz val="12"/>
      <color rgb="FFFF0000"/>
      <name val="Times New Roman"/>
      <family val="1"/>
    </font>
    <font>
      <b/>
      <sz val="13"/>
      <color rgb="FF00B0F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9900"/>
        <bgColor indexed="64"/>
      </patternFill>
    </fill>
    <fill>
      <patternFill patternType="solid">
        <fgColor theme="0" tint="-0.249977111117893"/>
        <bgColor indexed="55"/>
      </patternFill>
    </fill>
    <fill>
      <patternFill patternType="solid">
        <fgColor rgb="FFFFFF00"/>
        <bgColor indexed="64"/>
      </patternFill>
    </fill>
  </fills>
  <borders count="11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style="medium">
        <color indexed="64"/>
      </top>
      <bottom style="hair">
        <color indexed="64"/>
      </bottom>
      <diagonal/>
    </border>
    <border>
      <left style="double">
        <color indexed="64"/>
      </left>
      <right/>
      <top style="thin">
        <color indexed="64"/>
      </top>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xf numFmtId="43" fontId="64" fillId="0" borderId="0" applyFont="0" applyFill="0" applyBorder="0" applyAlignment="0" applyProtection="0"/>
  </cellStyleXfs>
  <cellXfs count="440">
    <xf numFmtId="0" fontId="0" fillId="0" borderId="0" xfId="0"/>
    <xf numFmtId="9" fontId="7" fillId="0" borderId="28" xfId="2" applyFont="1" applyFill="1" applyBorder="1" applyAlignment="1">
      <alignment horizontal="center" vertical="center" shrinkToFit="1"/>
    </xf>
    <xf numFmtId="0" fontId="12" fillId="3" borderId="70" xfId="0" applyFont="1" applyFill="1" applyBorder="1" applyAlignment="1">
      <alignment horizontal="centerContinuous" vertical="center"/>
    </xf>
    <xf numFmtId="0" fontId="12" fillId="3" borderId="44" xfId="0" applyFont="1" applyFill="1" applyBorder="1" applyAlignment="1">
      <alignment horizontal="center" vertical="center"/>
    </xf>
    <xf numFmtId="0" fontId="12" fillId="3" borderId="44" xfId="0" applyFont="1" applyFill="1" applyBorder="1" applyAlignment="1">
      <alignment horizontal="center" vertical="center" wrapText="1"/>
    </xf>
    <xf numFmtId="0" fontId="49" fillId="12" borderId="43" xfId="0" applyFont="1" applyFill="1" applyBorder="1" applyAlignment="1">
      <alignment horizontal="center" vertical="center" wrapText="1"/>
    </xf>
    <xf numFmtId="0" fontId="12" fillId="3" borderId="71" xfId="0" applyFont="1" applyFill="1" applyBorder="1" applyAlignment="1">
      <alignment horizontal="center" vertical="center"/>
    </xf>
    <xf numFmtId="0" fontId="4" fillId="0" borderId="0" xfId="0" applyFont="1" applyAlignment="1">
      <alignment vertical="center"/>
    </xf>
    <xf numFmtId="0" fontId="53" fillId="0" borderId="36" xfId="0" applyFont="1" applyBorder="1" applyAlignment="1">
      <alignment horizontal="centerContinuous" vertical="center" wrapTex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37" fillId="2" borderId="67" xfId="0" applyFont="1" applyFill="1" applyBorder="1" applyAlignment="1">
      <alignment horizontal="right" vertical="center"/>
    </xf>
    <xf numFmtId="0" fontId="38" fillId="2" borderId="68" xfId="0" applyFont="1" applyFill="1" applyBorder="1" applyAlignment="1">
      <alignment horizontal="left" vertical="center"/>
    </xf>
    <xf numFmtId="0" fontId="20" fillId="2" borderId="68" xfId="0" applyFont="1" applyFill="1" applyBorder="1" applyAlignment="1">
      <alignment horizontal="left" vertical="center"/>
    </xf>
    <xf numFmtId="0" fontId="4" fillId="2" borderId="68" xfId="0" applyFont="1" applyFill="1" applyBorder="1" applyAlignment="1">
      <alignment horizontal="centerContinuous" vertical="center"/>
    </xf>
    <xf numFmtId="0" fontId="5" fillId="2" borderId="68" xfId="0" applyFont="1" applyFill="1" applyBorder="1" applyAlignment="1">
      <alignment horizontal="centerContinuous" vertical="center"/>
    </xf>
    <xf numFmtId="0" fontId="36" fillId="2" borderId="69"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6" fillId="4" borderId="72" xfId="0" applyFont="1" applyFill="1" applyBorder="1" applyAlignment="1">
      <alignment horizontal="right" vertical="center"/>
    </xf>
    <xf numFmtId="0" fontId="6" fillId="4" borderId="88" xfId="0" applyFont="1" applyFill="1" applyBorder="1" applyAlignment="1">
      <alignment horizontal="right" vertical="center"/>
    </xf>
    <xf numFmtId="49" fontId="7" fillId="0" borderId="73"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9"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7" xfId="0" applyFont="1" applyFill="1" applyBorder="1" applyAlignment="1">
      <alignment horizontal="right" vertical="center"/>
    </xf>
    <xf numFmtId="164" fontId="6" fillId="7"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7" xfId="0" applyFont="1" applyFill="1" applyBorder="1" applyAlignment="1">
      <alignment horizontal="right"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6" xfId="0" applyNumberFormat="1" applyFont="1" applyBorder="1" applyAlignment="1">
      <alignment horizontal="center" vertical="center"/>
    </xf>
    <xf numFmtId="0" fontId="11" fillId="4" borderId="58"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5" xfId="0" applyFont="1" applyBorder="1" applyAlignment="1">
      <alignment horizontal="centerContinuous" vertical="center"/>
    </xf>
    <xf numFmtId="0" fontId="16" fillId="0" borderId="0" xfId="0" applyFont="1" applyAlignment="1">
      <alignment horizontal="centerContinuous" vertical="center"/>
    </xf>
    <xf numFmtId="0" fontId="46" fillId="0" borderId="1" xfId="0" applyFont="1" applyBorder="1" applyAlignment="1">
      <alignment vertical="center"/>
    </xf>
    <xf numFmtId="0" fontId="7" fillId="0" borderId="27" xfId="0" applyFont="1" applyBorder="1" applyAlignment="1">
      <alignment horizontal="center" vertical="center"/>
    </xf>
    <xf numFmtId="0" fontId="47" fillId="0" borderId="27" xfId="0" applyFont="1" applyBorder="1" applyAlignment="1">
      <alignment horizontal="center" vertical="center" wrapText="1"/>
    </xf>
    <xf numFmtId="1" fontId="7" fillId="0" borderId="27" xfId="0" applyNumberFormat="1" applyFont="1" applyBorder="1" applyAlignment="1">
      <alignment horizontal="center" vertical="center" wrapText="1"/>
    </xf>
    <xf numFmtId="0" fontId="44" fillId="12" borderId="28" xfId="0" applyFont="1" applyFill="1" applyBorder="1" applyAlignment="1">
      <alignment horizontal="center" vertical="center"/>
    </xf>
    <xf numFmtId="0" fontId="7" fillId="0" borderId="29" xfId="0" quotePrefix="1" applyFont="1" applyBorder="1" applyAlignment="1">
      <alignment horizontal="center" vertical="center"/>
    </xf>
    <xf numFmtId="0" fontId="48" fillId="0" borderId="1" xfId="0" applyFont="1" applyBorder="1" applyAlignment="1">
      <alignment vertical="center"/>
    </xf>
    <xf numFmtId="0" fontId="13" fillId="0" borderId="28" xfId="0" applyFont="1" applyBorder="1" applyAlignment="1">
      <alignment horizontal="center" vertical="center"/>
    </xf>
    <xf numFmtId="0" fontId="47" fillId="0" borderId="37" xfId="0" applyFont="1" applyBorder="1" applyAlignment="1">
      <alignment vertical="center"/>
    </xf>
    <xf numFmtId="0" fontId="7" fillId="0" borderId="53" xfId="0" applyFont="1" applyBorder="1" applyAlignment="1">
      <alignment horizontal="center" vertical="center"/>
    </xf>
    <xf numFmtId="0" fontId="49" fillId="0" borderId="53" xfId="0" applyFont="1" applyBorder="1" applyAlignment="1">
      <alignment horizontal="center" vertical="center" wrapText="1"/>
    </xf>
    <xf numFmtId="1" fontId="7" fillId="0" borderId="53" xfId="0" applyNumberFormat="1" applyFont="1" applyBorder="1" applyAlignment="1">
      <alignment horizontal="center" vertical="center" wrapText="1"/>
    </xf>
    <xf numFmtId="0" fontId="44" fillId="12" borderId="53" xfId="0" applyFont="1" applyFill="1" applyBorder="1" applyAlignment="1">
      <alignment horizontal="center" vertical="center"/>
    </xf>
    <xf numFmtId="0" fontId="7" fillId="0" borderId="40" xfId="0" quotePrefix="1" applyFont="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31" fillId="0" borderId="0" xfId="0" applyFont="1" applyAlignment="1">
      <alignment vertical="center"/>
    </xf>
    <xf numFmtId="0" fontId="7" fillId="8" borderId="27" xfId="0" applyFont="1" applyFill="1" applyBorder="1" applyAlignment="1">
      <alignment horizontal="center" vertical="center"/>
    </xf>
    <xf numFmtId="49" fontId="7" fillId="8" borderId="28" xfId="0" applyNumberFormat="1" applyFont="1" applyFill="1" applyBorder="1" applyAlignment="1">
      <alignment horizontal="center" vertical="center"/>
    </xf>
    <xf numFmtId="0" fontId="7" fillId="8" borderId="29" xfId="0" quotePrefix="1" applyFont="1" applyFill="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Font="1" applyFill="1" applyBorder="1" applyAlignment="1">
      <alignment horizontal="center" vertical="center"/>
    </xf>
    <xf numFmtId="0" fontId="22" fillId="0" borderId="1" xfId="0" applyFont="1" applyBorder="1" applyAlignment="1">
      <alignment vertical="center"/>
    </xf>
    <xf numFmtId="49" fontId="28" fillId="0" borderId="27" xfId="0" applyNumberFormat="1" applyFont="1" applyBorder="1" applyAlignment="1">
      <alignment horizontal="center" vertical="center"/>
    </xf>
    <xf numFmtId="0" fontId="28" fillId="0" borderId="28" xfId="0" applyFont="1" applyBorder="1" applyAlignment="1">
      <alignment horizontal="center" vertical="center"/>
    </xf>
    <xf numFmtId="0" fontId="22" fillId="0" borderId="28" xfId="0" applyFont="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Font="1" applyFill="1" applyBorder="1" applyAlignment="1">
      <alignment horizontal="center" vertical="center"/>
    </xf>
    <xf numFmtId="0" fontId="13" fillId="5" borderId="28" xfId="0" applyFont="1" applyFill="1" applyBorder="1" applyAlignment="1">
      <alignment horizontal="center" vertical="center"/>
    </xf>
    <xf numFmtId="0" fontId="13" fillId="4" borderId="1" xfId="0" applyFont="1" applyFill="1" applyBorder="1" applyAlignment="1">
      <alignment vertical="center"/>
    </xf>
    <xf numFmtId="0" fontId="7" fillId="4" borderId="27" xfId="0"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Font="1" applyFill="1" applyBorder="1" applyAlignment="1">
      <alignment horizontal="center" vertical="center"/>
    </xf>
    <xf numFmtId="0" fontId="13"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13" fillId="0" borderId="8" xfId="0" applyFont="1" applyBorder="1" applyAlignment="1">
      <alignment vertical="center"/>
    </xf>
    <xf numFmtId="0" fontId="7" fillId="0" borderId="52" xfId="0" applyFont="1" applyBorder="1" applyAlignment="1">
      <alignment horizontal="center" vertical="center"/>
    </xf>
    <xf numFmtId="49" fontId="24" fillId="0" borderId="52" xfId="0" applyNumberFormat="1" applyFont="1" applyBorder="1" applyAlignment="1">
      <alignment horizontal="center" vertical="center"/>
    </xf>
    <xf numFmtId="0" fontId="24" fillId="0" borderId="54" xfId="0" applyFont="1" applyBorder="1" applyAlignment="1">
      <alignment horizontal="center" vertical="center"/>
    </xf>
    <xf numFmtId="0" fontId="13" fillId="0" borderId="54" xfId="0" applyFont="1" applyBorder="1" applyAlignment="1">
      <alignment horizontal="center" vertical="center"/>
    </xf>
    <xf numFmtId="49" fontId="7" fillId="0" borderId="54" xfId="0" applyNumberFormat="1" applyFont="1" applyBorder="1" applyAlignment="1">
      <alignment horizontal="center" vertical="center"/>
    </xf>
    <xf numFmtId="0" fontId="44" fillId="12" borderId="52" xfId="0" applyFont="1" applyFill="1" applyBorder="1" applyAlignment="1">
      <alignment horizontal="center" vertical="center"/>
    </xf>
    <xf numFmtId="0" fontId="7" fillId="0" borderId="4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6"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4" fillId="0" borderId="5"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5" xfId="0" applyFont="1" applyBorder="1" applyAlignment="1">
      <alignment horizontal="right" vertical="center" wrapText="1"/>
    </xf>
    <xf numFmtId="0" fontId="2" fillId="0" borderId="62" xfId="0" applyFont="1" applyBorder="1" applyAlignment="1">
      <alignment horizontal="center" vertical="center" wrapText="1"/>
    </xf>
    <xf numFmtId="0" fontId="2" fillId="10" borderId="63" xfId="0" applyFont="1" applyFill="1" applyBorder="1" applyAlignment="1">
      <alignment horizontal="center" vertical="center" wrapText="1"/>
    </xf>
    <xf numFmtId="0" fontId="2" fillId="10" borderId="64" xfId="0" applyFont="1" applyFill="1" applyBorder="1" applyAlignment="1">
      <alignment horizontal="center" vertical="center" wrapText="1"/>
    </xf>
    <xf numFmtId="0" fontId="4" fillId="0" borderId="42" xfId="0" applyFont="1" applyBorder="1" applyAlignment="1">
      <alignment horizontal="right" vertical="center" wrapText="1"/>
    </xf>
    <xf numFmtId="0" fontId="2" fillId="0" borderId="61" xfId="0" applyFont="1" applyBorder="1" applyAlignment="1">
      <alignment horizontal="center" vertical="center" wrapText="1"/>
    </xf>
    <xf numFmtId="0" fontId="2" fillId="10" borderId="46" xfId="0" applyFont="1" applyFill="1" applyBorder="1" applyAlignment="1">
      <alignment horizontal="center" vertical="center" wrapText="1"/>
    </xf>
    <xf numFmtId="0" fontId="2" fillId="10" borderId="47" xfId="0" applyFont="1" applyFill="1" applyBorder="1" applyAlignment="1">
      <alignment horizontal="center" vertical="center" wrapText="1"/>
    </xf>
    <xf numFmtId="0" fontId="4" fillId="0" borderId="55" xfId="0" applyFont="1" applyBorder="1" applyAlignment="1">
      <alignment horizontal="right" vertical="center" wrapText="1"/>
    </xf>
    <xf numFmtId="0" fontId="4" fillId="10" borderId="48" xfId="0" applyFont="1" applyFill="1" applyBorder="1" applyAlignment="1">
      <alignment horizontal="center" vertical="center" wrapText="1"/>
    </xf>
    <xf numFmtId="0" fontId="4" fillId="10" borderId="49" xfId="0" applyFont="1" applyFill="1" applyBorder="1" applyAlignment="1">
      <alignment horizontal="center" vertical="center" wrapText="1"/>
    </xf>
    <xf numFmtId="49" fontId="7" fillId="0" borderId="52" xfId="0" applyNumberFormat="1" applyFont="1" applyBorder="1" applyAlignment="1">
      <alignment horizontal="center" vertical="center"/>
    </xf>
    <xf numFmtId="0" fontId="35" fillId="7" borderId="41" xfId="2" applyNumberFormat="1" applyFont="1" applyFill="1" applyBorder="1" applyAlignment="1">
      <alignment horizontal="center" vertical="center" shrinkToFit="1"/>
    </xf>
    <xf numFmtId="0" fontId="7" fillId="0" borderId="0" xfId="0" applyFont="1" applyAlignment="1">
      <alignment horizontal="left" vertical="center" wrapText="1"/>
    </xf>
    <xf numFmtId="0" fontId="6" fillId="0" borderId="0" xfId="0" applyFont="1" applyAlignment="1">
      <alignment horizontal="right" vertical="center" wrapText="1"/>
    </xf>
    <xf numFmtId="0" fontId="3" fillId="0" borderId="0" xfId="0" applyFont="1" applyAlignment="1">
      <alignment horizontal="centerContinuous" vertical="center"/>
    </xf>
    <xf numFmtId="0" fontId="52" fillId="0" borderId="36" xfId="0" applyFont="1" applyBorder="1" applyAlignment="1">
      <alignment horizontal="centerContinuous" vertical="center"/>
    </xf>
    <xf numFmtId="0" fontId="7" fillId="0" borderId="0" xfId="0" applyFont="1" applyAlignment="1">
      <alignment horizontal="center" vertical="center" wrapText="1"/>
    </xf>
    <xf numFmtId="0" fontId="7" fillId="0" borderId="55"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3" xfId="0" applyFont="1" applyFill="1" applyBorder="1" applyAlignment="1">
      <alignment horizontal="center" vertical="center"/>
    </xf>
    <xf numFmtId="164" fontId="21" fillId="3" borderId="44" xfId="0" applyNumberFormat="1" applyFont="1" applyFill="1" applyBorder="1" applyAlignment="1">
      <alignment horizontal="center" vertical="center"/>
    </xf>
    <xf numFmtId="0" fontId="21" fillId="3" borderId="43" xfId="0" applyFont="1" applyFill="1" applyBorder="1" applyAlignment="1">
      <alignment horizontal="right" vertical="center"/>
    </xf>
    <xf numFmtId="0" fontId="21" fillId="3" borderId="45" xfId="0" applyFont="1" applyFill="1" applyBorder="1" applyAlignment="1">
      <alignment vertical="center"/>
    </xf>
    <xf numFmtId="0" fontId="2" fillId="0" borderId="79" xfId="0" applyFont="1" applyBorder="1" applyAlignment="1">
      <alignment horizontal="center" vertical="center" shrinkToFit="1"/>
    </xf>
    <xf numFmtId="164" fontId="5" fillId="0" borderId="51"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0" xfId="0" applyFont="1" applyBorder="1" applyAlignment="1">
      <alignment horizontal="left" vertical="center" shrinkToFit="1"/>
    </xf>
    <xf numFmtId="0" fontId="2" fillId="0" borderId="0" xfId="0" applyFont="1" applyAlignment="1">
      <alignment horizontal="center" vertical="center"/>
    </xf>
    <xf numFmtId="0" fontId="2" fillId="0" borderId="80" xfId="0" applyFont="1" applyBorder="1" applyAlignment="1">
      <alignment horizontal="center" vertical="center" shrinkToFit="1"/>
    </xf>
    <xf numFmtId="0" fontId="5" fillId="0" borderId="46" xfId="0" applyFont="1" applyBorder="1" applyAlignment="1">
      <alignment horizontal="left" vertical="center"/>
    </xf>
    <xf numFmtId="0" fontId="5" fillId="0" borderId="47" xfId="0" applyFont="1" applyBorder="1" applyAlignment="1">
      <alignment horizontal="left" vertical="center" shrinkToFit="1"/>
    </xf>
    <xf numFmtId="0" fontId="2" fillId="0" borderId="82" xfId="0" applyFont="1" applyBorder="1" applyAlignment="1">
      <alignment horizontal="center" vertical="center" shrinkToFit="1"/>
    </xf>
    <xf numFmtId="0" fontId="5" fillId="0" borderId="83" xfId="0" applyFont="1" applyBorder="1" applyAlignment="1">
      <alignment horizontal="center" vertical="center" shrinkToFit="1"/>
    </xf>
    <xf numFmtId="164" fontId="2" fillId="0" borderId="83" xfId="0" applyNumberFormat="1" applyFont="1" applyBorder="1" applyAlignment="1">
      <alignment horizontal="center" vertical="center" shrinkToFit="1"/>
    </xf>
    <xf numFmtId="0" fontId="5" fillId="0" borderId="83" xfId="0" applyFont="1" applyBorder="1" applyAlignment="1">
      <alignment horizontal="left" vertical="center"/>
    </xf>
    <xf numFmtId="0" fontId="5" fillId="0" borderId="84" xfId="0" applyFont="1" applyBorder="1" applyAlignment="1">
      <alignment horizontal="left" vertical="center" shrinkToFit="1"/>
    </xf>
    <xf numFmtId="164" fontId="5" fillId="0" borderId="83" xfId="0" applyNumberFormat="1"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48" xfId="0" applyFont="1" applyBorder="1" applyAlignment="1">
      <alignment horizontal="center" vertical="center" shrinkToFit="1"/>
    </xf>
    <xf numFmtId="164" fontId="2"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9"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51" xfId="0" applyFont="1" applyBorder="1" applyAlignment="1">
      <alignment horizontal="center" vertical="center" shrinkToFit="1"/>
    </xf>
    <xf numFmtId="0" fontId="2" fillId="0" borderId="46" xfId="0" applyFont="1" applyBorder="1" applyAlignment="1">
      <alignment horizontal="center" vertical="center" shrinkToFit="1"/>
    </xf>
    <xf numFmtId="164" fontId="5" fillId="0" borderId="46" xfId="0" applyNumberFormat="1"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2" fillId="0" borderId="48" xfId="0" applyFont="1" applyBorder="1" applyAlignment="1">
      <alignment horizontal="left" vertical="center"/>
    </xf>
    <xf numFmtId="164" fontId="5" fillId="0" borderId="0" xfId="0" applyNumberFormat="1" applyFont="1" applyAlignment="1">
      <alignment horizontal="center" vertical="center"/>
    </xf>
    <xf numFmtId="0" fontId="3" fillId="0" borderId="0" xfId="0" applyFont="1" applyAlignment="1">
      <alignment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50"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Alignment="1">
      <alignment horizontal="centerContinuous" vertical="center"/>
    </xf>
    <xf numFmtId="0" fontId="21" fillId="11" borderId="21" xfId="0" applyFont="1" applyFill="1" applyBorder="1" applyAlignment="1">
      <alignment horizontal="centerContinuous" vertical="center"/>
    </xf>
    <xf numFmtId="0" fontId="21" fillId="11" borderId="74" xfId="0" applyFont="1" applyFill="1" applyBorder="1" applyAlignment="1">
      <alignment horizontal="centerContinuous" vertical="center"/>
    </xf>
    <xf numFmtId="0" fontId="21" fillId="11" borderId="56" xfId="0" applyFont="1" applyFill="1" applyBorder="1" applyAlignment="1">
      <alignment horizontal="centerContinuous" vertical="center"/>
    </xf>
    <xf numFmtId="164" fontId="2" fillId="0" borderId="77" xfId="0" applyNumberFormat="1" applyFont="1" applyBorder="1" applyAlignment="1">
      <alignment horizontal="centerContinuous" vertical="center"/>
    </xf>
    <xf numFmtId="0" fontId="2" fillId="0" borderId="78" xfId="0"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51" fillId="12" borderId="51" xfId="0" applyFont="1" applyFill="1" applyBorder="1" applyAlignment="1">
      <alignment horizontal="center" vertical="center"/>
    </xf>
    <xf numFmtId="0" fontId="2" fillId="0" borderId="51" xfId="0" applyFont="1" applyBorder="1" applyAlignment="1">
      <alignment horizontal="center" vertical="center"/>
    </xf>
    <xf numFmtId="49" fontId="2" fillId="0" borderId="51" xfId="0" applyNumberFormat="1" applyFont="1" applyBorder="1" applyAlignment="1">
      <alignment horizontal="center" vertical="center"/>
    </xf>
    <xf numFmtId="0" fontId="2" fillId="0" borderId="50" xfId="0" applyFont="1" applyBorder="1" applyAlignment="1">
      <alignment horizontal="center" vertical="center"/>
    </xf>
    <xf numFmtId="0" fontId="2" fillId="0" borderId="81" xfId="0" applyFont="1" applyBorder="1" applyAlignment="1">
      <alignment horizontal="center" vertical="center"/>
    </xf>
    <xf numFmtId="0" fontId="2" fillId="0" borderId="48" xfId="0" quotePrefix="1" applyFont="1" applyBorder="1" applyAlignment="1">
      <alignment horizontal="center" vertical="center" wrapText="1"/>
    </xf>
    <xf numFmtId="49" fontId="2" fillId="0" borderId="48" xfId="2" applyNumberFormat="1" applyFont="1" applyBorder="1" applyAlignment="1">
      <alignment horizontal="center" vertical="center"/>
    </xf>
    <xf numFmtId="164" fontId="5" fillId="0" borderId="48" xfId="0" applyNumberFormat="1" applyFont="1" applyBorder="1" applyAlignment="1">
      <alignment horizontal="center" vertical="center"/>
    </xf>
    <xf numFmtId="1" fontId="51" fillId="12" borderId="48" xfId="0" applyNumberFormat="1" applyFont="1" applyFill="1" applyBorder="1" applyAlignment="1">
      <alignment horizontal="center" vertical="center"/>
    </xf>
    <xf numFmtId="1" fontId="5" fillId="0" borderId="48" xfId="0" applyNumberFormat="1" applyFont="1" applyBorder="1" applyAlignment="1">
      <alignment horizontal="center" vertical="center"/>
    </xf>
    <xf numFmtId="0" fontId="4" fillId="0" borderId="49" xfId="0" applyFont="1" applyBorder="1" applyAlignment="1">
      <alignment horizontal="center" vertical="center"/>
    </xf>
    <xf numFmtId="164" fontId="2" fillId="0" borderId="48" xfId="0" applyNumberFormat="1" applyFont="1" applyBorder="1" applyAlignment="1">
      <alignment horizontal="center" vertical="center"/>
    </xf>
    <xf numFmtId="164" fontId="5" fillId="0" borderId="51" xfId="0" applyNumberFormat="1" applyFont="1" applyBorder="1" applyAlignment="1">
      <alignment horizontal="center" vertical="center"/>
    </xf>
    <xf numFmtId="0" fontId="2" fillId="0" borderId="48" xfId="0" applyFont="1" applyBorder="1" applyAlignment="1">
      <alignment horizontal="center" vertical="center"/>
    </xf>
    <xf numFmtId="0" fontId="2" fillId="0" borderId="48" xfId="0" quotePrefix="1" applyFont="1" applyBorder="1" applyAlignment="1">
      <alignment horizontal="center" vertical="center"/>
    </xf>
    <xf numFmtId="9" fontId="2" fillId="0" borderId="48" xfId="0" applyNumberFormat="1" applyFont="1" applyBorder="1" applyAlignment="1">
      <alignment horizontal="center" vertical="center"/>
    </xf>
    <xf numFmtId="164" fontId="2" fillId="0" borderId="90" xfId="0" applyNumberFormat="1" applyFont="1" applyBorder="1" applyAlignment="1">
      <alignment horizontal="centerContinuous" vertical="center"/>
    </xf>
    <xf numFmtId="164" fontId="21" fillId="3" borderId="36" xfId="0" applyNumberFormat="1" applyFont="1" applyFill="1" applyBorder="1" applyAlignment="1">
      <alignment horizontal="center" vertical="center"/>
    </xf>
    <xf numFmtId="164" fontId="2" fillId="0" borderId="91" xfId="0" applyNumberFormat="1" applyFont="1" applyBorder="1" applyAlignment="1">
      <alignment horizontal="centerContinuous" vertical="center"/>
    </xf>
    <xf numFmtId="0" fontId="5" fillId="0" borderId="92" xfId="0" quotePrefix="1" applyFont="1" applyBorder="1" applyAlignment="1">
      <alignment horizontal="centerContinuous" vertical="center"/>
    </xf>
    <xf numFmtId="0" fontId="2" fillId="0" borderId="46" xfId="0" quotePrefix="1" applyFont="1" applyBorder="1" applyAlignment="1">
      <alignment horizontal="center" vertical="center"/>
    </xf>
    <xf numFmtId="0" fontId="2" fillId="0" borderId="46" xfId="0" applyFont="1" applyBorder="1" applyAlignment="1">
      <alignment horizontal="center" vertical="center"/>
    </xf>
    <xf numFmtId="9" fontId="2" fillId="0" borderId="46" xfId="0" applyNumberFormat="1" applyFont="1" applyBorder="1" applyAlignment="1">
      <alignment horizontal="center" vertical="center"/>
    </xf>
    <xf numFmtId="164" fontId="2" fillId="0" borderId="93" xfId="0" applyNumberFormat="1" applyFont="1" applyBorder="1" applyAlignment="1">
      <alignment horizontal="centerContinuous" vertical="center"/>
    </xf>
    <xf numFmtId="0" fontId="2" fillId="0" borderId="83" xfId="0" applyFont="1" applyBorder="1" applyAlignment="1">
      <alignment horizontal="center" vertical="center" shrinkToFit="1"/>
    </xf>
    <xf numFmtId="1" fontId="2" fillId="0" borderId="51" xfId="0" applyNumberFormat="1" applyFont="1" applyBorder="1" applyAlignment="1">
      <alignment horizontal="center" vertical="center"/>
    </xf>
    <xf numFmtId="164" fontId="2" fillId="0" borderId="46" xfId="0" applyNumberFormat="1" applyFont="1" applyBorder="1" applyAlignment="1">
      <alignment horizontal="center" vertical="center"/>
    </xf>
    <xf numFmtId="164" fontId="2" fillId="0" borderId="51"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30" xfId="0" applyNumberFormat="1" applyFont="1" applyBorder="1" applyAlignment="1">
      <alignment horizontal="center" vertical="center"/>
    </xf>
    <xf numFmtId="1" fontId="2" fillId="0" borderId="60"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6" xfId="0" applyNumberFormat="1" applyFont="1" applyFill="1" applyBorder="1" applyAlignment="1">
      <alignment horizontal="center" vertical="center"/>
    </xf>
    <xf numFmtId="1" fontId="5" fillId="0" borderId="0" xfId="0" applyNumberFormat="1" applyFont="1" applyAlignment="1">
      <alignment horizontal="center" vertical="center"/>
    </xf>
    <xf numFmtId="0" fontId="7" fillId="0" borderId="26" xfId="0" quotePrefix="1" applyFont="1" applyBorder="1" applyAlignment="1">
      <alignment horizontal="center" vertical="center"/>
    </xf>
    <xf numFmtId="1" fontId="4" fillId="0" borderId="0" xfId="0" applyNumberFormat="1" applyFont="1" applyAlignment="1">
      <alignment horizontal="center" vertical="center"/>
    </xf>
    <xf numFmtId="0" fontId="2" fillId="0" borderId="83" xfId="0" applyFont="1" applyBorder="1" applyAlignment="1">
      <alignment horizontal="left" vertical="center"/>
    </xf>
    <xf numFmtId="0" fontId="21" fillId="11" borderId="94" xfId="0" applyFont="1" applyFill="1" applyBorder="1" applyAlignment="1">
      <alignment horizontal="center" vertical="center"/>
    </xf>
    <xf numFmtId="0" fontId="2" fillId="0" borderId="0" xfId="0" applyFont="1" applyAlignment="1">
      <alignment vertical="center"/>
    </xf>
    <xf numFmtId="0" fontId="2" fillId="0" borderId="95" xfId="0" applyFont="1" applyBorder="1" applyAlignment="1">
      <alignment horizontal="centerContinuous" vertical="center" shrinkToFit="1"/>
    </xf>
    <xf numFmtId="0" fontId="21" fillId="0" borderId="96" xfId="0" applyFont="1" applyBorder="1" applyAlignment="1">
      <alignment horizontal="centerContinuous" vertical="center"/>
    </xf>
    <xf numFmtId="0" fontId="2" fillId="0" borderId="97" xfId="0" applyFont="1" applyBorder="1" applyAlignment="1">
      <alignment horizontal="center" vertical="center"/>
    </xf>
    <xf numFmtId="0" fontId="2" fillId="0" borderId="98" xfId="0" applyFont="1" applyBorder="1" applyAlignment="1">
      <alignment horizontal="centerContinuous" vertical="center"/>
    </xf>
    <xf numFmtId="1" fontId="2" fillId="0" borderId="99" xfId="0" applyNumberFormat="1" applyFont="1" applyBorder="1" applyAlignment="1">
      <alignment horizontal="center" vertical="center"/>
    </xf>
    <xf numFmtId="0" fontId="2" fillId="0" borderId="86" xfId="0" applyFont="1" applyBorder="1" applyAlignment="1">
      <alignment horizontal="centerContinuous" vertical="center" shrinkToFit="1"/>
    </xf>
    <xf numFmtId="0" fontId="21" fillId="0" borderId="75" xfId="0" applyFont="1" applyBorder="1" applyAlignment="1">
      <alignment horizontal="centerContinuous" vertical="center"/>
    </xf>
    <xf numFmtId="0" fontId="2" fillId="0" borderId="100" xfId="0" applyFont="1" applyBorder="1" applyAlignment="1">
      <alignment horizontal="center" vertical="center"/>
    </xf>
    <xf numFmtId="0" fontId="2" fillId="0" borderId="76" xfId="0" applyFont="1" applyBorder="1" applyAlignment="1">
      <alignment horizontal="centerContinuous" vertical="center"/>
    </xf>
    <xf numFmtId="1" fontId="2" fillId="0" borderId="42" xfId="0" applyNumberFormat="1" applyFont="1" applyBorder="1" applyAlignment="1">
      <alignment horizontal="center" vertical="center"/>
    </xf>
    <xf numFmtId="0" fontId="2" fillId="0" borderId="87" xfId="0" applyFont="1" applyBorder="1" applyAlignment="1">
      <alignment horizontal="centerContinuous" vertical="center" shrinkToFit="1"/>
    </xf>
    <xf numFmtId="0" fontId="2" fillId="0" borderId="77" xfId="0" applyFont="1" applyBorder="1" applyAlignment="1">
      <alignment horizontal="centerContinuous" vertical="center"/>
    </xf>
    <xf numFmtId="49" fontId="2" fillId="0" borderId="101" xfId="0" applyNumberFormat="1" applyFont="1" applyBorder="1" applyAlignment="1">
      <alignment horizontal="center" vertical="center"/>
    </xf>
    <xf numFmtId="1" fontId="2" fillId="0" borderId="55" xfId="0" applyNumberFormat="1" applyFont="1" applyBorder="1" applyAlignment="1">
      <alignment horizontal="center" vertical="center"/>
    </xf>
    <xf numFmtId="1" fontId="2" fillId="0" borderId="102" xfId="0" applyNumberFormat="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03" xfId="0" applyNumberFormat="1" applyFont="1" applyBorder="1" applyAlignment="1">
      <alignment horizontal="centerContinuous" vertical="center"/>
    </xf>
    <xf numFmtId="0" fontId="2" fillId="0" borderId="104" xfId="0" applyFont="1" applyBorder="1" applyAlignment="1">
      <alignment horizontal="centerContinuous" vertical="center"/>
    </xf>
    <xf numFmtId="0" fontId="6" fillId="4" borderId="32" xfId="0" applyFont="1" applyFill="1" applyBorder="1" applyAlignment="1">
      <alignment horizontal="right" vertical="center"/>
    </xf>
    <xf numFmtId="165" fontId="2" fillId="0" borderId="0" xfId="0" applyNumberFormat="1" applyFont="1" applyAlignment="1">
      <alignment horizontal="center" vertical="center"/>
    </xf>
    <xf numFmtId="1" fontId="21" fillId="11" borderId="36" xfId="0" applyNumberFormat="1" applyFont="1" applyFill="1" applyBorder="1" applyAlignment="1">
      <alignment horizontal="center" vertical="center"/>
    </xf>
    <xf numFmtId="1" fontId="2" fillId="0" borderId="85" xfId="0" applyNumberFormat="1" applyFont="1" applyBorder="1" applyAlignment="1">
      <alignment horizontal="center" vertical="center"/>
    </xf>
    <xf numFmtId="0" fontId="16" fillId="0" borderId="0" xfId="5" applyFont="1" applyAlignment="1">
      <alignment horizontal="centerContinuous" vertical="center"/>
    </xf>
    <xf numFmtId="0" fontId="2" fillId="0" borderId="0" xfId="5" applyAlignment="1">
      <alignment vertical="center"/>
    </xf>
    <xf numFmtId="0" fontId="4" fillId="0" borderId="0" xfId="5" applyFont="1" applyAlignment="1">
      <alignment vertical="center"/>
    </xf>
    <xf numFmtId="9" fontId="7" fillId="0" borderId="28" xfId="10" applyFont="1" applyFill="1" applyBorder="1" applyAlignment="1">
      <alignment horizontal="center" vertical="center" shrinkToFit="1"/>
    </xf>
    <xf numFmtId="9" fontId="7" fillId="0" borderId="27" xfId="10" applyFont="1" applyFill="1" applyBorder="1" applyAlignment="1">
      <alignment horizontal="center" vertical="center" shrinkToFit="1"/>
    </xf>
    <xf numFmtId="0" fontId="7" fillId="0" borderId="28" xfId="10" applyNumberFormat="1" applyFont="1" applyFill="1" applyBorder="1" applyAlignment="1">
      <alignment horizontal="center" vertical="center" shrinkToFit="1"/>
    </xf>
    <xf numFmtId="0" fontId="7" fillId="0" borderId="29" xfId="5" applyFont="1" applyBorder="1" applyAlignment="1">
      <alignment horizontal="center" vertical="center"/>
    </xf>
    <xf numFmtId="0" fontId="7" fillId="0" borderId="28" xfId="5" applyFont="1" applyBorder="1" applyAlignment="1">
      <alignment horizontal="center" vertical="center"/>
    </xf>
    <xf numFmtId="0" fontId="7" fillId="0" borderId="28" xfId="5" applyFont="1" applyBorder="1" applyAlignment="1">
      <alignment horizontal="center" vertical="center" wrapText="1"/>
    </xf>
    <xf numFmtId="0" fontId="4" fillId="0" borderId="0" xfId="5" applyFont="1" applyAlignment="1">
      <alignment horizontal="right" vertical="center"/>
    </xf>
    <xf numFmtId="0" fontId="2" fillId="0" borderId="0" xfId="5" applyAlignment="1">
      <alignment horizontal="left" vertical="center"/>
    </xf>
    <xf numFmtId="0" fontId="57" fillId="0" borderId="36" xfId="0" applyFont="1" applyBorder="1" applyAlignment="1">
      <alignment horizontal="centerContinuous" vertical="center" wrapText="1"/>
    </xf>
    <xf numFmtId="0" fontId="58" fillId="0" borderId="36" xfId="0" applyFont="1" applyBorder="1" applyAlignment="1">
      <alignment horizontal="centerContinuous" vertical="center" wrapText="1"/>
    </xf>
    <xf numFmtId="0" fontId="59" fillId="0" borderId="42" xfId="0" applyFont="1" applyBorder="1" applyAlignment="1">
      <alignment horizontal="center" vertical="center" shrinkToFit="1"/>
    </xf>
    <xf numFmtId="0" fontId="59" fillId="0" borderId="42"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7" fillId="0" borderId="28" xfId="0" applyFont="1" applyBorder="1" applyAlignment="1">
      <alignment horizontal="center" vertical="center" shrinkToFit="1"/>
    </xf>
    <xf numFmtId="0" fontId="7" fillId="0" borderId="29" xfId="0" applyFont="1" applyBorder="1" applyAlignment="1">
      <alignment horizontal="center" vertical="center" wrapText="1"/>
    </xf>
    <xf numFmtId="0" fontId="2" fillId="13" borderId="81" xfId="0" applyFont="1" applyFill="1" applyBorder="1" applyAlignment="1">
      <alignment horizontal="center" vertical="center"/>
    </xf>
    <xf numFmtId="0" fontId="2" fillId="13" borderId="48" xfId="0" applyFont="1" applyFill="1" applyBorder="1" applyAlignment="1">
      <alignment horizontal="center" vertical="center"/>
    </xf>
    <xf numFmtId="49" fontId="2" fillId="13" borderId="48" xfId="0" applyNumberFormat="1" applyFont="1" applyFill="1" applyBorder="1" applyAlignment="1">
      <alignment horizontal="center" vertical="center"/>
    </xf>
    <xf numFmtId="164" fontId="2" fillId="13" borderId="48" xfId="0" applyNumberFormat="1" applyFont="1" applyFill="1" applyBorder="1" applyAlignment="1">
      <alignment horizontal="center" vertical="center"/>
    </xf>
    <xf numFmtId="1" fontId="2" fillId="13" borderId="48" xfId="0" applyNumberFormat="1" applyFont="1" applyFill="1" applyBorder="1" applyAlignment="1">
      <alignment horizontal="center" vertical="center"/>
    </xf>
    <xf numFmtId="1" fontId="2" fillId="13" borderId="55" xfId="0" applyNumberFormat="1" applyFont="1" applyFill="1" applyBorder="1" applyAlignment="1">
      <alignment horizontal="center" vertical="center"/>
    </xf>
    <xf numFmtId="0" fontId="2" fillId="13" borderId="49" xfId="0" applyFont="1" applyFill="1" applyBorder="1" applyAlignment="1">
      <alignment horizontal="center" vertical="center"/>
    </xf>
    <xf numFmtId="0" fontId="6" fillId="0" borderId="0" xfId="0" quotePrefix="1" applyFont="1" applyAlignment="1">
      <alignment horizontal="right"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164" fontId="2" fillId="0" borderId="111" xfId="0" applyNumberFormat="1" applyFont="1" applyBorder="1" applyAlignment="1">
      <alignment horizontal="center" vertical="center"/>
    </xf>
    <xf numFmtId="1" fontId="51" fillId="12" borderId="111" xfId="0" applyNumberFormat="1" applyFont="1" applyFill="1" applyBorder="1" applyAlignment="1">
      <alignment horizontal="center" vertical="center"/>
    </xf>
    <xf numFmtId="1" fontId="2" fillId="0" borderId="111" xfId="0" applyNumberFormat="1" applyFont="1" applyBorder="1" applyAlignment="1">
      <alignment horizontal="center" vertical="center"/>
    </xf>
    <xf numFmtId="0" fontId="2" fillId="0" borderId="112" xfId="0" quotePrefix="1"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49" fontId="2" fillId="0" borderId="114" xfId="0" applyNumberFormat="1" applyFont="1" applyBorder="1" applyAlignment="1">
      <alignment horizontal="center" vertical="center"/>
    </xf>
    <xf numFmtId="164" fontId="2" fillId="0" borderId="114" xfId="0" applyNumberFormat="1" applyFont="1" applyBorder="1" applyAlignment="1">
      <alignment horizontal="center" vertical="center"/>
    </xf>
    <xf numFmtId="1" fontId="51" fillId="12" borderId="114" xfId="0" applyNumberFormat="1" applyFont="1" applyFill="1" applyBorder="1" applyAlignment="1">
      <alignment horizontal="center" vertical="center"/>
    </xf>
    <xf numFmtId="1" fontId="2" fillId="0" borderId="114" xfId="0" applyNumberFormat="1" applyFont="1" applyBorder="1" applyAlignment="1">
      <alignment horizontal="center" vertical="center"/>
    </xf>
    <xf numFmtId="0" fontId="2" fillId="0" borderId="115" xfId="0" quotePrefix="1" applyFont="1" applyBorder="1" applyAlignment="1">
      <alignment horizontal="center" vertical="center"/>
    </xf>
    <xf numFmtId="1" fontId="2" fillId="0" borderId="102" xfId="0" applyNumberFormat="1" applyFont="1" applyBorder="1" applyAlignment="1">
      <alignment horizontal="center" vertical="center"/>
    </xf>
    <xf numFmtId="0" fontId="2" fillId="0" borderId="113" xfId="0" applyFont="1" applyBorder="1" applyAlignment="1">
      <alignment horizontal="center" vertical="center" shrinkToFit="1"/>
    </xf>
    <xf numFmtId="0" fontId="2" fillId="0" borderId="114" xfId="0" applyFont="1" applyBorder="1" applyAlignment="1">
      <alignment horizontal="center" vertical="center" shrinkToFit="1"/>
    </xf>
    <xf numFmtId="0" fontId="5" fillId="0" borderId="116" xfId="0" applyFont="1" applyBorder="1" applyAlignment="1">
      <alignment horizontal="centerContinuous" vertical="center"/>
    </xf>
    <xf numFmtId="0" fontId="5" fillId="0" borderId="51" xfId="0" applyFont="1" applyBorder="1" applyAlignment="1">
      <alignment horizontal="center" vertical="center"/>
    </xf>
    <xf numFmtId="49" fontId="2" fillId="0" borderId="89" xfId="0" applyNumberFormat="1" applyFont="1" applyBorder="1" applyAlignment="1">
      <alignment horizontal="centerContinuous" vertical="center"/>
    </xf>
    <xf numFmtId="0" fontId="2" fillId="0" borderId="87" xfId="0" applyFont="1" applyBorder="1" applyAlignment="1">
      <alignment horizontal="centerContinuous" vertical="center"/>
    </xf>
    <xf numFmtId="0" fontId="5" fillId="0" borderId="66" xfId="0" applyFont="1" applyBorder="1" applyAlignment="1">
      <alignment horizontal="centerContinuous" vertical="center"/>
    </xf>
    <xf numFmtId="0" fontId="5" fillId="0" borderId="48" xfId="0" applyFont="1" applyBorder="1" applyAlignment="1">
      <alignment horizontal="center" vertical="center"/>
    </xf>
    <xf numFmtId="49" fontId="2" fillId="0" borderId="48" xfId="0" applyNumberFormat="1" applyFont="1" applyBorder="1" applyAlignment="1">
      <alignment horizontal="center" vertical="center"/>
    </xf>
    <xf numFmtId="49" fontId="2" fillId="0" borderId="90" xfId="0" applyNumberFormat="1" applyFont="1" applyBorder="1" applyAlignment="1">
      <alignment horizontal="centerContinuous" vertical="center"/>
    </xf>
    <xf numFmtId="49" fontId="2" fillId="0" borderId="77" xfId="0" applyNumberFormat="1" applyFont="1" applyBorder="1" applyAlignment="1">
      <alignment horizontal="centerContinuous" vertical="center"/>
    </xf>
    <xf numFmtId="0" fontId="5" fillId="0" borderId="78" xfId="0" applyFont="1" applyBorder="1" applyAlignment="1">
      <alignment horizontal="centerContinuous" vertical="center"/>
    </xf>
    <xf numFmtId="0" fontId="60" fillId="13" borderId="27" xfId="0" applyFont="1" applyFill="1" applyBorder="1" applyAlignment="1">
      <alignment horizontal="center" vertical="center" wrapText="1"/>
    </xf>
    <xf numFmtId="0" fontId="60" fillId="13" borderId="53" xfId="0" applyFont="1" applyFill="1" applyBorder="1" applyAlignment="1">
      <alignment horizontal="center" vertical="center" wrapText="1"/>
    </xf>
    <xf numFmtId="0" fontId="7" fillId="9" borderId="27" xfId="0" applyFont="1" applyFill="1" applyBorder="1" applyAlignment="1">
      <alignment horizontal="center" vertical="center"/>
    </xf>
    <xf numFmtId="9" fontId="7" fillId="0" borderId="105" xfId="2" applyFont="1" applyFill="1" applyBorder="1" applyAlignment="1">
      <alignment horizontal="center" vertical="center" shrinkToFit="1"/>
    </xf>
    <xf numFmtId="0" fontId="7" fillId="0" borderId="106" xfId="2" applyNumberFormat="1" applyFont="1" applyFill="1" applyBorder="1" applyAlignment="1">
      <alignment horizontal="center" vertical="center" shrinkToFit="1"/>
    </xf>
    <xf numFmtId="0" fontId="7" fillId="9" borderId="52" xfId="0" applyFont="1" applyFill="1" applyBorder="1" applyAlignment="1">
      <alignment horizontal="center" vertical="center"/>
    </xf>
    <xf numFmtId="0" fontId="2" fillId="0" borderId="95" xfId="0" applyFont="1" applyBorder="1" applyAlignment="1">
      <alignment horizontal="centerContinuous" vertical="center"/>
    </xf>
    <xf numFmtId="49" fontId="2" fillId="0" borderId="96" xfId="0" applyNumberFormat="1" applyFont="1" applyBorder="1" applyAlignment="1">
      <alignment horizontal="centerContinuous" vertical="center"/>
    </xf>
    <xf numFmtId="0" fontId="5" fillId="0" borderId="98" xfId="0" applyFont="1" applyBorder="1" applyAlignment="1">
      <alignment horizontal="centerContinuous" vertical="center"/>
    </xf>
    <xf numFmtId="0" fontId="7" fillId="0" borderId="14" xfId="0" applyFont="1" applyBorder="1" applyAlignment="1">
      <alignment horizontal="center" vertical="center"/>
    </xf>
    <xf numFmtId="1" fontId="2" fillId="0" borderId="0" xfId="0" applyNumberFormat="1" applyFont="1" applyAlignment="1">
      <alignment horizontal="center" vertical="center"/>
    </xf>
    <xf numFmtId="0" fontId="2" fillId="0" borderId="80" xfId="0" applyFont="1" applyBorder="1" applyAlignment="1">
      <alignment horizontal="center" shrinkToFit="1"/>
    </xf>
    <xf numFmtId="0" fontId="2" fillId="0" borderId="61" xfId="0" applyFont="1" applyBorder="1" applyAlignment="1">
      <alignment horizontal="center" shrinkToFit="1"/>
    </xf>
    <xf numFmtId="164" fontId="2" fillId="0" borderId="46" xfId="0" applyNumberFormat="1" applyFont="1" applyBorder="1" applyAlignment="1">
      <alignment horizontal="center" shrinkToFit="1"/>
    </xf>
    <xf numFmtId="0" fontId="2" fillId="0" borderId="46" xfId="0" applyFont="1" applyBorder="1" applyAlignment="1">
      <alignment horizontal="left"/>
    </xf>
    <xf numFmtId="0" fontId="2" fillId="0" borderId="47" xfId="0" applyFont="1" applyBorder="1" applyAlignment="1">
      <alignment horizontal="left" shrinkToFit="1"/>
    </xf>
    <xf numFmtId="0" fontId="2" fillId="0" borderId="0" xfId="0" applyFont="1" applyAlignment="1">
      <alignment horizontal="center"/>
    </xf>
    <xf numFmtId="1" fontId="2" fillId="0" borderId="42" xfId="0" applyNumberFormat="1" applyFont="1" applyBorder="1" applyAlignment="1">
      <alignment horizontal="center" vertical="center" shrinkToFit="1"/>
    </xf>
    <xf numFmtId="0" fontId="51" fillId="12" borderId="114" xfId="0" applyFont="1" applyFill="1" applyBorder="1" applyAlignment="1">
      <alignment horizontal="center" vertical="center"/>
    </xf>
    <xf numFmtId="0" fontId="2" fillId="0" borderId="115" xfId="0" applyFont="1" applyBorder="1" applyAlignment="1">
      <alignment horizontal="center" vertical="center"/>
    </xf>
    <xf numFmtId="49" fontId="17" fillId="0" borderId="40" xfId="0" applyNumberFormat="1" applyFont="1" applyBorder="1" applyAlignment="1">
      <alignment horizontal="center" shrinkToFit="1"/>
    </xf>
    <xf numFmtId="0" fontId="7" fillId="13" borderId="3" xfId="0" quotePrefix="1" applyFont="1" applyFill="1" applyBorder="1" applyAlignment="1">
      <alignment horizontal="center" vertical="center"/>
    </xf>
    <xf numFmtId="0" fontId="61" fillId="0" borderId="33" xfId="0" applyFont="1" applyBorder="1" applyAlignment="1">
      <alignment horizontal="centerContinuous" vertical="center" wrapText="1"/>
    </xf>
    <xf numFmtId="0" fontId="12" fillId="14" borderId="37" xfId="0" applyFont="1" applyFill="1" applyBorder="1" applyAlignment="1">
      <alignment horizontal="centerContinuous" vertical="center"/>
    </xf>
    <xf numFmtId="0" fontId="12" fillId="14" borderId="38" xfId="0" applyFont="1" applyFill="1" applyBorder="1" applyAlignment="1">
      <alignment horizontal="center" vertical="center"/>
    </xf>
    <xf numFmtId="0" fontId="12" fillId="14" borderId="39" xfId="0" applyFont="1" applyFill="1" applyBorder="1" applyAlignment="1">
      <alignment horizontal="center" vertical="center"/>
    </xf>
    <xf numFmtId="0" fontId="61" fillId="0" borderId="0" xfId="0" applyFont="1" applyAlignment="1">
      <alignment horizontal="centerContinuous" vertical="center" wrapText="1"/>
    </xf>
    <xf numFmtId="0" fontId="41" fillId="14" borderId="66" xfId="0" applyFont="1" applyFill="1" applyBorder="1" applyAlignment="1">
      <alignment horizontal="center" vertical="center" wrapText="1"/>
    </xf>
    <xf numFmtId="0" fontId="56" fillId="14" borderId="36" xfId="0" applyFont="1" applyFill="1" applyBorder="1" applyAlignment="1">
      <alignment horizontal="centerContinuous"/>
    </xf>
    <xf numFmtId="0" fontId="59" fillId="0" borderId="42" xfId="0" applyFont="1" applyBorder="1" applyAlignment="1">
      <alignment horizontal="centerContinuous"/>
    </xf>
    <xf numFmtId="0" fontId="62" fillId="0" borderId="55" xfId="0" quotePrefix="1" applyFont="1" applyBorder="1" applyAlignment="1">
      <alignment horizontal="centerContinuous"/>
    </xf>
    <xf numFmtId="0" fontId="62" fillId="0" borderId="85" xfId="0" applyFont="1" applyBorder="1" applyAlignment="1">
      <alignment horizontal="center" shrinkToFit="1"/>
    </xf>
    <xf numFmtId="0" fontId="62" fillId="0" borderId="8" xfId="0" applyFont="1" applyBorder="1" applyAlignment="1">
      <alignment horizontal="center" vertical="center" shrinkToFit="1"/>
    </xf>
    <xf numFmtId="0" fontId="7" fillId="0" borderId="106" xfId="0" applyFont="1" applyBorder="1" applyAlignment="1">
      <alignment horizontal="center" vertical="center" shrinkToFit="1"/>
    </xf>
    <xf numFmtId="0" fontId="7" fillId="0" borderId="27" xfId="0" applyFont="1" applyBorder="1" applyAlignment="1">
      <alignment horizontal="center" vertical="center" shrinkToFit="1"/>
    </xf>
    <xf numFmtId="9" fontId="7" fillId="0" borderId="52" xfId="10" applyFont="1" applyFill="1" applyBorder="1" applyAlignment="1">
      <alignment horizontal="center" vertical="center" shrinkToFit="1"/>
    </xf>
    <xf numFmtId="9" fontId="7" fillId="0" borderId="106" xfId="10" applyFont="1" applyFill="1" applyBorder="1" applyAlignment="1">
      <alignment horizontal="center" vertical="center" shrinkToFit="1"/>
    </xf>
    <xf numFmtId="9" fontId="7" fillId="0" borderId="54" xfId="10" applyFont="1" applyFill="1" applyBorder="1" applyAlignment="1">
      <alignment horizontal="center" vertical="center" shrinkToFit="1"/>
    </xf>
    <xf numFmtId="0" fontId="7" fillId="0" borderId="54" xfId="5" applyFont="1" applyBorder="1" applyAlignment="1">
      <alignment horizontal="center" vertical="center"/>
    </xf>
    <xf numFmtId="0" fontId="7" fillId="0" borderId="106" xfId="10" applyNumberFormat="1" applyFont="1" applyFill="1" applyBorder="1" applyAlignment="1">
      <alignment horizontal="center" vertical="center" shrinkToFit="1"/>
    </xf>
    <xf numFmtId="0" fontId="7" fillId="0" borderId="54" xfId="10" applyNumberFormat="1" applyFont="1" applyFill="1" applyBorder="1" applyAlignment="1">
      <alignment horizontal="center" vertical="center" shrinkToFit="1"/>
    </xf>
    <xf numFmtId="0" fontId="7" fillId="0" borderId="107" xfId="0" applyFont="1" applyBorder="1" applyAlignment="1">
      <alignment horizontal="center" vertical="center"/>
    </xf>
    <xf numFmtId="0" fontId="7" fillId="0" borderId="41" xfId="5" applyFont="1" applyBorder="1" applyAlignment="1">
      <alignment horizontal="center" vertical="center"/>
    </xf>
    <xf numFmtId="0" fontId="61" fillId="0" borderId="25" xfId="5" applyFont="1" applyBorder="1" applyAlignment="1">
      <alignment horizontal="centerContinuous" vertical="center"/>
    </xf>
    <xf numFmtId="0" fontId="62" fillId="0" borderId="1" xfId="8" applyFont="1" applyBorder="1" applyAlignment="1">
      <alignment horizontal="center" vertical="center" shrinkToFit="1"/>
    </xf>
    <xf numFmtId="0" fontId="62" fillId="0" borderId="8" xfId="8" applyFont="1" applyBorder="1" applyAlignment="1">
      <alignment horizontal="center" vertical="center" shrinkToFit="1"/>
    </xf>
    <xf numFmtId="0" fontId="12" fillId="14" borderId="22" xfId="0" applyFont="1" applyFill="1" applyBorder="1" applyAlignment="1">
      <alignment horizontal="centerContinuous" vertical="center" wrapText="1"/>
    </xf>
    <xf numFmtId="0" fontId="12" fillId="14" borderId="23" xfId="0" applyFont="1" applyFill="1" applyBorder="1" applyAlignment="1">
      <alignment horizontal="center" vertical="center"/>
    </xf>
    <xf numFmtId="0" fontId="12" fillId="14" borderId="23" xfId="0" applyFont="1" applyFill="1" applyBorder="1" applyAlignment="1">
      <alignment horizontal="center" vertical="center" wrapText="1"/>
    </xf>
    <xf numFmtId="0" fontId="12" fillId="14" borderId="24" xfId="0" applyFont="1" applyFill="1" applyBorder="1" applyAlignment="1">
      <alignment horizontal="centerContinuous" vertical="center" wrapText="1"/>
    </xf>
    <xf numFmtId="0" fontId="62" fillId="0" borderId="117" xfId="0" applyFont="1" applyBorder="1" applyAlignment="1">
      <alignment horizontal="center" vertical="center" shrinkToFit="1"/>
    </xf>
    <xf numFmtId="0" fontId="7" fillId="0" borderId="105" xfId="0" applyFont="1" applyBorder="1" applyAlignment="1">
      <alignment horizontal="center" vertical="center"/>
    </xf>
    <xf numFmtId="49" fontId="7" fillId="0" borderId="105" xfId="0" applyNumberFormat="1" applyFont="1" applyBorder="1" applyAlignment="1">
      <alignment horizontal="center" vertical="center"/>
    </xf>
    <xf numFmtId="0" fontId="35" fillId="7" borderId="107" xfId="2" applyNumberFormat="1" applyFont="1" applyFill="1" applyBorder="1" applyAlignment="1">
      <alignment horizontal="center" vertical="center" shrinkToFit="1"/>
    </xf>
    <xf numFmtId="0" fontId="65" fillId="0" borderId="85" xfId="0" applyFont="1" applyBorder="1" applyAlignment="1">
      <alignment horizontal="center" shrinkToFit="1"/>
    </xf>
    <xf numFmtId="0" fontId="54" fillId="0" borderId="85" xfId="0" applyFont="1" applyBorder="1" applyAlignment="1">
      <alignment horizontal="center" shrinkToFit="1"/>
    </xf>
    <xf numFmtId="43" fontId="2" fillId="0" borderId="114" xfId="11" applyFont="1" applyFill="1" applyBorder="1" applyAlignment="1">
      <alignment horizontal="center" vertical="center" shrinkToFit="1"/>
    </xf>
    <xf numFmtId="0" fontId="7" fillId="0" borderId="12" xfId="0" applyFont="1" applyBorder="1" applyAlignment="1">
      <alignment horizontal="center" vertical="center"/>
    </xf>
    <xf numFmtId="0" fontId="13" fillId="8" borderId="1" xfId="0" applyFont="1" applyFill="1" applyBorder="1" applyAlignment="1">
      <alignment vertical="center"/>
    </xf>
    <xf numFmtId="49" fontId="24" fillId="8" borderId="27" xfId="0" applyNumberFormat="1" applyFont="1" applyFill="1" applyBorder="1" applyAlignment="1">
      <alignment horizontal="center" vertical="center"/>
    </xf>
    <xf numFmtId="0" fontId="24" fillId="8" borderId="28" xfId="0" applyFont="1" applyFill="1" applyBorder="1" applyAlignment="1">
      <alignment horizontal="center" vertical="center"/>
    </xf>
    <xf numFmtId="0" fontId="13" fillId="8" borderId="28" xfId="0" applyFont="1" applyFill="1" applyBorder="1" applyAlignment="1">
      <alignment horizontal="center" vertical="center"/>
    </xf>
    <xf numFmtId="0" fontId="7" fillId="8" borderId="29" xfId="0" applyFont="1" applyFill="1" applyBorder="1" applyAlignment="1">
      <alignment horizontal="center" vertical="center"/>
    </xf>
    <xf numFmtId="0" fontId="8" fillId="8" borderId="1" xfId="0" applyFont="1" applyFill="1" applyBorder="1" applyAlignment="1">
      <alignment vertical="center"/>
    </xf>
    <xf numFmtId="49" fontId="18" fillId="8" borderId="27" xfId="0" applyNumberFormat="1" applyFont="1" applyFill="1" applyBorder="1" applyAlignment="1">
      <alignment horizontal="center" vertical="center"/>
    </xf>
    <xf numFmtId="0" fontId="18" fillId="8" borderId="28" xfId="0" applyFont="1" applyFill="1" applyBorder="1" applyAlignment="1">
      <alignment horizontal="center" vertical="center"/>
    </xf>
    <xf numFmtId="0" fontId="8" fillId="8" borderId="28" xfId="0" applyFont="1" applyFill="1" applyBorder="1" applyAlignment="1">
      <alignment horizontal="center" vertical="center"/>
    </xf>
    <xf numFmtId="0" fontId="22" fillId="8" borderId="1" xfId="0" applyFont="1" applyFill="1" applyBorder="1" applyAlignment="1">
      <alignment vertical="center"/>
    </xf>
    <xf numFmtId="49" fontId="28" fillId="8" borderId="27" xfId="0" applyNumberFormat="1" applyFont="1" applyFill="1" applyBorder="1" applyAlignment="1">
      <alignment horizontal="center" vertical="center"/>
    </xf>
    <xf numFmtId="0" fontId="28" fillId="8" borderId="28" xfId="0" applyFont="1" applyFill="1" applyBorder="1" applyAlignment="1">
      <alignment horizontal="center" vertical="center"/>
    </xf>
    <xf numFmtId="0" fontId="22" fillId="8" borderId="28" xfId="0" applyFont="1" applyFill="1" applyBorder="1" applyAlignment="1">
      <alignment horizontal="center" vertical="center"/>
    </xf>
    <xf numFmtId="0" fontId="7" fillId="8" borderId="28" xfId="0"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49" fontId="7" fillId="9" borderId="28"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7" fillId="9" borderId="29" xfId="0" applyFont="1" applyFill="1" applyBorder="1" applyAlignment="1">
      <alignment horizontal="center" vertical="center"/>
    </xf>
    <xf numFmtId="0" fontId="10" fillId="0" borderId="1" xfId="0" applyFont="1" applyBorder="1" applyAlignment="1">
      <alignment vertical="center"/>
    </xf>
    <xf numFmtId="49" fontId="27" fillId="0" borderId="27" xfId="0" applyNumberFormat="1" applyFont="1" applyBorder="1" applyAlignment="1">
      <alignment horizontal="center" vertical="center"/>
    </xf>
    <xf numFmtId="0" fontId="27" fillId="0" borderId="28" xfId="0" applyFont="1" applyBorder="1" applyAlignment="1">
      <alignment horizontal="center" vertical="center"/>
    </xf>
    <xf numFmtId="0" fontId="10" fillId="0" borderId="28" xfId="0" applyFont="1" applyBorder="1" applyAlignment="1">
      <alignment horizontal="center" vertical="center"/>
    </xf>
    <xf numFmtId="0" fontId="6" fillId="0" borderId="27" xfId="0" applyFont="1" applyBorder="1" applyAlignment="1">
      <alignment horizontal="center" vertical="center"/>
    </xf>
    <xf numFmtId="0" fontId="6" fillId="0" borderId="53" xfId="0" applyFont="1" applyBorder="1" applyAlignment="1">
      <alignment horizontal="center" vertical="center"/>
    </xf>
    <xf numFmtId="0" fontId="11" fillId="8" borderId="1" xfId="0" applyFont="1" applyFill="1" applyBorder="1" applyAlignment="1">
      <alignment vertical="center"/>
    </xf>
    <xf numFmtId="49" fontId="17" fillId="8" borderId="27" xfId="0" applyNumberFormat="1" applyFont="1" applyFill="1" applyBorder="1" applyAlignment="1">
      <alignment horizontal="center" vertical="center"/>
    </xf>
    <xf numFmtId="0" fontId="17" fillId="8" borderId="28" xfId="0" applyFont="1" applyFill="1" applyBorder="1" applyAlignment="1">
      <alignment horizontal="center" vertical="center"/>
    </xf>
    <xf numFmtId="0" fontId="11" fillId="8" borderId="28" xfId="0" applyFont="1" applyFill="1" applyBorder="1" applyAlignment="1">
      <alignment horizontal="center" vertical="center"/>
    </xf>
    <xf numFmtId="0" fontId="2" fillId="16" borderId="111" xfId="0" applyFont="1" applyFill="1" applyBorder="1" applyAlignment="1">
      <alignment horizontal="center" vertical="center"/>
    </xf>
    <xf numFmtId="0" fontId="2" fillId="16" borderId="114" xfId="0" applyFont="1" applyFill="1" applyBorder="1" applyAlignment="1">
      <alignment horizontal="center" vertical="center"/>
    </xf>
    <xf numFmtId="0" fontId="2" fillId="16" borderId="111" xfId="0" quotePrefix="1" applyFont="1" applyFill="1" applyBorder="1" applyAlignment="1">
      <alignment horizontal="center" vertical="center"/>
    </xf>
    <xf numFmtId="49" fontId="2" fillId="16" borderId="114" xfId="0" quotePrefix="1" applyNumberFormat="1" applyFont="1" applyFill="1" applyBorder="1" applyAlignment="1">
      <alignment horizontal="center" vertical="center"/>
    </xf>
    <xf numFmtId="0" fontId="6" fillId="9" borderId="1" xfId="0" applyFont="1" applyFill="1" applyBorder="1" applyAlignment="1">
      <alignment horizontal="right" vertical="center"/>
    </xf>
    <xf numFmtId="0" fontId="7" fillId="9" borderId="0" xfId="0" applyFont="1" applyFill="1" applyAlignment="1">
      <alignment horizontal="centerContinuous" vertical="center"/>
    </xf>
    <xf numFmtId="0" fontId="6" fillId="9" borderId="0" xfId="0" applyFont="1" applyFill="1" applyAlignment="1">
      <alignment horizontal="right" vertical="center"/>
    </xf>
    <xf numFmtId="0" fontId="7" fillId="9" borderId="0" xfId="0" applyFont="1" applyFill="1" applyAlignment="1">
      <alignment horizontal="center" vertical="center"/>
    </xf>
    <xf numFmtId="0" fontId="59" fillId="0" borderId="55" xfId="0" applyFont="1" applyBorder="1" applyAlignment="1">
      <alignment horizontal="center" vertical="center" shrinkToFit="1"/>
    </xf>
    <xf numFmtId="1" fontId="59" fillId="16" borderId="108" xfId="0" applyNumberFormat="1" applyFont="1" applyFill="1" applyBorder="1" applyAlignment="1">
      <alignment horizontal="centerContinuous" vertical="center"/>
    </xf>
    <xf numFmtId="0" fontId="68" fillId="16" borderId="109" xfId="0" applyFont="1" applyFill="1" applyBorder="1" applyAlignment="1">
      <alignment horizontal="centerContinuous" vertical="center"/>
    </xf>
    <xf numFmtId="0" fontId="68" fillId="16" borderId="51" xfId="0" applyFont="1" applyFill="1" applyBorder="1" applyAlignment="1">
      <alignment horizontal="center" vertical="center"/>
    </xf>
    <xf numFmtId="0" fontId="68" fillId="16" borderId="114" xfId="0" applyFont="1" applyFill="1" applyBorder="1" applyAlignment="1">
      <alignment horizontal="center" vertical="center"/>
    </xf>
    <xf numFmtId="0" fontId="68" fillId="16" borderId="48" xfId="0" applyFont="1" applyFill="1" applyBorder="1" applyAlignment="1">
      <alignment horizontal="center" vertical="center"/>
    </xf>
    <xf numFmtId="0" fontId="68" fillId="16" borderId="111" xfId="0" applyFont="1" applyFill="1" applyBorder="1" applyAlignment="1">
      <alignment horizontal="center" vertical="center"/>
    </xf>
    <xf numFmtId="0" fontId="69" fillId="2" borderId="4" xfId="0" applyFont="1" applyFill="1" applyBorder="1" applyAlignment="1">
      <alignment horizontal="right" vertical="center"/>
    </xf>
  </cellXfs>
  <cellStyles count="12">
    <cellStyle name="Comma" xfId="11"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3" xfId="8" xr:uid="{00000000-0005-0000-0000-000006000000}"/>
    <cellStyle name="Normal 4" xfId="7" xr:uid="{00000000-0005-0000-0000-000007000000}"/>
    <cellStyle name="Normal 5" xfId="9" xr:uid="{00000000-0005-0000-0000-000008000000}"/>
    <cellStyle name="Percent" xfId="2" builtinId="5"/>
    <cellStyle name="Percent 2" xfId="3" xr:uid="{00000000-0005-0000-0000-00000A000000}"/>
    <cellStyle name="Percent 2 2" xfId="10" xr:uid="{00000000-0005-0000-0000-00000B000000}"/>
  </cellStyles>
  <dxfs count="21">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AE6B4F85-C3D5-4419-AC89-806F74854390}"/>
  </tableStyles>
  <colors>
    <mruColors>
      <color rgb="FFCCFFCC"/>
      <color rgb="FF0000FF"/>
      <color rgb="FF009900"/>
      <color rgb="FF9966FF"/>
      <color rgb="FFCCFF99"/>
      <color rgb="FF00CC66"/>
      <color rgb="FFCCCC00"/>
      <color rgb="FF99FF99"/>
      <color rgb="FFFF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66675</xdr:colOff>
      <xdr:row>14</xdr:row>
      <xdr:rowOff>205740</xdr:rowOff>
    </xdr:from>
    <xdr:to>
      <xdr:col>6</xdr:col>
      <xdr:colOff>1238250</xdr:colOff>
      <xdr:row>17</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9115" y="2750820"/>
          <a:ext cx="2291715" cy="68008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200" b="0" i="1" u="none" strike="noStrike" baseline="0">
              <a:solidFill>
                <a:srgbClr val="FF0000"/>
              </a:solidFill>
              <a:latin typeface="Times New Roman"/>
              <a:cs typeface="Times New Roman"/>
            </a:rPr>
            <a:t>Used 6th-level feat and gear suitable for a much higher-level gal.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2474595</xdr:colOff>
      <xdr:row>1</xdr:row>
      <xdr:rowOff>123825</xdr:rowOff>
    </xdr:from>
    <xdr:to>
      <xdr:col>0</xdr:col>
      <xdr:colOff>3168015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showGridLines="0" tabSelected="1" zoomScaleNormal="100" workbookViewId="0"/>
  </sheetViews>
  <sheetFormatPr defaultColWidth="13" defaultRowHeight="15.6" x14ac:dyDescent="0.3"/>
  <cols>
    <col min="1" max="1" width="14.5" style="59" bestFit="1" customWidth="1"/>
    <col min="2" max="2" width="11.296875" style="60" customWidth="1"/>
    <col min="3" max="3" width="6.796875" style="60" customWidth="1"/>
    <col min="4" max="4" width="14" style="59" bestFit="1" customWidth="1"/>
    <col min="5" max="5" width="10.8984375" style="60" bestFit="1" customWidth="1"/>
    <col min="6" max="6" width="14.69921875" style="59" customWidth="1"/>
    <col min="7" max="7" width="17.09765625" style="60" customWidth="1"/>
    <col min="8" max="16384" width="13" style="19"/>
  </cols>
  <sheetData>
    <row r="1" spans="1:7" ht="29.4" thickTop="1" thickBot="1" x14ac:dyDescent="0.35">
      <c r="A1" s="13" t="s">
        <v>311</v>
      </c>
      <c r="B1" s="14"/>
      <c r="C1" s="15"/>
      <c r="D1" s="16"/>
      <c r="E1" s="17"/>
      <c r="F1" s="16"/>
      <c r="G1" s="18" t="s">
        <v>285</v>
      </c>
    </row>
    <row r="2" spans="1:7" ht="17.399999999999999" thickTop="1" x14ac:dyDescent="0.3">
      <c r="A2" s="20" t="s">
        <v>286</v>
      </c>
      <c r="B2" s="21" t="s">
        <v>194</v>
      </c>
      <c r="C2" s="21"/>
      <c r="D2" s="22" t="s">
        <v>287</v>
      </c>
      <c r="E2" s="23">
        <v>32</v>
      </c>
      <c r="F2"/>
      <c r="G2" s="24"/>
    </row>
    <row r="3" spans="1:7" ht="16.8" x14ac:dyDescent="0.3">
      <c r="A3" s="20" t="s">
        <v>288</v>
      </c>
      <c r="B3" s="21" t="s">
        <v>251</v>
      </c>
      <c r="C3" s="21"/>
      <c r="D3" s="22" t="s">
        <v>0</v>
      </c>
      <c r="E3" s="23">
        <v>3</v>
      </c>
      <c r="F3" s="22"/>
      <c r="G3" s="24"/>
    </row>
    <row r="4" spans="1:7" ht="20.399999999999999" x14ac:dyDescent="0.3">
      <c r="A4" s="20" t="s">
        <v>288</v>
      </c>
      <c r="B4" s="21" t="s">
        <v>255</v>
      </c>
      <c r="C4" s="21"/>
      <c r="D4" s="22" t="s">
        <v>0</v>
      </c>
      <c r="E4" s="23">
        <v>2</v>
      </c>
      <c r="F4" s="22"/>
      <c r="G4" s="24"/>
    </row>
    <row r="5" spans="1:7" ht="16.8" x14ac:dyDescent="0.3">
      <c r="A5" s="428" t="s">
        <v>288</v>
      </c>
      <c r="B5" s="429" t="s">
        <v>196</v>
      </c>
      <c r="C5" s="429"/>
      <c r="D5" s="430" t="s">
        <v>0</v>
      </c>
      <c r="E5" s="431">
        <v>0</v>
      </c>
      <c r="F5" s="22"/>
      <c r="G5" s="24"/>
    </row>
    <row r="6" spans="1:7" ht="16.8" x14ac:dyDescent="0.3">
      <c r="A6" s="428" t="s">
        <v>288</v>
      </c>
      <c r="B6" s="429" t="s">
        <v>258</v>
      </c>
      <c r="C6" s="429"/>
      <c r="D6" s="430" t="s">
        <v>0</v>
      </c>
      <c r="E6" s="431">
        <v>0</v>
      </c>
      <c r="F6" s="22"/>
      <c r="G6" s="24"/>
    </row>
    <row r="7" spans="1:7" ht="16.8" x14ac:dyDescent="0.3">
      <c r="A7" s="20" t="s">
        <v>289</v>
      </c>
      <c r="B7" s="21" t="s">
        <v>195</v>
      </c>
      <c r="C7" s="21"/>
      <c r="D7" s="22" t="s">
        <v>290</v>
      </c>
      <c r="E7" s="23" t="s">
        <v>153</v>
      </c>
      <c r="F7" s="22"/>
      <c r="G7" s="24"/>
    </row>
    <row r="8" spans="1:7" ht="16.8" x14ac:dyDescent="0.3">
      <c r="A8" s="20" t="s">
        <v>291</v>
      </c>
      <c r="B8" s="21" t="s">
        <v>152</v>
      </c>
      <c r="C8" s="21"/>
      <c r="D8" s="22" t="s">
        <v>292</v>
      </c>
      <c r="E8" s="23" t="s">
        <v>154</v>
      </c>
      <c r="F8" s="22"/>
      <c r="G8" s="24"/>
    </row>
    <row r="9" spans="1:7" ht="17.399999999999999" thickBot="1" x14ac:dyDescent="0.35">
      <c r="A9" s="20" t="s">
        <v>293</v>
      </c>
      <c r="B9" s="21" t="s">
        <v>313</v>
      </c>
      <c r="C9" s="21"/>
      <c r="D9" s="22" t="s">
        <v>294</v>
      </c>
      <c r="E9" s="23" t="s">
        <v>274</v>
      </c>
      <c r="F9" s="22"/>
      <c r="G9" s="24"/>
    </row>
    <row r="10" spans="1:7" ht="17.399999999999999" thickTop="1" x14ac:dyDescent="0.3">
      <c r="A10" s="25" t="s">
        <v>295</v>
      </c>
      <c r="B10" s="433">
        <f>E3+(E4-0)+E5+E6</f>
        <v>5</v>
      </c>
      <c r="C10" s="434"/>
      <c r="D10" s="26" t="s">
        <v>296</v>
      </c>
      <c r="E10" s="27" t="s">
        <v>126</v>
      </c>
      <c r="F10" s="28"/>
      <c r="G10" s="24"/>
    </row>
    <row r="11" spans="1:7" ht="17.399999999999999" thickBot="1" x14ac:dyDescent="0.35">
      <c r="A11" s="274" t="s">
        <v>297</v>
      </c>
      <c r="B11" s="275">
        <f>C13+2</f>
        <v>8</v>
      </c>
      <c r="C11" s="276"/>
      <c r="D11" s="277" t="s">
        <v>298</v>
      </c>
      <c r="E11" s="391" t="str">
        <f>CONCATENATE(E10,"+10’")</f>
        <v>30’+10’</v>
      </c>
      <c r="F11" s="28"/>
      <c r="G11" s="24"/>
    </row>
    <row r="12" spans="1:7" ht="17.399999999999999" thickTop="1" x14ac:dyDescent="0.3">
      <c r="A12" s="29" t="s">
        <v>299</v>
      </c>
      <c r="B12" s="343">
        <f>14</f>
        <v>14</v>
      </c>
      <c r="C12" s="30" t="str">
        <f t="shared" ref="C12:C17" si="0">IF(B12&gt;9.9,CONCATENATE("+",ROUNDDOWN((B12-10)/2,0)),ROUNDUP((B12-10)/2,0))</f>
        <v>+2</v>
      </c>
      <c r="D12" s="31" t="s">
        <v>300</v>
      </c>
      <c r="E12" s="354" t="s">
        <v>205</v>
      </c>
      <c r="F12" s="28"/>
      <c r="G12" s="24"/>
    </row>
    <row r="13" spans="1:7" ht="16.8" x14ac:dyDescent="0.3">
      <c r="A13" s="32" t="s">
        <v>301</v>
      </c>
      <c r="B13" s="355">
        <f>18+4</f>
        <v>22</v>
      </c>
      <c r="C13" s="33" t="str">
        <f t="shared" si="0"/>
        <v>+6</v>
      </c>
      <c r="D13" s="34" t="s">
        <v>302</v>
      </c>
      <c r="E13" s="35">
        <f>SUM(Martial!G5:G20)+SUM(Equipment!C3:C17)</f>
        <v>19.5</v>
      </c>
      <c r="F13" s="28"/>
      <c r="G13" s="24"/>
    </row>
    <row r="14" spans="1:7" ht="16.8" x14ac:dyDescent="0.3">
      <c r="A14" s="439" t="s">
        <v>303</v>
      </c>
      <c r="B14" s="355">
        <f>13+2</f>
        <v>15</v>
      </c>
      <c r="C14" s="37" t="str">
        <f t="shared" si="0"/>
        <v>+2</v>
      </c>
      <c r="D14" s="34" t="s">
        <v>304</v>
      </c>
      <c r="E14" s="38">
        <f>ROUNDUP(((E3*8)*0.75)+((E4*8)*0.75)+((E5*10)*0.75)+((E6*8)*0.75)+((E3+E4+E5+E6)*C14),0)</f>
        <v>40</v>
      </c>
      <c r="F14" s="28"/>
      <c r="G14" s="24"/>
    </row>
    <row r="15" spans="1:7" ht="16.8" x14ac:dyDescent="0.3">
      <c r="A15" s="39" t="s">
        <v>305</v>
      </c>
      <c r="B15" s="36">
        <v>10</v>
      </c>
      <c r="C15" s="33" t="str">
        <f t="shared" si="0"/>
        <v>+0</v>
      </c>
      <c r="D15" s="40" t="s">
        <v>306</v>
      </c>
      <c r="E15" s="248">
        <f>-1+10+C13</f>
        <v>15</v>
      </c>
      <c r="F15" s="20"/>
      <c r="G15" s="24"/>
    </row>
    <row r="16" spans="1:7" ht="16.8" x14ac:dyDescent="0.3">
      <c r="A16" s="41" t="s">
        <v>307</v>
      </c>
      <c r="B16" s="42">
        <v>14</v>
      </c>
      <c r="C16" s="33" t="str">
        <f t="shared" si="0"/>
        <v>+2</v>
      </c>
      <c r="D16" s="40" t="s">
        <v>308</v>
      </c>
      <c r="E16" s="248">
        <f>E17-C13</f>
        <v>15</v>
      </c>
      <c r="F16" s="28"/>
      <c r="G16" s="24"/>
    </row>
    <row r="17" spans="1:7" ht="17.399999999999999" thickBot="1" x14ac:dyDescent="0.35">
      <c r="A17" s="43" t="s">
        <v>309</v>
      </c>
      <c r="B17" s="254">
        <v>8</v>
      </c>
      <c r="C17" s="44">
        <f t="shared" si="0"/>
        <v>-1</v>
      </c>
      <c r="D17" s="45" t="s">
        <v>310</v>
      </c>
      <c r="E17" s="247">
        <f>E15+SUM(Martial!B16:B17)</f>
        <v>21</v>
      </c>
      <c r="F17" s="28"/>
      <c r="G17" s="24"/>
    </row>
    <row r="18" spans="1:7" ht="24" thickTop="1" thickBot="1" x14ac:dyDescent="0.35">
      <c r="A18" s="46" t="s">
        <v>18</v>
      </c>
      <c r="B18" s="47"/>
      <c r="C18" s="47"/>
      <c r="F18" s="48"/>
      <c r="G18" s="49"/>
    </row>
    <row r="19" spans="1:7" s="7" customFormat="1" ht="17.399999999999999" thickTop="1" x14ac:dyDescent="0.3">
      <c r="A19" s="50"/>
      <c r="B19" s="51"/>
      <c r="C19" s="51"/>
      <c r="D19" s="51"/>
      <c r="E19" s="51"/>
      <c r="F19" s="51"/>
      <c r="G19" s="52"/>
    </row>
    <row r="20" spans="1:7" s="7" customFormat="1" ht="16.8" x14ac:dyDescent="0.3">
      <c r="A20" s="53"/>
      <c r="B20" s="54"/>
      <c r="C20" s="54"/>
      <c r="D20" s="54"/>
      <c r="E20" s="54"/>
      <c r="F20" s="54"/>
      <c r="G20" s="55"/>
    </row>
    <row r="21" spans="1:7" s="7" customFormat="1" ht="16.8" x14ac:dyDescent="0.3">
      <c r="A21" s="53"/>
      <c r="B21" s="54"/>
      <c r="C21" s="54"/>
      <c r="D21" s="54"/>
      <c r="E21" s="54"/>
      <c r="F21" s="54"/>
      <c r="G21" s="55"/>
    </row>
    <row r="22" spans="1:7" s="7" customFormat="1" ht="16.8" x14ac:dyDescent="0.3">
      <c r="A22" s="53"/>
      <c r="B22" s="54"/>
      <c r="C22" s="54"/>
      <c r="D22" s="54"/>
      <c r="E22" s="54"/>
      <c r="F22" s="54"/>
      <c r="G22" s="55"/>
    </row>
    <row r="23" spans="1:7" s="7" customFormat="1" ht="16.8" x14ac:dyDescent="0.3">
      <c r="A23" s="53"/>
      <c r="B23" s="54"/>
      <c r="C23" s="54"/>
      <c r="D23" s="54"/>
      <c r="E23" s="54"/>
      <c r="F23" s="54"/>
      <c r="G23" s="55"/>
    </row>
    <row r="24" spans="1:7" ht="17.399999999999999" thickBot="1" x14ac:dyDescent="0.35">
      <c r="A24" s="56"/>
      <c r="B24" s="57"/>
      <c r="C24" s="57"/>
      <c r="D24" s="57"/>
      <c r="E24" s="57"/>
      <c r="F24" s="57"/>
      <c r="G24" s="58"/>
    </row>
    <row r="25" spans="1:7" ht="16.2" thickTop="1" x14ac:dyDescent="0.3"/>
  </sheetData>
  <phoneticPr fontId="0" type="noConversion"/>
  <conditionalFormatting sqref="E13">
    <cfRule type="cellIs" dxfId="20" priority="4" stopIfTrue="1" operator="greaterThan">
      <formula>116</formula>
    </cfRule>
    <cfRule type="cellIs" dxfId="19"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showGridLines="0" workbookViewId="0">
      <pane ySplit="2" topLeftCell="A3" activePane="bottomLeft" state="frozen"/>
      <selection pane="bottomLeft" activeCell="A3" sqref="A3"/>
    </sheetView>
  </sheetViews>
  <sheetFormatPr defaultColWidth="13" defaultRowHeight="15.6" x14ac:dyDescent="0.3"/>
  <cols>
    <col min="1" max="1" width="30" style="59" bestFit="1" customWidth="1"/>
    <col min="2" max="2" width="5.8984375" style="59" bestFit="1" customWidth="1"/>
    <col min="3" max="3" width="7.59765625" style="60" hidden="1" customWidth="1"/>
    <col min="4" max="4" width="5.8984375" style="60" hidden="1" customWidth="1"/>
    <col min="5" max="5" width="9.19921875" style="60" bestFit="1" customWidth="1"/>
    <col min="6" max="6" width="6.69921875" style="60" bestFit="1" customWidth="1"/>
    <col min="7" max="7" width="6" style="60" bestFit="1" customWidth="1"/>
    <col min="8" max="8" width="5.19921875" style="60" bestFit="1" customWidth="1"/>
    <col min="9" max="9" width="6.8984375" style="60" bestFit="1" customWidth="1"/>
    <col min="10" max="10" width="26" style="59" bestFit="1" customWidth="1"/>
    <col min="11" max="16384" width="13" style="19"/>
  </cols>
  <sheetData>
    <row r="1" spans="1:10" ht="23.4" thickBot="1" x14ac:dyDescent="0.35">
      <c r="A1" s="61" t="s">
        <v>7</v>
      </c>
      <c r="B1" s="62"/>
      <c r="C1" s="62"/>
      <c r="D1" s="62"/>
      <c r="E1" s="62"/>
      <c r="F1" s="62"/>
      <c r="G1" s="62"/>
      <c r="H1" s="62"/>
      <c r="I1" s="62"/>
      <c r="J1" s="62"/>
    </row>
    <row r="2" spans="1:10" s="7" customFormat="1" ht="34.200000000000003" thickBot="1" x14ac:dyDescent="0.35">
      <c r="A2" s="2" t="s">
        <v>125</v>
      </c>
      <c r="B2" s="3" t="s">
        <v>23</v>
      </c>
      <c r="C2" s="3" t="s">
        <v>30</v>
      </c>
      <c r="D2" s="3" t="s">
        <v>22</v>
      </c>
      <c r="E2" s="4" t="s">
        <v>55</v>
      </c>
      <c r="F2" s="4" t="s">
        <v>31</v>
      </c>
      <c r="G2" s="4" t="s">
        <v>57</v>
      </c>
      <c r="H2" s="5" t="s">
        <v>124</v>
      </c>
      <c r="I2" s="3" t="s">
        <v>84</v>
      </c>
      <c r="J2" s="6" t="s">
        <v>82</v>
      </c>
    </row>
    <row r="3" spans="1:10" s="7" customFormat="1" ht="16.8" x14ac:dyDescent="0.3">
      <c r="A3" s="63" t="s">
        <v>60</v>
      </c>
      <c r="B3" s="418">
        <f>4-0</f>
        <v>4</v>
      </c>
      <c r="C3" s="64" t="s">
        <v>25</v>
      </c>
      <c r="D3" s="64" t="str">
        <f>IF(C3="Str",'Personal File'!$C$12,IF(C3="Dex",'Personal File'!$C$13,IF(C3="Con",'Personal File'!$C$14,IF(C3="Int",'Personal File'!$C$15,IF(C3="Wis",'Personal File'!$C$16,IF(C3="Cha",'Personal File'!$C$17))))))</f>
        <v>+2</v>
      </c>
      <c r="E3" s="65" t="str">
        <f t="shared" ref="E3:E40" si="0">CONCATENATE(C3," (",D3,")")</f>
        <v>Con (+2)</v>
      </c>
      <c r="F3" s="334">
        <f>3</f>
        <v>3</v>
      </c>
      <c r="G3" s="66">
        <f t="shared" ref="G3:G40" si="1">B3+D3+F3</f>
        <v>9</v>
      </c>
      <c r="H3" s="67">
        <f ca="1">RANDBETWEEN(1,20)</f>
        <v>19</v>
      </c>
      <c r="I3" s="66">
        <f t="shared" ref="I3:I40" ca="1" si="2">SUM(G3:H3)</f>
        <v>28</v>
      </c>
      <c r="J3" s="68"/>
    </row>
    <row r="4" spans="1:10" s="7" customFormat="1" ht="16.8" x14ac:dyDescent="0.3">
      <c r="A4" s="69" t="s">
        <v>61</v>
      </c>
      <c r="B4" s="418">
        <f>4-0</f>
        <v>4</v>
      </c>
      <c r="C4" s="64" t="s">
        <v>28</v>
      </c>
      <c r="D4" s="64" t="str">
        <f>IF(C4="Str",'Personal File'!$C$12,IF(C4="Dex",'Personal File'!$C$13,IF(C4="Con",'Personal File'!$C$14,IF(C4="Int",'Personal File'!$C$15,IF(C4="Wis",'Personal File'!$C$16,IF(C4="Cha",'Personal File'!$C$17))))))</f>
        <v>+6</v>
      </c>
      <c r="E4" s="70" t="str">
        <f t="shared" si="0"/>
        <v>Dex (+6)</v>
      </c>
      <c r="F4" s="334">
        <f>3</f>
        <v>3</v>
      </c>
      <c r="G4" s="66">
        <f t="shared" si="1"/>
        <v>13</v>
      </c>
      <c r="H4" s="67">
        <f ca="1">RANDBETWEEN(1,20)</f>
        <v>10</v>
      </c>
      <c r="I4" s="66">
        <f t="shared" ca="1" si="2"/>
        <v>23</v>
      </c>
      <c r="J4" s="68" t="s">
        <v>283</v>
      </c>
    </row>
    <row r="5" spans="1:10" s="7" customFormat="1" ht="16.8" x14ac:dyDescent="0.3">
      <c r="A5" s="71" t="s">
        <v>62</v>
      </c>
      <c r="B5" s="419">
        <f>1-0</f>
        <v>1</v>
      </c>
      <c r="C5" s="72" t="s">
        <v>27</v>
      </c>
      <c r="D5" s="72" t="str">
        <f>IF(C5="Str",'Personal File'!$C$12,IF(C5="Dex",'Personal File'!$C$13,IF(C5="Con",'Personal File'!$C$14,IF(C5="Int",'Personal File'!$C$15,IF(C5="Wis",'Personal File'!$C$16,IF(C5="Cha",'Personal File'!$C$17))))))</f>
        <v>+2</v>
      </c>
      <c r="E5" s="73" t="str">
        <f t="shared" si="0"/>
        <v>Wis (+2)</v>
      </c>
      <c r="F5" s="335">
        <f>3</f>
        <v>3</v>
      </c>
      <c r="G5" s="74">
        <f t="shared" si="1"/>
        <v>6</v>
      </c>
      <c r="H5" s="75">
        <f ca="1">RANDBETWEEN(1,20)</f>
        <v>5</v>
      </c>
      <c r="I5" s="74">
        <f t="shared" ca="1" si="2"/>
        <v>11</v>
      </c>
      <c r="J5" s="76"/>
    </row>
    <row r="6" spans="1:10" s="84" customFormat="1" ht="16.8" x14ac:dyDescent="0.3">
      <c r="A6" s="77" t="s">
        <v>32</v>
      </c>
      <c r="B6" s="64">
        <v>0</v>
      </c>
      <c r="C6" s="78" t="s">
        <v>26</v>
      </c>
      <c r="D6" s="79" t="str">
        <f>IF(C6="Str",'Personal File'!$C$12,IF(C6="Dex",'Personal File'!$C$13,IF(C6="Con",'Personal File'!$C$14,IF(C6="Int",'Personal File'!$C$15,IF(C6="Wis",'Personal File'!$C$16,IF(C6="Cha",'Personal File'!$C$17))))))</f>
        <v>+0</v>
      </c>
      <c r="E6" s="80" t="str">
        <f t="shared" si="0"/>
        <v>Int (+0)</v>
      </c>
      <c r="F6" s="81" t="s">
        <v>56</v>
      </c>
      <c r="G6" s="82">
        <f t="shared" si="1"/>
        <v>0</v>
      </c>
      <c r="H6" s="67">
        <f ca="1">RANDBETWEEN(1,20)</f>
        <v>1</v>
      </c>
      <c r="I6" s="82">
        <f t="shared" ca="1" si="2"/>
        <v>1</v>
      </c>
      <c r="J6" s="68" t="s">
        <v>314</v>
      </c>
    </row>
    <row r="7" spans="1:10" s="88" customFormat="1" ht="16.8" x14ac:dyDescent="0.3">
      <c r="A7" s="392" t="s">
        <v>33</v>
      </c>
      <c r="B7" s="103">
        <v>8</v>
      </c>
      <c r="C7" s="393" t="s">
        <v>28</v>
      </c>
      <c r="D7" s="394" t="str">
        <f>IF(C7="Str",'Personal File'!$C$12,IF(C7="Dex",'Personal File'!$C$13,IF(C7="Con",'Personal File'!$C$14,IF(C7="Int",'Personal File'!$C$15,IF(C7="Wis",'Personal File'!$C$16,IF(C7="Cha",'Personal File'!$C$17))))))</f>
        <v>+6</v>
      </c>
      <c r="E7" s="395" t="str">
        <f t="shared" si="0"/>
        <v>Dex (+6)</v>
      </c>
      <c r="F7" s="104" t="s">
        <v>56</v>
      </c>
      <c r="G7" s="104">
        <f t="shared" si="1"/>
        <v>14</v>
      </c>
      <c r="H7" s="67">
        <f t="shared" ref="H7:H47" ca="1" si="3">RANDBETWEEN(1,20)</f>
        <v>6</v>
      </c>
      <c r="I7" s="104">
        <f t="shared" ca="1" si="2"/>
        <v>20</v>
      </c>
      <c r="J7" s="105" t="s">
        <v>314</v>
      </c>
    </row>
    <row r="8" spans="1:10" s="93" customFormat="1" ht="16.8" x14ac:dyDescent="0.3">
      <c r="A8" s="89" t="s">
        <v>34</v>
      </c>
      <c r="B8" s="64">
        <v>0</v>
      </c>
      <c r="C8" s="90" t="s">
        <v>24</v>
      </c>
      <c r="D8" s="91">
        <f>IF(C8="Str",'Personal File'!$C$12,IF(C8="Dex",'Personal File'!$C$13,IF(C8="Con",'Personal File'!$C$14,IF(C8="Int",'Personal File'!$C$15,IF(C8="Wis",'Personal File'!$C$16,IF(C8="Cha",'Personal File'!$C$17))))))</f>
        <v>-1</v>
      </c>
      <c r="E8" s="92" t="str">
        <f t="shared" si="0"/>
        <v>Cha (-1)</v>
      </c>
      <c r="F8" s="82" t="s">
        <v>56</v>
      </c>
      <c r="G8" s="82">
        <f t="shared" si="1"/>
        <v>-1</v>
      </c>
      <c r="H8" s="67">
        <f t="shared" ca="1" si="3"/>
        <v>12</v>
      </c>
      <c r="I8" s="82">
        <f t="shared" ca="1" si="2"/>
        <v>11</v>
      </c>
      <c r="J8" s="68" t="s">
        <v>314</v>
      </c>
    </row>
    <row r="9" spans="1:10" s="94" customFormat="1" ht="16.8" x14ac:dyDescent="0.3">
      <c r="A9" s="397" t="s">
        <v>35</v>
      </c>
      <c r="B9" s="103">
        <v>4</v>
      </c>
      <c r="C9" s="398" t="s">
        <v>29</v>
      </c>
      <c r="D9" s="399" t="str">
        <f>IF(C9="Str",'Personal File'!$C$12,IF(C9="Dex",'Personal File'!$C$13,IF(C9="Con",'Personal File'!$C$14,IF(C9="Int",'Personal File'!$C$15,IF(C9="Wis",'Personal File'!$C$16,IF(C9="Cha",'Personal File'!$C$17))))))</f>
        <v>+2</v>
      </c>
      <c r="E9" s="400" t="str">
        <f t="shared" si="0"/>
        <v>Str (+2)</v>
      </c>
      <c r="F9" s="104" t="s">
        <v>56</v>
      </c>
      <c r="G9" s="104">
        <f t="shared" si="1"/>
        <v>6</v>
      </c>
      <c r="H9" s="67">
        <f t="shared" ca="1" si="3"/>
        <v>16</v>
      </c>
      <c r="I9" s="104">
        <f t="shared" ca="1" si="2"/>
        <v>22</v>
      </c>
      <c r="J9" s="105" t="s">
        <v>314</v>
      </c>
    </row>
    <row r="10" spans="1:10" s="94" customFormat="1" ht="16.8" x14ac:dyDescent="0.3">
      <c r="A10" s="414" t="s">
        <v>8</v>
      </c>
      <c r="B10" s="64">
        <v>0</v>
      </c>
      <c r="C10" s="415" t="s">
        <v>25</v>
      </c>
      <c r="D10" s="416" t="str">
        <f>IF(C10="Str",'Personal File'!$C$12,IF(C10="Dex",'Personal File'!$C$13,IF(C10="Con",'Personal File'!$C$14,IF(C10="Int",'Personal File'!$C$15,IF(C10="Wis",'Personal File'!$C$16,IF(C10="Cha",'Personal File'!$C$17))))))</f>
        <v>+2</v>
      </c>
      <c r="E10" s="417" t="str">
        <f t="shared" si="0"/>
        <v>Con (+2)</v>
      </c>
      <c r="F10" s="82" t="s">
        <v>56</v>
      </c>
      <c r="G10" s="82">
        <f t="shared" si="1"/>
        <v>2</v>
      </c>
      <c r="H10" s="67">
        <f t="shared" ca="1" si="3"/>
        <v>1</v>
      </c>
      <c r="I10" s="82">
        <f t="shared" ca="1" si="2"/>
        <v>3</v>
      </c>
      <c r="J10" s="68" t="s">
        <v>314</v>
      </c>
    </row>
    <row r="11" spans="1:10" s="84" customFormat="1" ht="16.8" x14ac:dyDescent="0.3">
      <c r="A11" s="77" t="s">
        <v>97</v>
      </c>
      <c r="B11" s="64">
        <v>0</v>
      </c>
      <c r="C11" s="78" t="s">
        <v>26</v>
      </c>
      <c r="D11" s="79" t="str">
        <f>IF(C11="Str",'Personal File'!$C$12,IF(C11="Dex",'Personal File'!$C$13,IF(C11="Con",'Personal File'!$C$14,IF(C11="Int",'Personal File'!$C$15,IF(C11="Wis",'Personal File'!$C$16,IF(C11="Cha",'Personal File'!$C$17))))))</f>
        <v>+0</v>
      </c>
      <c r="E11" s="80" t="str">
        <f t="shared" si="0"/>
        <v>Int (+0)</v>
      </c>
      <c r="F11" s="82" t="s">
        <v>56</v>
      </c>
      <c r="G11" s="82">
        <f t="shared" si="1"/>
        <v>0</v>
      </c>
      <c r="H11" s="67">
        <f t="shared" ca="1" si="3"/>
        <v>12</v>
      </c>
      <c r="I11" s="82">
        <f t="shared" ca="1" si="2"/>
        <v>12</v>
      </c>
      <c r="J11" s="83"/>
    </row>
    <row r="12" spans="1:10" s="102" customFormat="1" ht="16.8" x14ac:dyDescent="0.3">
      <c r="A12" s="95" t="s">
        <v>36</v>
      </c>
      <c r="B12" s="96">
        <v>0</v>
      </c>
      <c r="C12" s="97" t="s">
        <v>26</v>
      </c>
      <c r="D12" s="98" t="str">
        <f>IF(C12="Str",'Personal File'!$C$12,IF(C12="Dex",'Personal File'!$C$13,IF(C12="Con",'Personal File'!$C$14,IF(C12="Int",'Personal File'!$C$15,IF(C12="Wis",'Personal File'!$C$16,IF(C12="Cha",'Personal File'!$C$17))))))</f>
        <v>+0</v>
      </c>
      <c r="E12" s="99" t="str">
        <f t="shared" si="0"/>
        <v>Int (+0)</v>
      </c>
      <c r="F12" s="100" t="s">
        <v>56</v>
      </c>
      <c r="G12" s="100">
        <f t="shared" si="1"/>
        <v>0</v>
      </c>
      <c r="H12" s="67">
        <f t="shared" ca="1" si="3"/>
        <v>2</v>
      </c>
      <c r="I12" s="100">
        <f t="shared" ca="1" si="2"/>
        <v>2</v>
      </c>
      <c r="J12" s="101"/>
    </row>
    <row r="13" spans="1:10" s="88" customFormat="1" ht="16.8" x14ac:dyDescent="0.3">
      <c r="A13" s="89" t="s">
        <v>37</v>
      </c>
      <c r="B13" s="64">
        <v>0</v>
      </c>
      <c r="C13" s="90" t="s">
        <v>24</v>
      </c>
      <c r="D13" s="91">
        <f>IF(C13="Str",'Personal File'!$C$12,IF(C13="Dex",'Personal File'!$C$13,IF(C13="Con",'Personal File'!$C$14,IF(C13="Int",'Personal File'!$C$15,IF(C13="Wis",'Personal File'!$C$16,IF(C13="Cha",'Personal File'!$C$17))))))</f>
        <v>-1</v>
      </c>
      <c r="E13" s="92" t="str">
        <f t="shared" si="0"/>
        <v>Cha (-1)</v>
      </c>
      <c r="F13" s="82" t="s">
        <v>56</v>
      </c>
      <c r="G13" s="82">
        <f t="shared" si="1"/>
        <v>-1</v>
      </c>
      <c r="H13" s="67">
        <f t="shared" ca="1" si="3"/>
        <v>1</v>
      </c>
      <c r="I13" s="82">
        <f t="shared" ca="1" si="2"/>
        <v>0</v>
      </c>
      <c r="J13" s="68"/>
    </row>
    <row r="14" spans="1:10" s="88" customFormat="1" ht="16.8" x14ac:dyDescent="0.3">
      <c r="A14" s="95" t="s">
        <v>38</v>
      </c>
      <c r="B14" s="96">
        <v>0</v>
      </c>
      <c r="C14" s="97" t="s">
        <v>26</v>
      </c>
      <c r="D14" s="98" t="str">
        <f>IF(C14="Str",'Personal File'!$C$12,IF(C14="Dex",'Personal File'!$C$13,IF(C14="Con",'Personal File'!$C$14,IF(C14="Int",'Personal File'!$C$15,IF(C14="Wis",'Personal File'!$C$16,IF(C14="Cha",'Personal File'!$C$17))))))</f>
        <v>+0</v>
      </c>
      <c r="E14" s="99" t="str">
        <f t="shared" si="0"/>
        <v>Int (+0)</v>
      </c>
      <c r="F14" s="100" t="s">
        <v>56</v>
      </c>
      <c r="G14" s="100">
        <f t="shared" si="1"/>
        <v>0</v>
      </c>
      <c r="H14" s="67">
        <f t="shared" ca="1" si="3"/>
        <v>5</v>
      </c>
      <c r="I14" s="100">
        <f t="shared" ca="1" si="2"/>
        <v>5</v>
      </c>
      <c r="J14" s="101"/>
    </row>
    <row r="15" spans="1:10" s="88" customFormat="1" ht="16.8" x14ac:dyDescent="0.3">
      <c r="A15" s="89" t="s">
        <v>39</v>
      </c>
      <c r="B15" s="64">
        <v>0</v>
      </c>
      <c r="C15" s="90" t="s">
        <v>24</v>
      </c>
      <c r="D15" s="91">
        <f>IF(C15="Str",'Personal File'!$C$12,IF(C15="Dex",'Personal File'!$C$13,IF(C15="Con",'Personal File'!$C$14,IF(C15="Int",'Personal File'!$C$15,IF(C15="Wis",'Personal File'!$C$16,IF(C15="Cha",'Personal File'!$C$17))))))</f>
        <v>-1</v>
      </c>
      <c r="E15" s="92" t="str">
        <f t="shared" si="0"/>
        <v>Cha (-1)</v>
      </c>
      <c r="F15" s="82" t="s">
        <v>56</v>
      </c>
      <c r="G15" s="82">
        <f t="shared" si="1"/>
        <v>-1</v>
      </c>
      <c r="H15" s="67">
        <f t="shared" ca="1" si="3"/>
        <v>6</v>
      </c>
      <c r="I15" s="82">
        <f t="shared" ca="1" si="2"/>
        <v>5</v>
      </c>
      <c r="J15" s="83"/>
    </row>
    <row r="16" spans="1:10" s="88" customFormat="1" ht="16.8" x14ac:dyDescent="0.3">
      <c r="A16" s="85" t="s">
        <v>40</v>
      </c>
      <c r="B16" s="64">
        <v>0</v>
      </c>
      <c r="C16" s="86" t="s">
        <v>28</v>
      </c>
      <c r="D16" s="87" t="str">
        <f>IF(C16="Str",'Personal File'!$C$12,IF(C16="Dex",'Personal File'!$C$13,IF(C16="Con",'Personal File'!$C$14,IF(C16="Int",'Personal File'!$C$15,IF(C16="Wis",'Personal File'!$C$16,IF(C16="Cha",'Personal File'!$C$17))))))</f>
        <v>+6</v>
      </c>
      <c r="E16" s="70" t="str">
        <f t="shared" si="0"/>
        <v>Dex (+6)</v>
      </c>
      <c r="F16" s="82" t="s">
        <v>56</v>
      </c>
      <c r="G16" s="82">
        <f t="shared" si="1"/>
        <v>6</v>
      </c>
      <c r="H16" s="67">
        <f t="shared" ca="1" si="3"/>
        <v>18</v>
      </c>
      <c r="I16" s="82">
        <f t="shared" ca="1" si="2"/>
        <v>24</v>
      </c>
      <c r="J16" s="83"/>
    </row>
    <row r="17" spans="1:10" s="88" customFormat="1" ht="16.8" x14ac:dyDescent="0.3">
      <c r="A17" s="106" t="s">
        <v>41</v>
      </c>
      <c r="B17" s="107">
        <v>0</v>
      </c>
      <c r="C17" s="108" t="s">
        <v>26</v>
      </c>
      <c r="D17" s="109" t="str">
        <f>IF(C17="Str",'Personal File'!$C$12,IF(C17="Dex",'Personal File'!$C$13,IF(C17="Con",'Personal File'!$C$14,IF(C17="Int",'Personal File'!$C$15,IF(C17="Wis",'Personal File'!$C$16,IF(C17="Cha",'Personal File'!$C$17))))))</f>
        <v>+0</v>
      </c>
      <c r="E17" s="110" t="str">
        <f t="shared" si="0"/>
        <v>Int (+0)</v>
      </c>
      <c r="F17" s="111" t="s">
        <v>56</v>
      </c>
      <c r="G17" s="111">
        <f t="shared" si="1"/>
        <v>0</v>
      </c>
      <c r="H17" s="67">
        <f t="shared" ca="1" si="3"/>
        <v>19</v>
      </c>
      <c r="I17" s="111">
        <f t="shared" ca="1" si="2"/>
        <v>19</v>
      </c>
      <c r="J17" s="112"/>
    </row>
    <row r="18" spans="1:10" s="88" customFormat="1" ht="16.8" x14ac:dyDescent="0.3">
      <c r="A18" s="89" t="s">
        <v>42</v>
      </c>
      <c r="B18" s="64">
        <v>0</v>
      </c>
      <c r="C18" s="90" t="s">
        <v>24</v>
      </c>
      <c r="D18" s="91">
        <f>IF(C18="Str",'Personal File'!$C$12,IF(C18="Dex",'Personal File'!$C$13,IF(C18="Con",'Personal File'!$C$14,IF(C18="Int",'Personal File'!$C$15,IF(C18="Wis",'Personal File'!$C$16,IF(C18="Cha",'Personal File'!$C$17))))))</f>
        <v>-1</v>
      </c>
      <c r="E18" s="92" t="str">
        <f t="shared" si="0"/>
        <v>Cha (-1)</v>
      </c>
      <c r="F18" s="82" t="s">
        <v>56</v>
      </c>
      <c r="G18" s="82">
        <f t="shared" si="1"/>
        <v>-1</v>
      </c>
      <c r="H18" s="67">
        <f t="shared" ca="1" si="3"/>
        <v>8</v>
      </c>
      <c r="I18" s="82">
        <f t="shared" ca="1" si="2"/>
        <v>7</v>
      </c>
      <c r="J18" s="83"/>
    </row>
    <row r="19" spans="1:10" s="88" customFormat="1" ht="16.8" x14ac:dyDescent="0.3">
      <c r="A19" s="89" t="s">
        <v>10</v>
      </c>
      <c r="B19" s="64">
        <v>0</v>
      </c>
      <c r="C19" s="90" t="s">
        <v>24</v>
      </c>
      <c r="D19" s="91">
        <f>IF(C19="Str",'Personal File'!$C$12,IF(C19="Dex",'Personal File'!$C$13,IF(C19="Con",'Personal File'!$C$14,IF(C19="Int",'Personal File'!$C$15,IF(C19="Wis",'Personal File'!$C$16,IF(C19="Cha",'Personal File'!$C$17))))))</f>
        <v>-1</v>
      </c>
      <c r="E19" s="92" t="str">
        <f t="shared" si="0"/>
        <v>Cha (-1)</v>
      </c>
      <c r="F19" s="82" t="s">
        <v>56</v>
      </c>
      <c r="G19" s="82">
        <f t="shared" si="1"/>
        <v>-1</v>
      </c>
      <c r="H19" s="67">
        <f t="shared" ca="1" si="3"/>
        <v>19</v>
      </c>
      <c r="I19" s="82">
        <f t="shared" ca="1" si="2"/>
        <v>18</v>
      </c>
      <c r="J19" s="83"/>
    </row>
    <row r="20" spans="1:10" s="88" customFormat="1" ht="16.8" x14ac:dyDescent="0.3">
      <c r="A20" s="113" t="s">
        <v>43</v>
      </c>
      <c r="B20" s="64">
        <v>0</v>
      </c>
      <c r="C20" s="114" t="s">
        <v>27</v>
      </c>
      <c r="D20" s="115" t="str">
        <f>IF(C20="Str",'Personal File'!$C$12,IF(C20="Dex",'Personal File'!$C$13,IF(C20="Con",'Personal File'!$C$14,IF(C20="Int",'Personal File'!$C$15,IF(C20="Wis",'Personal File'!$C$16,IF(C20="Cha",'Personal File'!$C$17))))))</f>
        <v>+2</v>
      </c>
      <c r="E20" s="116" t="str">
        <f t="shared" si="0"/>
        <v>Wis (+2)</v>
      </c>
      <c r="F20" s="82" t="s">
        <v>56</v>
      </c>
      <c r="G20" s="82">
        <f t="shared" si="1"/>
        <v>2</v>
      </c>
      <c r="H20" s="67">
        <f t="shared" ca="1" si="3"/>
        <v>4</v>
      </c>
      <c r="I20" s="82">
        <f t="shared" ca="1" si="2"/>
        <v>6</v>
      </c>
      <c r="J20" s="83"/>
    </row>
    <row r="21" spans="1:10" s="88" customFormat="1" ht="16.8" x14ac:dyDescent="0.3">
      <c r="A21" s="392" t="s">
        <v>44</v>
      </c>
      <c r="B21" s="103">
        <v>8</v>
      </c>
      <c r="C21" s="393" t="s">
        <v>28</v>
      </c>
      <c r="D21" s="394" t="str">
        <f>IF(C21="Str",'Personal File'!$C$12,IF(C21="Dex",'Personal File'!$C$13,IF(C21="Con",'Personal File'!$C$14,IF(C21="Int",'Personal File'!$C$15,IF(C21="Wis",'Personal File'!$C$16,IF(C21="Cha",'Personal File'!$C$17))))))</f>
        <v>+6</v>
      </c>
      <c r="E21" s="395" t="str">
        <f t="shared" si="0"/>
        <v>Dex (+6)</v>
      </c>
      <c r="F21" s="104" t="s">
        <v>56</v>
      </c>
      <c r="G21" s="104">
        <f t="shared" si="1"/>
        <v>14</v>
      </c>
      <c r="H21" s="67">
        <f t="shared" ca="1" si="3"/>
        <v>19</v>
      </c>
      <c r="I21" s="104">
        <f t="shared" ca="1" si="2"/>
        <v>33</v>
      </c>
      <c r="J21" s="396"/>
    </row>
    <row r="22" spans="1:10" s="88" customFormat="1" ht="16.8" x14ac:dyDescent="0.3">
      <c r="A22" s="89" t="s">
        <v>45</v>
      </c>
      <c r="B22" s="64">
        <v>0</v>
      </c>
      <c r="C22" s="90" t="s">
        <v>24</v>
      </c>
      <c r="D22" s="91">
        <f>IF(C22="Str",'Personal File'!$C$12,IF(C22="Dex",'Personal File'!$C$13,IF(C22="Con",'Personal File'!$C$14,IF(C22="Int",'Personal File'!$C$15,IF(C22="Wis",'Personal File'!$C$16,IF(C22="Cha",'Personal File'!$C$17))))))</f>
        <v>-1</v>
      </c>
      <c r="E22" s="92" t="str">
        <f t="shared" si="0"/>
        <v>Cha (-1)</v>
      </c>
      <c r="F22" s="82" t="s">
        <v>56</v>
      </c>
      <c r="G22" s="82">
        <f t="shared" si="1"/>
        <v>-1</v>
      </c>
      <c r="H22" s="67">
        <f t="shared" ca="1" si="3"/>
        <v>15</v>
      </c>
      <c r="I22" s="82">
        <f t="shared" ca="1" si="2"/>
        <v>14</v>
      </c>
      <c r="J22" s="83"/>
    </row>
    <row r="23" spans="1:10" s="88" customFormat="1" ht="16.8" x14ac:dyDescent="0.3">
      <c r="A23" s="397" t="s">
        <v>46</v>
      </c>
      <c r="B23" s="103">
        <v>4</v>
      </c>
      <c r="C23" s="398" t="s">
        <v>29</v>
      </c>
      <c r="D23" s="399" t="str">
        <f>IF(C23="Str",'Personal File'!$C$12,IF(C23="Dex",'Personal File'!$C$13,IF(C23="Con",'Personal File'!$C$14,IF(C23="Int",'Personal File'!$C$15,IF(C23="Wis",'Personal File'!$C$16,IF(C23="Cha",'Personal File'!$C$17))))))</f>
        <v>+2</v>
      </c>
      <c r="E23" s="400" t="str">
        <f t="shared" si="0"/>
        <v>Str (+2)</v>
      </c>
      <c r="F23" s="104" t="s">
        <v>56</v>
      </c>
      <c r="G23" s="104">
        <f t="shared" si="1"/>
        <v>6</v>
      </c>
      <c r="H23" s="67">
        <f t="shared" ca="1" si="3"/>
        <v>8</v>
      </c>
      <c r="I23" s="104">
        <f t="shared" ca="1" si="2"/>
        <v>14</v>
      </c>
      <c r="J23" s="396"/>
    </row>
    <row r="24" spans="1:10" s="88" customFormat="1" ht="16.8" x14ac:dyDescent="0.3">
      <c r="A24" s="406" t="s">
        <v>134</v>
      </c>
      <c r="B24" s="336">
        <v>0</v>
      </c>
      <c r="C24" s="407" t="s">
        <v>26</v>
      </c>
      <c r="D24" s="408" t="str">
        <f>IF(C24="Str",'Personal File'!$C$12,IF(C24="Dex",'Personal File'!$C$13,IF(C24="Con",'Personal File'!$C$14,IF(C24="Int",'Personal File'!$C$15,IF(C24="Wis",'Personal File'!$C$16,IF(C24="Cha",'Personal File'!$C$17))))))</f>
        <v>+0</v>
      </c>
      <c r="E24" s="409" t="str">
        <f t="shared" si="0"/>
        <v>Int (+0)</v>
      </c>
      <c r="F24" s="410" t="s">
        <v>56</v>
      </c>
      <c r="G24" s="410">
        <f t="shared" si="1"/>
        <v>0</v>
      </c>
      <c r="H24" s="67">
        <f t="shared" ca="1" si="3"/>
        <v>3</v>
      </c>
      <c r="I24" s="410">
        <f t="shared" ca="1" si="2"/>
        <v>3</v>
      </c>
      <c r="J24" s="413"/>
    </row>
    <row r="25" spans="1:10" s="88" customFormat="1" ht="16.8" x14ac:dyDescent="0.3">
      <c r="A25" s="406" t="s">
        <v>146</v>
      </c>
      <c r="B25" s="336">
        <v>0</v>
      </c>
      <c r="C25" s="407" t="s">
        <v>26</v>
      </c>
      <c r="D25" s="408" t="str">
        <f>IF(C25="Str",'Personal File'!$C$12,IF(C25="Dex",'Personal File'!$C$13,IF(C25="Con",'Personal File'!$C$14,IF(C25="Int",'Personal File'!$C$15,IF(C25="Wis",'Personal File'!$C$16,IF(C25="Cha",'Personal File'!$C$17))))))</f>
        <v>+0</v>
      </c>
      <c r="E25" s="409" t="str">
        <f t="shared" si="0"/>
        <v>Int (+0)</v>
      </c>
      <c r="F25" s="410" t="s">
        <v>56</v>
      </c>
      <c r="G25" s="410">
        <f t="shared" si="1"/>
        <v>0</v>
      </c>
      <c r="H25" s="67">
        <f t="shared" ca="1" si="3"/>
        <v>4</v>
      </c>
      <c r="I25" s="410">
        <f t="shared" ca="1" si="2"/>
        <v>4</v>
      </c>
      <c r="J25" s="413"/>
    </row>
    <row r="26" spans="1:10" s="88" customFormat="1" ht="16.8" x14ac:dyDescent="0.3">
      <c r="A26" s="406" t="s">
        <v>148</v>
      </c>
      <c r="B26" s="336">
        <v>0</v>
      </c>
      <c r="C26" s="407" t="s">
        <v>26</v>
      </c>
      <c r="D26" s="408" t="str">
        <f>IF(C26="Str",'Personal File'!$C$12,IF(C26="Dex",'Personal File'!$C$13,IF(C26="Con",'Personal File'!$C$14,IF(C26="Int",'Personal File'!$C$15,IF(C26="Wis",'Personal File'!$C$16,IF(C26="Cha",'Personal File'!$C$17))))))</f>
        <v>+0</v>
      </c>
      <c r="E26" s="409" t="str">
        <f t="shared" si="0"/>
        <v>Int (+0)</v>
      </c>
      <c r="F26" s="410" t="s">
        <v>56</v>
      </c>
      <c r="G26" s="410">
        <f t="shared" si="1"/>
        <v>0</v>
      </c>
      <c r="H26" s="67">
        <f t="shared" ca="1" si="3"/>
        <v>14</v>
      </c>
      <c r="I26" s="410">
        <f t="shared" ca="1" si="2"/>
        <v>14</v>
      </c>
      <c r="J26" s="413"/>
    </row>
    <row r="27" spans="1:10" s="88" customFormat="1" ht="16.8" x14ac:dyDescent="0.3">
      <c r="A27" s="406" t="s">
        <v>144</v>
      </c>
      <c r="B27" s="336">
        <v>0</v>
      </c>
      <c r="C27" s="407" t="s">
        <v>26</v>
      </c>
      <c r="D27" s="408" t="str">
        <f>IF(C27="Str",'Personal File'!$C$12,IF(C27="Dex",'Personal File'!$C$13,IF(C27="Con",'Personal File'!$C$14,IF(C27="Int",'Personal File'!$C$15,IF(C27="Wis",'Personal File'!$C$16,IF(C27="Cha",'Personal File'!$C$17))))))</f>
        <v>+0</v>
      </c>
      <c r="E27" s="409" t="str">
        <f t="shared" si="0"/>
        <v>Int (+0)</v>
      </c>
      <c r="F27" s="410" t="s">
        <v>56</v>
      </c>
      <c r="G27" s="410">
        <f t="shared" si="1"/>
        <v>0</v>
      </c>
      <c r="H27" s="67">
        <f t="shared" ca="1" si="3"/>
        <v>6</v>
      </c>
      <c r="I27" s="410">
        <f t="shared" ca="1" si="2"/>
        <v>6</v>
      </c>
      <c r="J27" s="413"/>
    </row>
    <row r="28" spans="1:10" s="88" customFormat="1" ht="16.8" x14ac:dyDescent="0.3">
      <c r="A28" s="406" t="s">
        <v>147</v>
      </c>
      <c r="B28" s="336">
        <v>0</v>
      </c>
      <c r="C28" s="407" t="s">
        <v>26</v>
      </c>
      <c r="D28" s="408" t="str">
        <f>IF(C28="Str",'Personal File'!$C$12,IF(C28="Dex",'Personal File'!$C$13,IF(C28="Con",'Personal File'!$C$14,IF(C28="Int",'Personal File'!$C$15,IF(C28="Wis",'Personal File'!$C$16,IF(C28="Cha",'Personal File'!$C$17))))))</f>
        <v>+0</v>
      </c>
      <c r="E28" s="409" t="str">
        <f t="shared" si="0"/>
        <v>Int (+0)</v>
      </c>
      <c r="F28" s="410" t="s">
        <v>56</v>
      </c>
      <c r="G28" s="410">
        <f t="shared" si="1"/>
        <v>0</v>
      </c>
      <c r="H28" s="67">
        <f t="shared" ca="1" si="3"/>
        <v>1</v>
      </c>
      <c r="I28" s="410">
        <f t="shared" ca="1" si="2"/>
        <v>1</v>
      </c>
      <c r="J28" s="413"/>
    </row>
    <row r="29" spans="1:10" s="88" customFormat="1" ht="16.8" x14ac:dyDescent="0.3">
      <c r="A29" s="406" t="s">
        <v>145</v>
      </c>
      <c r="B29" s="336">
        <v>0</v>
      </c>
      <c r="C29" s="407" t="s">
        <v>26</v>
      </c>
      <c r="D29" s="408" t="str">
        <f>IF(C29="Str",'Personal File'!$C$12,IF(C29="Dex",'Personal File'!$C$13,IF(C29="Con",'Personal File'!$C$14,IF(C29="Int",'Personal File'!$C$15,IF(C29="Wis",'Personal File'!$C$16,IF(C29="Cha",'Personal File'!$C$17))))))</f>
        <v>+0</v>
      </c>
      <c r="E29" s="409" t="str">
        <f t="shared" si="0"/>
        <v>Int (+0)</v>
      </c>
      <c r="F29" s="410" t="s">
        <v>56</v>
      </c>
      <c r="G29" s="410">
        <f t="shared" si="1"/>
        <v>0</v>
      </c>
      <c r="H29" s="67">
        <f t="shared" ca="1" si="3"/>
        <v>15</v>
      </c>
      <c r="I29" s="410">
        <f t="shared" ca="1" si="2"/>
        <v>15</v>
      </c>
      <c r="J29" s="413"/>
    </row>
    <row r="30" spans="1:10" s="88" customFormat="1" ht="16.8" x14ac:dyDescent="0.3">
      <c r="A30" s="406" t="s">
        <v>131</v>
      </c>
      <c r="B30" s="336">
        <v>0</v>
      </c>
      <c r="C30" s="407" t="s">
        <v>26</v>
      </c>
      <c r="D30" s="408" t="str">
        <f>IF(C30="Str",'Personal File'!$C$12,IF(C30="Dex",'Personal File'!$C$13,IF(C30="Con",'Personal File'!$C$14,IF(C30="Int",'Personal File'!$C$15,IF(C30="Wis",'Personal File'!$C$16,IF(C30="Cha",'Personal File'!$C$17))))))</f>
        <v>+0</v>
      </c>
      <c r="E30" s="409" t="str">
        <f t="shared" si="0"/>
        <v>Int (+0)</v>
      </c>
      <c r="F30" s="410" t="s">
        <v>56</v>
      </c>
      <c r="G30" s="410">
        <f t="shared" si="1"/>
        <v>0</v>
      </c>
      <c r="H30" s="67">
        <f t="shared" ca="1" si="3"/>
        <v>1</v>
      </c>
      <c r="I30" s="410">
        <f t="shared" ca="1" si="2"/>
        <v>1</v>
      </c>
      <c r="J30" s="413"/>
    </row>
    <row r="31" spans="1:10" s="88" customFormat="1" ht="16.8" x14ac:dyDescent="0.3">
      <c r="A31" s="406" t="s">
        <v>135</v>
      </c>
      <c r="B31" s="336">
        <v>0</v>
      </c>
      <c r="C31" s="407" t="s">
        <v>26</v>
      </c>
      <c r="D31" s="408" t="str">
        <f>IF(C31="Str",'Personal File'!$C$12,IF(C31="Dex",'Personal File'!$C$13,IF(C31="Con",'Personal File'!$C$14,IF(C31="Int",'Personal File'!$C$15,IF(C31="Wis",'Personal File'!$C$16,IF(C31="Cha",'Personal File'!$C$17))))))</f>
        <v>+0</v>
      </c>
      <c r="E31" s="409" t="str">
        <f t="shared" si="0"/>
        <v>Int (+0)</v>
      </c>
      <c r="F31" s="410" t="s">
        <v>56</v>
      </c>
      <c r="G31" s="410">
        <f t="shared" si="1"/>
        <v>0</v>
      </c>
      <c r="H31" s="67">
        <f t="shared" ca="1" si="3"/>
        <v>2</v>
      </c>
      <c r="I31" s="410">
        <f t="shared" ca="1" si="2"/>
        <v>2</v>
      </c>
      <c r="J31" s="413"/>
    </row>
    <row r="32" spans="1:10" s="88" customFormat="1" ht="16.8" x14ac:dyDescent="0.3">
      <c r="A32" s="401" t="s">
        <v>47</v>
      </c>
      <c r="B32" s="103">
        <v>6</v>
      </c>
      <c r="C32" s="402" t="s">
        <v>27</v>
      </c>
      <c r="D32" s="403" t="str">
        <f>IF(C32="Str",'Personal File'!$C$12,IF(C32="Dex",'Personal File'!$C$13,IF(C32="Con",'Personal File'!$C$14,IF(C32="Int",'Personal File'!$C$15,IF(C32="Wis",'Personal File'!$C$16,IF(C32="Cha",'Personal File'!$C$17))))))</f>
        <v>+2</v>
      </c>
      <c r="E32" s="404" t="str">
        <f t="shared" si="0"/>
        <v>Wis (+2)</v>
      </c>
      <c r="F32" s="104" t="s">
        <v>56</v>
      </c>
      <c r="G32" s="104">
        <f t="shared" si="1"/>
        <v>8</v>
      </c>
      <c r="H32" s="67">
        <f t="shared" ca="1" si="3"/>
        <v>8</v>
      </c>
      <c r="I32" s="104">
        <f t="shared" ca="1" si="2"/>
        <v>16</v>
      </c>
      <c r="J32" s="396"/>
    </row>
    <row r="33" spans="1:10" s="88" customFormat="1" ht="16.8" x14ac:dyDescent="0.3">
      <c r="A33" s="392" t="s">
        <v>11</v>
      </c>
      <c r="B33" s="103">
        <v>8</v>
      </c>
      <c r="C33" s="393" t="s">
        <v>28</v>
      </c>
      <c r="D33" s="394" t="str">
        <f>IF(C33="Str",'Personal File'!$C$12,IF(C33="Dex",'Personal File'!$C$13,IF(C33="Con",'Personal File'!$C$14,IF(C33="Int",'Personal File'!$C$15,IF(C33="Wis",'Personal File'!$C$16,IF(C33="Cha",'Personal File'!$C$17))))))</f>
        <v>+6</v>
      </c>
      <c r="E33" s="395" t="str">
        <f t="shared" si="0"/>
        <v>Dex (+6)</v>
      </c>
      <c r="F33" s="104" t="s">
        <v>56</v>
      </c>
      <c r="G33" s="104">
        <f t="shared" si="1"/>
        <v>14</v>
      </c>
      <c r="H33" s="67">
        <f t="shared" ca="1" si="3"/>
        <v>2</v>
      </c>
      <c r="I33" s="104">
        <f t="shared" ca="1" si="2"/>
        <v>16</v>
      </c>
      <c r="J33" s="396"/>
    </row>
    <row r="34" spans="1:10" s="88" customFormat="1" ht="16.8" x14ac:dyDescent="0.3">
      <c r="A34" s="117" t="s">
        <v>48</v>
      </c>
      <c r="B34" s="96">
        <v>0</v>
      </c>
      <c r="C34" s="118" t="s">
        <v>28</v>
      </c>
      <c r="D34" s="119" t="str">
        <f>IF(C34="Str",'Personal File'!$C$12,IF(C34="Dex",'Personal File'!$C$13,IF(C34="Con",'Personal File'!$C$14,IF(C34="Int",'Personal File'!$C$15,IF(C34="Wis",'Personal File'!$C$16,IF(C34="Cha",'Personal File'!$C$17))))))</f>
        <v>+6</v>
      </c>
      <c r="E34" s="120" t="str">
        <f t="shared" si="0"/>
        <v>Dex (+6)</v>
      </c>
      <c r="F34" s="100" t="s">
        <v>56</v>
      </c>
      <c r="G34" s="100">
        <f t="shared" si="1"/>
        <v>6</v>
      </c>
      <c r="H34" s="67">
        <f t="shared" ca="1" si="3"/>
        <v>14</v>
      </c>
      <c r="I34" s="100">
        <f t="shared" ca="1" si="2"/>
        <v>20</v>
      </c>
      <c r="J34" s="101"/>
    </row>
    <row r="35" spans="1:10" ht="16.8" x14ac:dyDescent="0.3">
      <c r="A35" s="89" t="s">
        <v>133</v>
      </c>
      <c r="B35" s="64">
        <v>0</v>
      </c>
      <c r="C35" s="90" t="s">
        <v>24</v>
      </c>
      <c r="D35" s="91">
        <f>IF(C35="Str",'Personal File'!$C$12,IF(C35="Dex",'Personal File'!$C$13,IF(C35="Con",'Personal File'!$C$14,IF(C35="Int",'Personal File'!$C$15,IF(C35="Wis",'Personal File'!$C$16,IF(C35="Cha",'Personal File'!$C$17))))))</f>
        <v>-1</v>
      </c>
      <c r="E35" s="92" t="str">
        <f t="shared" si="0"/>
        <v>Cha (-1)</v>
      </c>
      <c r="F35" s="82" t="s">
        <v>56</v>
      </c>
      <c r="G35" s="82">
        <f t="shared" si="1"/>
        <v>-1</v>
      </c>
      <c r="H35" s="67">
        <f t="shared" ca="1" si="3"/>
        <v>6</v>
      </c>
      <c r="I35" s="82">
        <f t="shared" ca="1" si="2"/>
        <v>5</v>
      </c>
      <c r="J35" s="83"/>
    </row>
    <row r="36" spans="1:10" ht="16.8" x14ac:dyDescent="0.3">
      <c r="A36" s="89" t="s">
        <v>160</v>
      </c>
      <c r="B36" s="64">
        <v>0</v>
      </c>
      <c r="C36" s="114" t="s">
        <v>27</v>
      </c>
      <c r="D36" s="115" t="str">
        <f>IF(C36="Str",'Personal File'!$C$12,IF(C36="Dex",'Personal File'!$C$13,IF(C36="Con",'Personal File'!$C$14,IF(C36="Int",'Personal File'!$C$15,IF(C36="Wis",'Personal File'!$C$16,IF(C36="Cha",'Personal File'!$C$17))))))</f>
        <v>+2</v>
      </c>
      <c r="E36" s="116" t="str">
        <f t="shared" si="0"/>
        <v>Wis (+2)</v>
      </c>
      <c r="F36" s="82" t="s">
        <v>56</v>
      </c>
      <c r="G36" s="82">
        <f t="shared" si="1"/>
        <v>2</v>
      </c>
      <c r="H36" s="67">
        <f t="shared" ca="1" si="3"/>
        <v>3</v>
      </c>
      <c r="I36" s="82">
        <f t="shared" ca="1" si="2"/>
        <v>5</v>
      </c>
      <c r="J36" s="83"/>
    </row>
    <row r="37" spans="1:10" ht="16.8" x14ac:dyDescent="0.3">
      <c r="A37" s="85" t="s">
        <v>12</v>
      </c>
      <c r="B37" s="64">
        <v>0</v>
      </c>
      <c r="C37" s="86" t="s">
        <v>28</v>
      </c>
      <c r="D37" s="87" t="str">
        <f>IF(C37="Str",'Personal File'!$C$12,IF(C37="Dex",'Personal File'!$C$13,IF(C37="Con",'Personal File'!$C$14,IF(C37="Int",'Personal File'!$C$15,IF(C37="Wis",'Personal File'!$C$16,IF(C37="Cha",'Personal File'!$C$17))))))</f>
        <v>+6</v>
      </c>
      <c r="E37" s="70" t="str">
        <f t="shared" si="0"/>
        <v>Dex (+6)</v>
      </c>
      <c r="F37" s="82" t="s">
        <v>56</v>
      </c>
      <c r="G37" s="82">
        <f t="shared" si="1"/>
        <v>6</v>
      </c>
      <c r="H37" s="67">
        <f t="shared" ca="1" si="3"/>
        <v>16</v>
      </c>
      <c r="I37" s="82">
        <f t="shared" ca="1" si="2"/>
        <v>22</v>
      </c>
      <c r="J37" s="83"/>
    </row>
    <row r="38" spans="1:10" ht="16.8" x14ac:dyDescent="0.3">
      <c r="A38" s="420" t="s">
        <v>13</v>
      </c>
      <c r="B38" s="103">
        <v>6</v>
      </c>
      <c r="C38" s="421" t="s">
        <v>26</v>
      </c>
      <c r="D38" s="422" t="str">
        <f>IF(C38="Str",'Personal File'!$C$12,IF(C38="Dex",'Personal File'!$C$13,IF(C38="Con",'Personal File'!$C$14,IF(C38="Int",'Personal File'!$C$15,IF(C38="Wis",'Personal File'!$C$16,IF(C38="Cha",'Personal File'!$C$17))))))</f>
        <v>+0</v>
      </c>
      <c r="E38" s="423" t="str">
        <f t="shared" si="0"/>
        <v>Int (+0)</v>
      </c>
      <c r="F38" s="104" t="s">
        <v>56</v>
      </c>
      <c r="G38" s="104">
        <f t="shared" si="1"/>
        <v>6</v>
      </c>
      <c r="H38" s="67">
        <f t="shared" ca="1" si="3"/>
        <v>5</v>
      </c>
      <c r="I38" s="104">
        <f t="shared" ca="1" si="2"/>
        <v>11</v>
      </c>
      <c r="J38" s="396"/>
    </row>
    <row r="39" spans="1:10" ht="16.8" x14ac:dyDescent="0.3">
      <c r="A39" s="113" t="s">
        <v>49</v>
      </c>
      <c r="B39" s="64">
        <v>0</v>
      </c>
      <c r="C39" s="114" t="s">
        <v>27</v>
      </c>
      <c r="D39" s="115" t="str">
        <f>IF(C39="Str",'Personal File'!$C$12,IF(C39="Dex",'Personal File'!$C$13,IF(C39="Con",'Personal File'!$C$14,IF(C39="Int",'Personal File'!$C$15,IF(C39="Wis",'Personal File'!$C$16,IF(C39="Cha",'Personal File'!$C$17))))))</f>
        <v>+2</v>
      </c>
      <c r="E39" s="116" t="str">
        <f t="shared" si="0"/>
        <v>Wis (+2)</v>
      </c>
      <c r="F39" s="82" t="s">
        <v>56</v>
      </c>
      <c r="G39" s="82">
        <f t="shared" si="1"/>
        <v>2</v>
      </c>
      <c r="H39" s="67">
        <f t="shared" ca="1" si="3"/>
        <v>5</v>
      </c>
      <c r="I39" s="82">
        <f t="shared" ca="1" si="2"/>
        <v>7</v>
      </c>
      <c r="J39" s="83"/>
    </row>
    <row r="40" spans="1:10" ht="16.8" x14ac:dyDescent="0.3">
      <c r="A40" s="117" t="s">
        <v>95</v>
      </c>
      <c r="B40" s="96">
        <v>0</v>
      </c>
      <c r="C40" s="118" t="s">
        <v>28</v>
      </c>
      <c r="D40" s="119" t="str">
        <f>IF(C40="Str",'Personal File'!$C$12,IF(C40="Dex",'Personal File'!$C$13,IF(C40="Con",'Personal File'!$C$14,IF(C40="Int",'Personal File'!$C$15,IF(C40="Wis",'Personal File'!$C$16,IF(C40="Cha",'Personal File'!$C$17))))))</f>
        <v>+6</v>
      </c>
      <c r="E40" s="120" t="str">
        <f t="shared" si="0"/>
        <v>Dex (+6)</v>
      </c>
      <c r="F40" s="100" t="s">
        <v>56</v>
      </c>
      <c r="G40" s="100">
        <f t="shared" si="1"/>
        <v>6</v>
      </c>
      <c r="H40" s="67">
        <f t="shared" ca="1" si="3"/>
        <v>5</v>
      </c>
      <c r="I40" s="100">
        <f t="shared" ca="1" si="2"/>
        <v>11</v>
      </c>
      <c r="J40" s="101"/>
    </row>
    <row r="41" spans="1:10" ht="16.8" x14ac:dyDescent="0.3">
      <c r="A41" s="406" t="s">
        <v>277</v>
      </c>
      <c r="B41" s="336">
        <v>0</v>
      </c>
      <c r="C41" s="407" t="s">
        <v>26</v>
      </c>
      <c r="D41" s="408" t="str">
        <f>IF(C41="Str",'Personal File'!$C$12,IF(C41="Dex",'Personal File'!$C$13,IF(C41="Con",'Personal File'!$C$14,IF(C41="Int",'Personal File'!$C$15,IF(C41="Wis",'Personal File'!$C$16,IF(C41="Cha",'Personal File'!$C$17))))))</f>
        <v>+0</v>
      </c>
      <c r="E41" s="409" t="str">
        <f t="shared" ref="E41" si="4">CONCATENATE(C41," (",D41,")")</f>
        <v>Int (+0)</v>
      </c>
      <c r="F41" s="410" t="s">
        <v>56</v>
      </c>
      <c r="G41" s="411">
        <f t="shared" ref="G41" si="5">B41+D41+F41</f>
        <v>0</v>
      </c>
      <c r="H41" s="67">
        <f t="shared" ca="1" si="3"/>
        <v>14</v>
      </c>
      <c r="I41" s="411">
        <f t="shared" ref="I41" ca="1" si="6">SUM(G41:H41)</f>
        <v>14</v>
      </c>
      <c r="J41" s="412"/>
    </row>
    <row r="42" spans="1:10" ht="16.8" x14ac:dyDescent="0.3">
      <c r="A42" s="406" t="s">
        <v>50</v>
      </c>
      <c r="B42" s="336">
        <v>0</v>
      </c>
      <c r="C42" s="407" t="s">
        <v>26</v>
      </c>
      <c r="D42" s="408" t="str">
        <f>IF(C42="Str",'Personal File'!$C$12,IF(C42="Dex",'Personal File'!$C$13,IF(C42="Con",'Personal File'!$C$14,IF(C42="Int",'Personal File'!$C$15,IF(C42="Wis",'Personal File'!$C$16,IF(C42="Cha",'Personal File'!$C$17))))))</f>
        <v>+0</v>
      </c>
      <c r="E42" s="409" t="str">
        <f t="shared" ref="E42:E48" si="7">CONCATENATE(C42," (",D42,")")</f>
        <v>Int (+0)</v>
      </c>
      <c r="F42" s="410" t="s">
        <v>56</v>
      </c>
      <c r="G42" s="410">
        <f t="shared" ref="G42:G48" si="8">B42+D42+F42</f>
        <v>0</v>
      </c>
      <c r="H42" s="67">
        <f t="shared" ca="1" si="3"/>
        <v>4</v>
      </c>
      <c r="I42" s="410">
        <f t="shared" ref="I42:I48" ca="1" si="9">SUM(G42:H42)</f>
        <v>4</v>
      </c>
      <c r="J42" s="412"/>
    </row>
    <row r="43" spans="1:10" ht="16.8" x14ac:dyDescent="0.3">
      <c r="A43" s="401" t="s">
        <v>51</v>
      </c>
      <c r="B43" s="103">
        <v>8</v>
      </c>
      <c r="C43" s="402" t="s">
        <v>27</v>
      </c>
      <c r="D43" s="403" t="str">
        <f>IF(C43="Str",'Personal File'!$C$12,IF(C43="Dex",'Personal File'!$C$13,IF(C43="Con",'Personal File'!$C$14,IF(C43="Int",'Personal File'!$C$15,IF(C43="Wis",'Personal File'!$C$16,IF(C43="Cha",'Personal File'!$C$17))))))</f>
        <v>+2</v>
      </c>
      <c r="E43" s="404" t="str">
        <f t="shared" si="7"/>
        <v>Wis (+2)</v>
      </c>
      <c r="F43" s="405">
        <f>2+2</f>
        <v>4</v>
      </c>
      <c r="G43" s="104">
        <f t="shared" si="8"/>
        <v>14</v>
      </c>
      <c r="H43" s="67">
        <f t="shared" ca="1" si="3"/>
        <v>11</v>
      </c>
      <c r="I43" s="104">
        <f t="shared" ca="1" si="9"/>
        <v>25</v>
      </c>
      <c r="J43" s="396"/>
    </row>
    <row r="44" spans="1:10" ht="16.8" x14ac:dyDescent="0.3">
      <c r="A44" s="401" t="s">
        <v>96</v>
      </c>
      <c r="B44" s="103">
        <v>8</v>
      </c>
      <c r="C44" s="402" t="s">
        <v>27</v>
      </c>
      <c r="D44" s="403" t="str">
        <f>IF(C44="Str",'Personal File'!$C$12,IF(C44="Dex",'Personal File'!$C$13,IF(C44="Con",'Personal File'!$C$14,IF(C44="Int",'Personal File'!$C$15,IF(C44="Wis",'Personal File'!$C$16,IF(C44="Cha",'Personal File'!$C$17))))))</f>
        <v>+2</v>
      </c>
      <c r="E44" s="404" t="str">
        <f t="shared" si="7"/>
        <v>Wis (+2)</v>
      </c>
      <c r="F44" s="104" t="s">
        <v>56</v>
      </c>
      <c r="G44" s="104">
        <f t="shared" si="8"/>
        <v>10</v>
      </c>
      <c r="H44" s="67">
        <f t="shared" ca="1" si="3"/>
        <v>11</v>
      </c>
      <c r="I44" s="104">
        <f t="shared" ca="1" si="9"/>
        <v>21</v>
      </c>
      <c r="J44" s="396"/>
    </row>
    <row r="45" spans="1:10" ht="16.8" x14ac:dyDescent="0.3">
      <c r="A45" s="397" t="s">
        <v>14</v>
      </c>
      <c r="B45" s="103">
        <v>4</v>
      </c>
      <c r="C45" s="398" t="s">
        <v>29</v>
      </c>
      <c r="D45" s="399" t="str">
        <f>IF(C45="Str",'Personal File'!$C$12,IF(C45="Dex",'Personal File'!$C$13,IF(C45="Con",'Personal File'!$C$14,IF(C45="Int",'Personal File'!$C$15,IF(C45="Wis",'Personal File'!$C$16,IF(C45="Cha",'Personal File'!$C$17))))))</f>
        <v>+2</v>
      </c>
      <c r="E45" s="400" t="str">
        <f t="shared" si="7"/>
        <v>Str (+2)</v>
      </c>
      <c r="F45" s="104" t="s">
        <v>56</v>
      </c>
      <c r="G45" s="104">
        <f t="shared" si="8"/>
        <v>6</v>
      </c>
      <c r="H45" s="67">
        <f t="shared" ca="1" si="3"/>
        <v>1</v>
      </c>
      <c r="I45" s="104">
        <f t="shared" ca="1" si="9"/>
        <v>7</v>
      </c>
      <c r="J45" s="105"/>
    </row>
    <row r="46" spans="1:10" ht="16.8" x14ac:dyDescent="0.3">
      <c r="A46" s="121" t="s">
        <v>52</v>
      </c>
      <c r="B46" s="122">
        <v>0</v>
      </c>
      <c r="C46" s="123" t="s">
        <v>28</v>
      </c>
      <c r="D46" s="124" t="str">
        <f>IF(C46="Str",'Personal File'!$C$12,IF(C46="Dex",'Personal File'!$C$13,IF(C46="Con",'Personal File'!$C$14,IF(C46="Int",'Personal File'!$C$15,IF(C46="Wis",'Personal File'!$C$16,IF(C46="Cha",'Personal File'!$C$17))))))</f>
        <v>+6</v>
      </c>
      <c r="E46" s="125" t="str">
        <f t="shared" si="7"/>
        <v>Dex (+6)</v>
      </c>
      <c r="F46" s="100" t="s">
        <v>56</v>
      </c>
      <c r="G46" s="100">
        <f t="shared" si="8"/>
        <v>6</v>
      </c>
      <c r="H46" s="67">
        <f t="shared" ca="1" si="3"/>
        <v>18</v>
      </c>
      <c r="I46" s="100">
        <f t="shared" ca="1" si="9"/>
        <v>24</v>
      </c>
      <c r="J46" s="126"/>
    </row>
    <row r="47" spans="1:10" ht="16.8" x14ac:dyDescent="0.3">
      <c r="A47" s="127" t="s">
        <v>53</v>
      </c>
      <c r="B47" s="96">
        <v>0</v>
      </c>
      <c r="C47" s="128" t="s">
        <v>24</v>
      </c>
      <c r="D47" s="129">
        <f>IF(C47="Str",'Personal File'!$C$12,IF(C47="Dex",'Personal File'!$C$13,IF(C47="Con",'Personal File'!$C$14,IF(C47="Int",'Personal File'!$C$15,IF(C47="Wis",'Personal File'!$C$16,IF(C47="Cha",'Personal File'!$C$17))))))</f>
        <v>-1</v>
      </c>
      <c r="E47" s="130" t="str">
        <f t="shared" si="7"/>
        <v>Cha (-1)</v>
      </c>
      <c r="F47" s="100" t="s">
        <v>56</v>
      </c>
      <c r="G47" s="100">
        <f t="shared" si="8"/>
        <v>-1</v>
      </c>
      <c r="H47" s="67">
        <f t="shared" ca="1" si="3"/>
        <v>13</v>
      </c>
      <c r="I47" s="100">
        <f t="shared" ca="1" si="9"/>
        <v>12</v>
      </c>
      <c r="J47" s="101"/>
    </row>
    <row r="48" spans="1:10" ht="17.399999999999999" thickBot="1" x14ac:dyDescent="0.35">
      <c r="A48" s="131" t="s">
        <v>54</v>
      </c>
      <c r="B48" s="132">
        <v>0</v>
      </c>
      <c r="C48" s="133" t="s">
        <v>28</v>
      </c>
      <c r="D48" s="134" t="str">
        <f>IF(C48="Str",'Personal File'!$C$12,IF(C48="Dex",'Personal File'!$C$13,IF(C48="Con",'Personal File'!$C$14,IF(C48="Int",'Personal File'!$C$15,IF(C48="Wis",'Personal File'!$C$16,IF(C48="Cha",'Personal File'!$C$17))))))</f>
        <v>+6</v>
      </c>
      <c r="E48" s="135" t="str">
        <f t="shared" si="7"/>
        <v>Dex (+6)</v>
      </c>
      <c r="F48" s="136" t="s">
        <v>56</v>
      </c>
      <c r="G48" s="136">
        <f t="shared" si="8"/>
        <v>6</v>
      </c>
      <c r="H48" s="137">
        <f ca="1">RANDBETWEEN(1,20)</f>
        <v>11</v>
      </c>
      <c r="I48" s="136">
        <f t="shared" ca="1" si="9"/>
        <v>17</v>
      </c>
      <c r="J48" s="138"/>
    </row>
    <row r="49" spans="2:6" ht="16.2" thickTop="1" x14ac:dyDescent="0.3">
      <c r="B49" s="139">
        <f>SUM(B6:B48)</f>
        <v>64</v>
      </c>
      <c r="E49" s="255">
        <f>SUM(E50:E56)</f>
        <v>64</v>
      </c>
      <c r="F49" s="140" t="s">
        <v>57</v>
      </c>
    </row>
    <row r="50" spans="2:6" x14ac:dyDescent="0.3">
      <c r="B50" s="139"/>
      <c r="E50" s="344">
        <f>4*(6+'Personal File'!$C$15+1)</f>
        <v>28</v>
      </c>
      <c r="F50" s="141" t="s">
        <v>252</v>
      </c>
    </row>
    <row r="51" spans="2:6" x14ac:dyDescent="0.3">
      <c r="E51" s="344">
        <f>6+'Personal File'!$C$15+1</f>
        <v>7</v>
      </c>
      <c r="F51" s="141" t="s">
        <v>253</v>
      </c>
    </row>
    <row r="52" spans="2:6" x14ac:dyDescent="0.3">
      <c r="E52" s="344">
        <f>6+'Personal File'!$C$15+1</f>
        <v>7</v>
      </c>
      <c r="F52" s="141" t="s">
        <v>197</v>
      </c>
    </row>
    <row r="53" spans="2:6" x14ac:dyDescent="0.3">
      <c r="E53" s="344">
        <f>6+'Personal File'!$C$15+1</f>
        <v>7</v>
      </c>
      <c r="F53" s="141" t="s">
        <v>198</v>
      </c>
    </row>
    <row r="54" spans="2:6" x14ac:dyDescent="0.3">
      <c r="E54" s="344">
        <f>6+'Personal File'!$C$15+1</f>
        <v>7</v>
      </c>
      <c r="F54" s="141" t="s">
        <v>254</v>
      </c>
    </row>
    <row r="55" spans="2:6" x14ac:dyDescent="0.3">
      <c r="E55" s="344">
        <f>3+SUM('Personal File'!E3:E6)</f>
        <v>8</v>
      </c>
      <c r="F55" s="141" t="s">
        <v>194</v>
      </c>
    </row>
  </sheetData>
  <sortState xmlns:xlrd2="http://schemas.microsoft.com/office/spreadsheetml/2017/richdata2" ref="A3:J48">
    <sortCondition ref="A3:A4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showGridLines="0" zoomScaleNormal="100" workbookViewId="0"/>
  </sheetViews>
  <sheetFormatPr defaultColWidth="13" defaultRowHeight="15.6" x14ac:dyDescent="0.3"/>
  <cols>
    <col min="1" max="1" width="22.69921875" style="290" bestFit="1" customWidth="1"/>
    <col min="2" max="2" width="6.19921875" style="290" bestFit="1" customWidth="1"/>
    <col min="3" max="3" width="13.59765625" style="291" bestFit="1" customWidth="1"/>
    <col min="4" max="4" width="12.69921875" style="291" bestFit="1" customWidth="1"/>
    <col min="5" max="5" width="10" style="291" bestFit="1" customWidth="1"/>
    <col min="6" max="6" width="13.19921875" style="291" bestFit="1" customWidth="1"/>
    <col min="7" max="7" width="9.796875" style="290" bestFit="1" customWidth="1"/>
    <col min="8" max="8" width="22.296875" style="282" bestFit="1" customWidth="1"/>
    <col min="9" max="9" width="5.5" style="282" bestFit="1" customWidth="1"/>
    <col min="10" max="16384" width="13" style="282"/>
  </cols>
  <sheetData>
    <row r="1" spans="1:9" ht="23.4" thickBot="1" x14ac:dyDescent="0.35">
      <c r="A1" s="377" t="s">
        <v>312</v>
      </c>
      <c r="B1" s="281"/>
      <c r="C1" s="281"/>
      <c r="D1" s="281"/>
      <c r="E1" s="281"/>
      <c r="F1" s="281"/>
      <c r="G1" s="281"/>
      <c r="H1" s="281"/>
    </row>
    <row r="2" spans="1:9" ht="16.8" x14ac:dyDescent="0.3">
      <c r="A2" s="380" t="s">
        <v>74</v>
      </c>
      <c r="B2" s="381" t="s">
        <v>0</v>
      </c>
      <c r="C2" s="382" t="s">
        <v>77</v>
      </c>
      <c r="D2" s="382" t="s">
        <v>101</v>
      </c>
      <c r="E2" s="382" t="s">
        <v>102</v>
      </c>
      <c r="F2" s="382" t="s">
        <v>59</v>
      </c>
      <c r="G2" s="382" t="s">
        <v>17</v>
      </c>
      <c r="H2" s="382" t="s">
        <v>162</v>
      </c>
      <c r="I2" s="383" t="s">
        <v>163</v>
      </c>
    </row>
    <row r="3" spans="1:9" s="283" customFormat="1" ht="16.8" x14ac:dyDescent="0.3">
      <c r="A3" s="378" t="s">
        <v>231</v>
      </c>
      <c r="B3" s="336">
        <v>1</v>
      </c>
      <c r="C3" s="337" t="s">
        <v>129</v>
      </c>
      <c r="D3" s="370" t="s">
        <v>107</v>
      </c>
      <c r="E3" s="367" t="s">
        <v>165</v>
      </c>
      <c r="F3" s="373" t="s">
        <v>70</v>
      </c>
      <c r="G3" s="338" t="s">
        <v>73</v>
      </c>
      <c r="H3" s="9" t="s">
        <v>173</v>
      </c>
      <c r="I3" s="375">
        <v>142</v>
      </c>
    </row>
    <row r="4" spans="1:9" s="283" customFormat="1" ht="16.8" x14ac:dyDescent="0.3">
      <c r="A4" s="378" t="s">
        <v>209</v>
      </c>
      <c r="B4" s="336">
        <v>1</v>
      </c>
      <c r="C4" s="12" t="s">
        <v>65</v>
      </c>
      <c r="D4" s="1" t="s">
        <v>108</v>
      </c>
      <c r="E4" s="298" t="s">
        <v>104</v>
      </c>
      <c r="F4" s="9" t="s">
        <v>87</v>
      </c>
      <c r="G4" s="9" t="s">
        <v>110</v>
      </c>
      <c r="H4" s="9" t="s">
        <v>164</v>
      </c>
      <c r="I4" s="299">
        <v>197</v>
      </c>
    </row>
    <row r="5" spans="1:9" s="283" customFormat="1" ht="16.8" x14ac:dyDescent="0.3">
      <c r="A5" s="378" t="s">
        <v>225</v>
      </c>
      <c r="B5" s="336">
        <v>1</v>
      </c>
      <c r="C5" s="12" t="s">
        <v>130</v>
      </c>
      <c r="D5" s="1" t="s">
        <v>107</v>
      </c>
      <c r="E5" s="298" t="s">
        <v>104</v>
      </c>
      <c r="F5" s="9" t="s">
        <v>87</v>
      </c>
      <c r="G5" s="9" t="s">
        <v>92</v>
      </c>
      <c r="H5" s="9" t="s">
        <v>164</v>
      </c>
      <c r="I5" s="299">
        <v>198</v>
      </c>
    </row>
    <row r="6" spans="1:9" s="283" customFormat="1" ht="16.8" x14ac:dyDescent="0.3">
      <c r="A6" s="378" t="s">
        <v>214</v>
      </c>
      <c r="B6" s="336">
        <v>1</v>
      </c>
      <c r="C6" s="12" t="s">
        <v>89</v>
      </c>
      <c r="D6" s="1" t="s">
        <v>107</v>
      </c>
      <c r="E6" s="9" t="s">
        <v>165</v>
      </c>
      <c r="F6" s="9" t="s">
        <v>70</v>
      </c>
      <c r="G6" s="11" t="s">
        <v>68</v>
      </c>
      <c r="H6" s="11" t="s">
        <v>173</v>
      </c>
      <c r="I6" s="299">
        <v>142</v>
      </c>
    </row>
    <row r="7" spans="1:9" s="283" customFormat="1" ht="16.8" x14ac:dyDescent="0.3">
      <c r="A7" s="378" t="s">
        <v>215</v>
      </c>
      <c r="B7" s="336">
        <v>1</v>
      </c>
      <c r="C7" s="12" t="s">
        <v>89</v>
      </c>
      <c r="D7" s="284" t="s">
        <v>103</v>
      </c>
      <c r="E7" s="298" t="s">
        <v>104</v>
      </c>
      <c r="F7" s="286" t="s">
        <v>70</v>
      </c>
      <c r="G7" s="9" t="s">
        <v>91</v>
      </c>
      <c r="H7" s="9" t="s">
        <v>173</v>
      </c>
      <c r="I7" s="83">
        <v>144</v>
      </c>
    </row>
    <row r="8" spans="1:9" s="283" customFormat="1" ht="16.8" x14ac:dyDescent="0.3">
      <c r="A8" s="378" t="s">
        <v>226</v>
      </c>
      <c r="B8" s="336">
        <v>1</v>
      </c>
      <c r="C8" s="12" t="s">
        <v>130</v>
      </c>
      <c r="D8" s="1" t="s">
        <v>103</v>
      </c>
      <c r="E8" s="298" t="s">
        <v>104</v>
      </c>
      <c r="F8" s="9" t="s">
        <v>87</v>
      </c>
      <c r="G8" s="9" t="s">
        <v>68</v>
      </c>
      <c r="H8" s="9" t="s">
        <v>164</v>
      </c>
      <c r="I8" s="299">
        <v>207</v>
      </c>
    </row>
    <row r="9" spans="1:9" s="283" customFormat="1" ht="16.8" x14ac:dyDescent="0.3">
      <c r="A9" s="378" t="s">
        <v>227</v>
      </c>
      <c r="B9" s="336">
        <v>1</v>
      </c>
      <c r="C9" s="12" t="s">
        <v>130</v>
      </c>
      <c r="D9" s="1" t="s">
        <v>103</v>
      </c>
      <c r="E9" s="298" t="s">
        <v>104</v>
      </c>
      <c r="F9" s="9" t="s">
        <v>87</v>
      </c>
      <c r="G9" s="9" t="s">
        <v>105</v>
      </c>
      <c r="H9" s="9" t="s">
        <v>164</v>
      </c>
      <c r="I9" s="299">
        <v>208</v>
      </c>
    </row>
    <row r="10" spans="1:9" s="283" customFormat="1" ht="16.8" x14ac:dyDescent="0.3">
      <c r="A10" s="378" t="s">
        <v>212</v>
      </c>
      <c r="B10" s="336">
        <v>1</v>
      </c>
      <c r="C10" s="12" t="s">
        <v>72</v>
      </c>
      <c r="D10" s="1" t="s">
        <v>112</v>
      </c>
      <c r="E10" s="289" t="s">
        <v>165</v>
      </c>
      <c r="F10" s="9" t="s">
        <v>70</v>
      </c>
      <c r="G10" s="11" t="s">
        <v>73</v>
      </c>
      <c r="H10" s="11" t="s">
        <v>161</v>
      </c>
      <c r="I10" s="299">
        <v>61</v>
      </c>
    </row>
    <row r="11" spans="1:9" s="283" customFormat="1" ht="16.8" x14ac:dyDescent="0.3">
      <c r="A11" s="378" t="s">
        <v>109</v>
      </c>
      <c r="B11" s="336">
        <v>1</v>
      </c>
      <c r="C11" s="12" t="s">
        <v>72</v>
      </c>
      <c r="D11" s="1" t="s">
        <v>106</v>
      </c>
      <c r="E11" s="298" t="s">
        <v>104</v>
      </c>
      <c r="F11" s="9" t="s">
        <v>66</v>
      </c>
      <c r="G11" s="9" t="s">
        <v>105</v>
      </c>
      <c r="H11" s="9" t="s">
        <v>164</v>
      </c>
      <c r="I11" s="299">
        <v>217</v>
      </c>
    </row>
    <row r="12" spans="1:9" s="283" customFormat="1" ht="16.8" x14ac:dyDescent="0.3">
      <c r="A12" s="378" t="s">
        <v>167</v>
      </c>
      <c r="B12" s="336">
        <v>1</v>
      </c>
      <c r="C12" s="12" t="s">
        <v>89</v>
      </c>
      <c r="D12" s="1" t="s">
        <v>106</v>
      </c>
      <c r="E12" s="298" t="s">
        <v>104</v>
      </c>
      <c r="F12" s="9" t="s">
        <v>93</v>
      </c>
      <c r="G12" s="9" t="s">
        <v>71</v>
      </c>
      <c r="H12" s="9" t="s">
        <v>164</v>
      </c>
      <c r="I12" s="299">
        <v>218</v>
      </c>
    </row>
    <row r="13" spans="1:9" s="283" customFormat="1" ht="16.8" x14ac:dyDescent="0.3">
      <c r="A13" s="378" t="s">
        <v>114</v>
      </c>
      <c r="B13" s="336">
        <v>1</v>
      </c>
      <c r="C13" s="12" t="s">
        <v>89</v>
      </c>
      <c r="D13" s="1" t="s">
        <v>103</v>
      </c>
      <c r="E13" s="298" t="s">
        <v>104</v>
      </c>
      <c r="F13" s="9" t="s">
        <v>87</v>
      </c>
      <c r="G13" s="9" t="s">
        <v>69</v>
      </c>
      <c r="H13" s="9" t="s">
        <v>164</v>
      </c>
      <c r="I13" s="299">
        <v>219</v>
      </c>
    </row>
    <row r="14" spans="1:9" s="283" customFormat="1" ht="16.8" x14ac:dyDescent="0.3">
      <c r="A14" s="378" t="s">
        <v>216</v>
      </c>
      <c r="B14" s="336">
        <v>1</v>
      </c>
      <c r="C14" s="12" t="s">
        <v>89</v>
      </c>
      <c r="D14" s="1" t="s">
        <v>103</v>
      </c>
      <c r="E14" s="298" t="s">
        <v>104</v>
      </c>
      <c r="F14" s="9" t="s">
        <v>78</v>
      </c>
      <c r="G14" s="9" t="s">
        <v>71</v>
      </c>
      <c r="H14" s="9" t="s">
        <v>164</v>
      </c>
      <c r="I14" s="299">
        <v>220</v>
      </c>
    </row>
    <row r="15" spans="1:9" s="283" customFormat="1" ht="16.8" x14ac:dyDescent="0.3">
      <c r="A15" s="378" t="s">
        <v>229</v>
      </c>
      <c r="B15" s="336">
        <v>1</v>
      </c>
      <c r="C15" s="12" t="s">
        <v>128</v>
      </c>
      <c r="D15" s="1" t="s">
        <v>106</v>
      </c>
      <c r="E15" s="298" t="s">
        <v>104</v>
      </c>
      <c r="F15" s="286" t="s">
        <v>66</v>
      </c>
      <c r="G15" s="9" t="s">
        <v>105</v>
      </c>
      <c r="H15" s="9" t="s">
        <v>166</v>
      </c>
      <c r="I15" s="299">
        <v>93</v>
      </c>
    </row>
    <row r="16" spans="1:9" s="283" customFormat="1" ht="16.8" x14ac:dyDescent="0.3">
      <c r="A16" s="378" t="s">
        <v>210</v>
      </c>
      <c r="B16" s="336">
        <v>1</v>
      </c>
      <c r="C16" s="12" t="s">
        <v>65</v>
      </c>
      <c r="D16" s="284" t="s">
        <v>103</v>
      </c>
      <c r="E16" s="298" t="s">
        <v>104</v>
      </c>
      <c r="F16" s="286" t="s">
        <v>168</v>
      </c>
      <c r="G16" s="9" t="s">
        <v>105</v>
      </c>
      <c r="H16" s="9" t="s">
        <v>173</v>
      </c>
      <c r="I16" s="83">
        <v>147</v>
      </c>
    </row>
    <row r="17" spans="1:9" s="283" customFormat="1" ht="16.8" x14ac:dyDescent="0.3">
      <c r="A17" s="378" t="s">
        <v>143</v>
      </c>
      <c r="B17" s="336">
        <v>1</v>
      </c>
      <c r="C17" s="12" t="s">
        <v>129</v>
      </c>
      <c r="D17" s="10" t="s">
        <v>107</v>
      </c>
      <c r="E17" s="10" t="s">
        <v>104</v>
      </c>
      <c r="F17" s="9" t="s">
        <v>66</v>
      </c>
      <c r="G17" s="9" t="s">
        <v>71</v>
      </c>
      <c r="H17" s="9" t="s">
        <v>161</v>
      </c>
      <c r="I17" s="299">
        <v>77</v>
      </c>
    </row>
    <row r="18" spans="1:9" ht="16.8" x14ac:dyDescent="0.3">
      <c r="A18" s="378" t="s">
        <v>232</v>
      </c>
      <c r="B18" s="336">
        <v>1</v>
      </c>
      <c r="C18" s="12" t="s">
        <v>129</v>
      </c>
      <c r="D18" s="284" t="s">
        <v>112</v>
      </c>
      <c r="E18" s="298" t="s">
        <v>104</v>
      </c>
      <c r="F18" s="286" t="s">
        <v>70</v>
      </c>
      <c r="G18" s="9" t="s">
        <v>71</v>
      </c>
      <c r="H18" s="9" t="s">
        <v>173</v>
      </c>
      <c r="I18" s="83">
        <v>147</v>
      </c>
    </row>
    <row r="19" spans="1:9" ht="16.8" x14ac:dyDescent="0.3">
      <c r="A19" s="378" t="s">
        <v>90</v>
      </c>
      <c r="B19" s="336">
        <v>1</v>
      </c>
      <c r="C19" s="12" t="s">
        <v>65</v>
      </c>
      <c r="D19" s="1" t="s">
        <v>103</v>
      </c>
      <c r="E19" s="298" t="s">
        <v>104</v>
      </c>
      <c r="F19" s="9" t="s">
        <v>66</v>
      </c>
      <c r="G19" s="9" t="s">
        <v>91</v>
      </c>
      <c r="H19" s="9" t="s">
        <v>164</v>
      </c>
      <c r="I19" s="299">
        <v>226</v>
      </c>
    </row>
    <row r="20" spans="1:9" ht="16.8" x14ac:dyDescent="0.3">
      <c r="A20" s="378" t="s">
        <v>228</v>
      </c>
      <c r="B20" s="336">
        <v>1</v>
      </c>
      <c r="C20" s="285" t="s">
        <v>130</v>
      </c>
      <c r="D20" s="284" t="s">
        <v>103</v>
      </c>
      <c r="E20" s="288" t="s">
        <v>104</v>
      </c>
      <c r="F20" s="286" t="s">
        <v>87</v>
      </c>
      <c r="G20" s="286" t="s">
        <v>68</v>
      </c>
      <c r="H20" s="286" t="s">
        <v>183</v>
      </c>
      <c r="I20" s="287">
        <v>31</v>
      </c>
    </row>
    <row r="21" spans="1:9" ht="16.8" x14ac:dyDescent="0.3">
      <c r="A21" s="378" t="s">
        <v>233</v>
      </c>
      <c r="B21" s="336">
        <v>1</v>
      </c>
      <c r="C21" s="12" t="s">
        <v>129</v>
      </c>
      <c r="D21" s="1" t="s">
        <v>106</v>
      </c>
      <c r="E21" s="298" t="s">
        <v>104</v>
      </c>
      <c r="F21" s="9" t="s">
        <v>93</v>
      </c>
      <c r="G21" s="9" t="s">
        <v>68</v>
      </c>
      <c r="H21" s="9" t="s">
        <v>164</v>
      </c>
      <c r="I21" s="299">
        <v>227</v>
      </c>
    </row>
    <row r="22" spans="1:9" ht="16.8" x14ac:dyDescent="0.3">
      <c r="A22" s="378" t="s">
        <v>234</v>
      </c>
      <c r="B22" s="336">
        <v>1</v>
      </c>
      <c r="C22" s="12" t="s">
        <v>129</v>
      </c>
      <c r="D22" s="284" t="s">
        <v>103</v>
      </c>
      <c r="E22" s="298" t="s">
        <v>104</v>
      </c>
      <c r="F22" s="286" t="s">
        <v>66</v>
      </c>
      <c r="G22" s="9" t="s">
        <v>68</v>
      </c>
      <c r="H22" s="9" t="s">
        <v>173</v>
      </c>
      <c r="I22" s="83">
        <v>148</v>
      </c>
    </row>
    <row r="23" spans="1:9" ht="16.8" x14ac:dyDescent="0.3">
      <c r="A23" s="378" t="s">
        <v>170</v>
      </c>
      <c r="B23" s="336">
        <v>1</v>
      </c>
      <c r="C23" s="12" t="s">
        <v>65</v>
      </c>
      <c r="D23" s="1" t="s">
        <v>171</v>
      </c>
      <c r="E23" s="9" t="s">
        <v>104</v>
      </c>
      <c r="F23" s="9" t="s">
        <v>87</v>
      </c>
      <c r="G23" s="9" t="s">
        <v>105</v>
      </c>
      <c r="H23" s="9" t="s">
        <v>169</v>
      </c>
      <c r="I23" s="299">
        <v>99</v>
      </c>
    </row>
    <row r="24" spans="1:9" ht="16.8" x14ac:dyDescent="0.3">
      <c r="A24" s="378" t="s">
        <v>217</v>
      </c>
      <c r="B24" s="336">
        <v>1</v>
      </c>
      <c r="C24" s="12" t="s">
        <v>89</v>
      </c>
      <c r="D24" s="1" t="s">
        <v>112</v>
      </c>
      <c r="E24" s="9" t="s">
        <v>165</v>
      </c>
      <c r="F24" s="9" t="s">
        <v>70</v>
      </c>
      <c r="G24" s="11" t="s">
        <v>113</v>
      </c>
      <c r="H24" s="11" t="s">
        <v>173</v>
      </c>
      <c r="I24" s="299">
        <v>150</v>
      </c>
    </row>
    <row r="25" spans="1:9" ht="16.8" x14ac:dyDescent="0.3">
      <c r="A25" s="378" t="s">
        <v>235</v>
      </c>
      <c r="B25" s="336">
        <v>1</v>
      </c>
      <c r="C25" s="12" t="s">
        <v>129</v>
      </c>
      <c r="D25" s="284" t="s">
        <v>112</v>
      </c>
      <c r="E25" s="298" t="s">
        <v>104</v>
      </c>
      <c r="F25" s="286" t="s">
        <v>70</v>
      </c>
      <c r="G25" s="9" t="s">
        <v>71</v>
      </c>
      <c r="H25" s="9" t="s">
        <v>173</v>
      </c>
      <c r="I25" s="83">
        <v>151</v>
      </c>
    </row>
    <row r="26" spans="1:9" ht="16.8" x14ac:dyDescent="0.3">
      <c r="A26" s="378" t="s">
        <v>178</v>
      </c>
      <c r="B26" s="336">
        <v>1</v>
      </c>
      <c r="C26" s="12" t="s">
        <v>89</v>
      </c>
      <c r="D26" s="284" t="s">
        <v>107</v>
      </c>
      <c r="E26" s="298" t="s">
        <v>104</v>
      </c>
      <c r="F26" s="286" t="s">
        <v>70</v>
      </c>
      <c r="G26" s="9" t="s">
        <v>68</v>
      </c>
      <c r="H26" s="9" t="s">
        <v>173</v>
      </c>
      <c r="I26" s="83">
        <v>151</v>
      </c>
    </row>
    <row r="27" spans="1:9" ht="16.8" x14ac:dyDescent="0.3">
      <c r="A27" s="378" t="s">
        <v>211</v>
      </c>
      <c r="B27" s="336">
        <v>1</v>
      </c>
      <c r="C27" s="12" t="s">
        <v>65</v>
      </c>
      <c r="D27" s="1" t="s">
        <v>177</v>
      </c>
      <c r="E27" s="298" t="s">
        <v>104</v>
      </c>
      <c r="F27" s="9" t="s">
        <v>66</v>
      </c>
      <c r="G27" s="9" t="s">
        <v>71</v>
      </c>
      <c r="H27" s="9" t="s">
        <v>164</v>
      </c>
      <c r="I27" s="299">
        <v>241</v>
      </c>
    </row>
    <row r="28" spans="1:9" ht="16.8" x14ac:dyDescent="0.3">
      <c r="A28" s="378" t="s">
        <v>236</v>
      </c>
      <c r="B28" s="336">
        <v>1</v>
      </c>
      <c r="C28" s="285" t="s">
        <v>129</v>
      </c>
      <c r="D28" s="284" t="s">
        <v>103</v>
      </c>
      <c r="E28" s="288" t="s">
        <v>249</v>
      </c>
      <c r="F28" s="286" t="s">
        <v>70</v>
      </c>
      <c r="G28" s="286" t="s">
        <v>73</v>
      </c>
      <c r="H28" s="286" t="s">
        <v>179</v>
      </c>
      <c r="I28" s="287">
        <v>56</v>
      </c>
    </row>
    <row r="29" spans="1:9" ht="16.8" x14ac:dyDescent="0.3">
      <c r="A29" s="378" t="s">
        <v>278</v>
      </c>
      <c r="B29" s="336">
        <v>1</v>
      </c>
      <c r="C29" s="285" t="s">
        <v>129</v>
      </c>
      <c r="D29" s="284" t="s">
        <v>103</v>
      </c>
      <c r="E29" s="298" t="s">
        <v>104</v>
      </c>
      <c r="F29" s="286" t="s">
        <v>70</v>
      </c>
      <c r="G29" s="286" t="s">
        <v>280</v>
      </c>
      <c r="H29" s="286" t="s">
        <v>279</v>
      </c>
      <c r="I29" s="287">
        <v>143</v>
      </c>
    </row>
    <row r="30" spans="1:9" ht="16.8" x14ac:dyDescent="0.3">
      <c r="A30" s="378" t="s">
        <v>218</v>
      </c>
      <c r="B30" s="336">
        <v>1</v>
      </c>
      <c r="C30" s="12" t="s">
        <v>89</v>
      </c>
      <c r="D30" s="284" t="s">
        <v>112</v>
      </c>
      <c r="E30" s="298" t="s">
        <v>165</v>
      </c>
      <c r="F30" s="286" t="s">
        <v>70</v>
      </c>
      <c r="G30" s="9" t="s">
        <v>113</v>
      </c>
      <c r="H30" s="9" t="s">
        <v>173</v>
      </c>
      <c r="I30" s="83">
        <v>153</v>
      </c>
    </row>
    <row r="31" spans="1:9" ht="16.8" x14ac:dyDescent="0.3">
      <c r="A31" s="378" t="s">
        <v>219</v>
      </c>
      <c r="B31" s="336">
        <v>1</v>
      </c>
      <c r="C31" s="12" t="s">
        <v>89</v>
      </c>
      <c r="D31" s="284" t="s">
        <v>103</v>
      </c>
      <c r="E31" s="298" t="s">
        <v>165</v>
      </c>
      <c r="F31" s="286" t="s">
        <v>70</v>
      </c>
      <c r="G31" s="9" t="s">
        <v>113</v>
      </c>
      <c r="H31" s="9" t="s">
        <v>173</v>
      </c>
      <c r="I31" s="83">
        <v>153</v>
      </c>
    </row>
    <row r="32" spans="1:9" ht="16.8" x14ac:dyDescent="0.3">
      <c r="A32" s="378" t="s">
        <v>220</v>
      </c>
      <c r="B32" s="336">
        <v>1</v>
      </c>
      <c r="C32" s="12" t="s">
        <v>89</v>
      </c>
      <c r="D32" s="10" t="s">
        <v>103</v>
      </c>
      <c r="E32" s="298" t="s">
        <v>165</v>
      </c>
      <c r="F32" s="9" t="s">
        <v>70</v>
      </c>
      <c r="G32" s="9" t="s">
        <v>113</v>
      </c>
      <c r="H32" s="9" t="s">
        <v>173</v>
      </c>
      <c r="I32" s="299">
        <v>153</v>
      </c>
    </row>
    <row r="33" spans="1:9" ht="16.8" x14ac:dyDescent="0.3">
      <c r="A33" s="378" t="s">
        <v>46</v>
      </c>
      <c r="B33" s="336">
        <v>1</v>
      </c>
      <c r="C33" s="12" t="s">
        <v>129</v>
      </c>
      <c r="D33" s="1" t="s">
        <v>107</v>
      </c>
      <c r="E33" s="298" t="s">
        <v>104</v>
      </c>
      <c r="F33" s="9" t="s">
        <v>66</v>
      </c>
      <c r="G33" s="9" t="s">
        <v>68</v>
      </c>
      <c r="H33" s="9" t="s">
        <v>164</v>
      </c>
      <c r="I33" s="299">
        <v>246</v>
      </c>
    </row>
    <row r="34" spans="1:9" ht="16.8" x14ac:dyDescent="0.3">
      <c r="A34" s="378" t="s">
        <v>237</v>
      </c>
      <c r="B34" s="336">
        <v>1</v>
      </c>
      <c r="C34" s="368" t="s">
        <v>129</v>
      </c>
      <c r="D34" s="1" t="s">
        <v>108</v>
      </c>
      <c r="E34" s="11" t="s">
        <v>104</v>
      </c>
      <c r="F34" s="11" t="s">
        <v>66</v>
      </c>
      <c r="G34" s="11" t="s">
        <v>105</v>
      </c>
      <c r="H34" s="11" t="s">
        <v>181</v>
      </c>
      <c r="I34" s="299">
        <v>118</v>
      </c>
    </row>
    <row r="35" spans="1:9" ht="16.8" x14ac:dyDescent="0.3">
      <c r="A35" s="378" t="s">
        <v>221</v>
      </c>
      <c r="B35" s="336">
        <v>1</v>
      </c>
      <c r="C35" s="12" t="s">
        <v>89</v>
      </c>
      <c r="D35" s="284" t="s">
        <v>111</v>
      </c>
      <c r="E35" s="9" t="s">
        <v>248</v>
      </c>
      <c r="F35" s="9" t="s">
        <v>70</v>
      </c>
      <c r="G35" s="9" t="s">
        <v>69</v>
      </c>
      <c r="H35" s="9" t="s">
        <v>174</v>
      </c>
      <c r="I35" s="83">
        <v>100</v>
      </c>
    </row>
    <row r="36" spans="1:9" ht="16.8" x14ac:dyDescent="0.3">
      <c r="A36" s="378" t="s">
        <v>94</v>
      </c>
      <c r="B36" s="336">
        <v>1</v>
      </c>
      <c r="C36" s="12" t="s">
        <v>129</v>
      </c>
      <c r="D36" s="1" t="s">
        <v>107</v>
      </c>
      <c r="E36" s="298" t="s">
        <v>104</v>
      </c>
      <c r="F36" s="9" t="s">
        <v>70</v>
      </c>
      <c r="G36" s="9" t="s">
        <v>105</v>
      </c>
      <c r="H36" s="9" t="s">
        <v>164</v>
      </c>
      <c r="I36" s="299">
        <v>249</v>
      </c>
    </row>
    <row r="37" spans="1:9" ht="16.8" x14ac:dyDescent="0.3">
      <c r="A37" s="378" t="s">
        <v>155</v>
      </c>
      <c r="B37" s="336">
        <v>1</v>
      </c>
      <c r="C37" s="12" t="s">
        <v>129</v>
      </c>
      <c r="D37" s="284" t="s">
        <v>103</v>
      </c>
      <c r="E37" s="288" t="s">
        <v>104</v>
      </c>
      <c r="F37" s="286" t="s">
        <v>66</v>
      </c>
      <c r="G37" s="286" t="s">
        <v>105</v>
      </c>
      <c r="H37" s="9" t="s">
        <v>184</v>
      </c>
      <c r="I37" s="83">
        <v>113</v>
      </c>
    </row>
    <row r="38" spans="1:9" ht="16.8" x14ac:dyDescent="0.3">
      <c r="A38" s="378" t="s">
        <v>238</v>
      </c>
      <c r="B38" s="336">
        <v>1</v>
      </c>
      <c r="C38" s="12" t="s">
        <v>129</v>
      </c>
      <c r="D38" s="1" t="s">
        <v>106</v>
      </c>
      <c r="E38" s="298" t="s">
        <v>104</v>
      </c>
      <c r="F38" s="9" t="s">
        <v>66</v>
      </c>
      <c r="G38" s="9" t="s">
        <v>68</v>
      </c>
      <c r="H38" s="9" t="s">
        <v>164</v>
      </c>
      <c r="I38" s="299">
        <v>250</v>
      </c>
    </row>
    <row r="39" spans="1:9" ht="16.8" x14ac:dyDescent="0.3">
      <c r="A39" s="378" t="s">
        <v>230</v>
      </c>
      <c r="B39" s="336">
        <v>1</v>
      </c>
      <c r="C39" s="12" t="s">
        <v>128</v>
      </c>
      <c r="D39" s="1" t="s">
        <v>182</v>
      </c>
      <c r="E39" s="298" t="s">
        <v>104</v>
      </c>
      <c r="F39" s="9" t="s">
        <v>87</v>
      </c>
      <c r="G39" s="9" t="s">
        <v>71</v>
      </c>
      <c r="H39" s="9" t="s">
        <v>175</v>
      </c>
      <c r="I39" s="299">
        <v>170</v>
      </c>
    </row>
    <row r="40" spans="1:9" ht="16.8" x14ac:dyDescent="0.3">
      <c r="A40" s="378" t="s">
        <v>239</v>
      </c>
      <c r="B40" s="336">
        <v>1</v>
      </c>
      <c r="C40" s="12" t="s">
        <v>129</v>
      </c>
      <c r="D40" s="1" t="s">
        <v>106</v>
      </c>
      <c r="E40" s="298" t="s">
        <v>104</v>
      </c>
      <c r="F40" s="9" t="s">
        <v>66</v>
      </c>
      <c r="G40" s="9" t="s">
        <v>105</v>
      </c>
      <c r="H40" s="9" t="s">
        <v>164</v>
      </c>
      <c r="I40" s="299">
        <v>259</v>
      </c>
    </row>
    <row r="41" spans="1:9" ht="16.8" x14ac:dyDescent="0.3">
      <c r="A41" s="378" t="s">
        <v>240</v>
      </c>
      <c r="B41" s="336">
        <v>1</v>
      </c>
      <c r="C41" s="368" t="s">
        <v>129</v>
      </c>
      <c r="D41" s="1" t="s">
        <v>108</v>
      </c>
      <c r="E41" s="11" t="s">
        <v>104</v>
      </c>
      <c r="F41" s="11" t="s">
        <v>70</v>
      </c>
      <c r="G41" s="11" t="s">
        <v>105</v>
      </c>
      <c r="H41" s="11" t="s">
        <v>181</v>
      </c>
      <c r="I41" s="299">
        <v>120</v>
      </c>
    </row>
    <row r="42" spans="1:9" ht="16.8" x14ac:dyDescent="0.3">
      <c r="A42" s="378" t="s">
        <v>241</v>
      </c>
      <c r="B42" s="336">
        <v>1</v>
      </c>
      <c r="C42" s="368" t="s">
        <v>129</v>
      </c>
      <c r="D42" s="1" t="s">
        <v>106</v>
      </c>
      <c r="E42" s="11" t="s">
        <v>104</v>
      </c>
      <c r="F42" s="11" t="s">
        <v>70</v>
      </c>
      <c r="G42" s="11" t="s">
        <v>105</v>
      </c>
      <c r="H42" s="11" t="s">
        <v>185</v>
      </c>
      <c r="I42" s="299">
        <v>175</v>
      </c>
    </row>
    <row r="43" spans="1:9" ht="16.8" x14ac:dyDescent="0.3">
      <c r="A43" s="378" t="s">
        <v>115</v>
      </c>
      <c r="B43" s="336">
        <v>1</v>
      </c>
      <c r="C43" s="12" t="s">
        <v>67</v>
      </c>
      <c r="D43" s="1" t="s">
        <v>111</v>
      </c>
      <c r="E43" s="298" t="s">
        <v>104</v>
      </c>
      <c r="F43" s="9" t="s">
        <v>70</v>
      </c>
      <c r="G43" s="9" t="s">
        <v>71</v>
      </c>
      <c r="H43" s="9" t="s">
        <v>164</v>
      </c>
      <c r="I43" s="299">
        <v>269</v>
      </c>
    </row>
    <row r="44" spans="1:9" ht="16.8" x14ac:dyDescent="0.3">
      <c r="A44" s="378" t="s">
        <v>180</v>
      </c>
      <c r="B44" s="336">
        <v>1</v>
      </c>
      <c r="C44" s="12" t="s">
        <v>65</v>
      </c>
      <c r="D44" s="1" t="s">
        <v>106</v>
      </c>
      <c r="E44" s="298" t="s">
        <v>104</v>
      </c>
      <c r="F44" s="9" t="s">
        <v>66</v>
      </c>
      <c r="G44" s="9" t="s">
        <v>71</v>
      </c>
      <c r="H44" s="9" t="s">
        <v>164</v>
      </c>
      <c r="I44" s="299">
        <v>272</v>
      </c>
    </row>
    <row r="45" spans="1:9" ht="16.8" x14ac:dyDescent="0.3">
      <c r="A45" s="378" t="s">
        <v>176</v>
      </c>
      <c r="B45" s="336">
        <v>1</v>
      </c>
      <c r="C45" s="285" t="s">
        <v>65</v>
      </c>
      <c r="D45" s="284" t="s">
        <v>106</v>
      </c>
      <c r="E45" s="298" t="s">
        <v>104</v>
      </c>
      <c r="F45" s="286" t="s">
        <v>66</v>
      </c>
      <c r="G45" s="286" t="s">
        <v>71</v>
      </c>
      <c r="H45" s="286" t="s">
        <v>174</v>
      </c>
      <c r="I45" s="299">
        <v>104</v>
      </c>
    </row>
    <row r="46" spans="1:9" ht="16.8" x14ac:dyDescent="0.3">
      <c r="A46" s="378" t="s">
        <v>242</v>
      </c>
      <c r="B46" s="336">
        <v>1</v>
      </c>
      <c r="C46" s="12" t="s">
        <v>129</v>
      </c>
      <c r="D46" s="1" t="s">
        <v>106</v>
      </c>
      <c r="E46" s="298" t="s">
        <v>104</v>
      </c>
      <c r="F46" s="9" t="s">
        <v>66</v>
      </c>
      <c r="G46" s="9" t="s">
        <v>68</v>
      </c>
      <c r="H46" s="9" t="s">
        <v>250</v>
      </c>
      <c r="I46" s="299">
        <v>107</v>
      </c>
    </row>
    <row r="47" spans="1:9" ht="16.8" x14ac:dyDescent="0.3">
      <c r="A47" s="378" t="s">
        <v>222</v>
      </c>
      <c r="B47" s="336">
        <v>1</v>
      </c>
      <c r="C47" s="12" t="s">
        <v>89</v>
      </c>
      <c r="D47" s="10" t="s">
        <v>103</v>
      </c>
      <c r="E47" s="11" t="s">
        <v>165</v>
      </c>
      <c r="F47" s="9" t="s">
        <v>70</v>
      </c>
      <c r="G47" s="9" t="s">
        <v>113</v>
      </c>
      <c r="H47" s="11" t="s">
        <v>173</v>
      </c>
      <c r="I47" s="299">
        <v>157</v>
      </c>
    </row>
    <row r="48" spans="1:9" ht="16.8" x14ac:dyDescent="0.3">
      <c r="A48" s="378" t="s">
        <v>223</v>
      </c>
      <c r="B48" s="336">
        <v>1</v>
      </c>
      <c r="C48" s="12" t="s">
        <v>89</v>
      </c>
      <c r="D48" s="1" t="s">
        <v>103</v>
      </c>
      <c r="E48" s="298" t="s">
        <v>104</v>
      </c>
      <c r="F48" s="9" t="s">
        <v>70</v>
      </c>
      <c r="G48" s="9" t="s">
        <v>68</v>
      </c>
      <c r="H48" s="9" t="s">
        <v>164</v>
      </c>
      <c r="I48" s="299">
        <v>281</v>
      </c>
    </row>
    <row r="49" spans="1:9" ht="16.8" x14ac:dyDescent="0.3">
      <c r="A49" s="378" t="s">
        <v>213</v>
      </c>
      <c r="B49" s="336">
        <v>1</v>
      </c>
      <c r="C49" s="12" t="s">
        <v>72</v>
      </c>
      <c r="D49" s="1" t="s">
        <v>106</v>
      </c>
      <c r="E49" s="298" t="s">
        <v>104</v>
      </c>
      <c r="F49" s="9" t="s">
        <v>87</v>
      </c>
      <c r="G49" s="9" t="s">
        <v>73</v>
      </c>
      <c r="H49" s="9" t="s">
        <v>164</v>
      </c>
      <c r="I49" s="299">
        <v>288</v>
      </c>
    </row>
    <row r="50" spans="1:9" ht="16.8" x14ac:dyDescent="0.3">
      <c r="A50" s="378" t="s">
        <v>243</v>
      </c>
      <c r="B50" s="336">
        <v>1</v>
      </c>
      <c r="C50" s="368" t="s">
        <v>129</v>
      </c>
      <c r="D50" s="1" t="s">
        <v>108</v>
      </c>
      <c r="E50" s="11" t="s">
        <v>104</v>
      </c>
      <c r="F50" s="11" t="s">
        <v>66</v>
      </c>
      <c r="G50" s="11" t="s">
        <v>91</v>
      </c>
      <c r="H50" s="11" t="s">
        <v>181</v>
      </c>
      <c r="I50" s="299">
        <v>123</v>
      </c>
    </row>
    <row r="51" spans="1:9" ht="16.8" x14ac:dyDescent="0.3">
      <c r="A51" s="378" t="s">
        <v>244</v>
      </c>
      <c r="B51" s="336">
        <v>1</v>
      </c>
      <c r="C51" s="12" t="s">
        <v>129</v>
      </c>
      <c r="D51" s="1" t="s">
        <v>103</v>
      </c>
      <c r="E51" s="298" t="s">
        <v>104</v>
      </c>
      <c r="F51" s="9" t="s">
        <v>66</v>
      </c>
      <c r="G51" s="9" t="s">
        <v>105</v>
      </c>
      <c r="H51" s="9" t="s">
        <v>175</v>
      </c>
      <c r="I51" s="299">
        <v>184</v>
      </c>
    </row>
    <row r="52" spans="1:9" ht="16.8" x14ac:dyDescent="0.3">
      <c r="A52" s="378" t="s">
        <v>245</v>
      </c>
      <c r="B52" s="336">
        <v>1</v>
      </c>
      <c r="C52" s="368" t="s">
        <v>129</v>
      </c>
      <c r="D52" s="1" t="s">
        <v>108</v>
      </c>
      <c r="E52" s="11" t="s">
        <v>104</v>
      </c>
      <c r="F52" s="11" t="s">
        <v>66</v>
      </c>
      <c r="G52" s="11" t="s">
        <v>68</v>
      </c>
      <c r="H52" s="11" t="s">
        <v>181</v>
      </c>
      <c r="I52" s="299">
        <v>124</v>
      </c>
    </row>
    <row r="53" spans="1:9" ht="16.8" x14ac:dyDescent="0.3">
      <c r="A53" s="378" t="s">
        <v>224</v>
      </c>
      <c r="B53" s="336">
        <v>1</v>
      </c>
      <c r="C53" s="12" t="s">
        <v>89</v>
      </c>
      <c r="D53" s="1" t="s">
        <v>172</v>
      </c>
      <c r="E53" s="298" t="s">
        <v>165</v>
      </c>
      <c r="F53" s="286" t="s">
        <v>70</v>
      </c>
      <c r="G53" s="9" t="s">
        <v>113</v>
      </c>
      <c r="H53" s="9" t="s">
        <v>173</v>
      </c>
      <c r="I53" s="83">
        <v>158</v>
      </c>
    </row>
    <row r="54" spans="1:9" ht="16.8" x14ac:dyDescent="0.3">
      <c r="A54" s="378" t="s">
        <v>246</v>
      </c>
      <c r="B54" s="336">
        <v>1</v>
      </c>
      <c r="C54" s="368" t="s">
        <v>129</v>
      </c>
      <c r="D54" s="1" t="s">
        <v>106</v>
      </c>
      <c r="E54" s="11" t="s">
        <v>104</v>
      </c>
      <c r="F54" s="11" t="s">
        <v>66</v>
      </c>
      <c r="G54" s="11" t="s">
        <v>71</v>
      </c>
      <c r="H54" s="11" t="s">
        <v>181</v>
      </c>
      <c r="I54" s="299">
        <v>125</v>
      </c>
    </row>
    <row r="55" spans="1:9" ht="17.399999999999999" thickBot="1" x14ac:dyDescent="0.35">
      <c r="A55" s="379" t="s">
        <v>247</v>
      </c>
      <c r="B55" s="339">
        <v>1</v>
      </c>
      <c r="C55" s="369" t="s">
        <v>129</v>
      </c>
      <c r="D55" s="371" t="s">
        <v>107</v>
      </c>
      <c r="E55" s="372" t="s">
        <v>104</v>
      </c>
      <c r="F55" s="374" t="s">
        <v>66</v>
      </c>
      <c r="G55" s="374" t="s">
        <v>68</v>
      </c>
      <c r="H55" s="374" t="s">
        <v>183</v>
      </c>
      <c r="I55" s="376">
        <v>37</v>
      </c>
    </row>
    <row r="56" spans="1:9" ht="16.2" thickTop="1" x14ac:dyDescent="0.3">
      <c r="A56" s="282"/>
      <c r="B56" s="282"/>
      <c r="C56" s="282"/>
      <c r="D56" s="282"/>
      <c r="E56" s="282"/>
      <c r="F56" s="282"/>
      <c r="G56" s="282"/>
    </row>
  </sheetData>
  <sortState xmlns:xlrd2="http://schemas.microsoft.com/office/spreadsheetml/2017/richdata2" ref="A3:J54">
    <sortCondition ref="B3:B54"/>
    <sortCondition ref="A3:A54"/>
  </sortState>
  <conditionalFormatting sqref="B2:B55">
    <cfRule type="cellIs" dxfId="18" priority="1" operator="equal">
      <formula>9</formula>
    </cfRule>
    <cfRule type="cellIs" dxfId="17" priority="2" operator="equal">
      <formula>8</formula>
    </cfRule>
    <cfRule type="cellIs" dxfId="16" priority="3" operator="equal">
      <formula>7</formula>
    </cfRule>
    <cfRule type="cellIs" dxfId="15" priority="4" operator="equal">
      <formula>6</formula>
    </cfRule>
    <cfRule type="cellIs" dxfId="14" priority="5" operator="equal">
      <formula>5</formula>
    </cfRule>
    <cfRule type="cellIs" dxfId="13" priority="6" operator="equal">
      <formula>4</formula>
    </cfRule>
    <cfRule type="cellIs" dxfId="12" priority="7" operator="equal">
      <formula>3</formula>
    </cfRule>
    <cfRule type="cellIs" dxfId="11" priority="8" operator="equal">
      <formula>2</formula>
    </cfRule>
    <cfRule type="cellIs" dxfId="10" priority="9" operator="equal">
      <formula>1</formula>
    </cfRule>
    <cfRule type="containsBlanks" dxfId="9" priority="10">
      <formula>LEN(TRIM(B2))=0</formula>
    </cfRule>
    <cfRule type="cellIs" dxfId="8"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workbookViewId="0"/>
  </sheetViews>
  <sheetFormatPr defaultColWidth="13" defaultRowHeight="16.8" x14ac:dyDescent="0.3"/>
  <cols>
    <col min="1" max="1" width="24.19921875" style="166" bestFit="1" customWidth="1"/>
    <col min="2" max="2" width="6.19921875" style="166" bestFit="1" customWidth="1"/>
    <col min="3" max="3" width="4.09765625" style="166" bestFit="1" customWidth="1"/>
    <col min="4" max="4" width="7.8984375" style="165" bestFit="1" customWidth="1"/>
    <col min="5" max="5" width="2.19921875" style="165" bestFit="1" customWidth="1"/>
    <col min="6" max="6" width="14.3984375" style="144" customWidth="1"/>
    <col min="7" max="10" width="4.296875" style="144" customWidth="1"/>
    <col min="11" max="11" width="2.3984375" style="144" customWidth="1"/>
    <col min="12" max="12" width="3.09765625" style="144" customWidth="1"/>
    <col min="13" max="13" width="20.19921875" style="144" bestFit="1" customWidth="1"/>
    <col min="14" max="14" width="6.19921875" style="144" bestFit="1" customWidth="1"/>
    <col min="15" max="15" width="11.296875" style="144" bestFit="1" customWidth="1"/>
    <col min="16" max="16" width="7.8984375" style="144" bestFit="1" customWidth="1"/>
    <col min="17" max="16384" width="13" style="144"/>
  </cols>
  <sheetData>
    <row r="1" spans="1:16" ht="24" thickTop="1" thickBot="1" x14ac:dyDescent="0.35">
      <c r="A1" s="356" t="s">
        <v>88</v>
      </c>
      <c r="B1" s="142"/>
      <c r="C1" s="142"/>
      <c r="D1" s="143"/>
      <c r="E1" s="144"/>
      <c r="F1" s="360" t="s">
        <v>120</v>
      </c>
      <c r="G1" s="360"/>
      <c r="H1" s="146"/>
      <c r="I1" s="147"/>
      <c r="J1" s="147"/>
      <c r="M1" s="356" t="s">
        <v>151</v>
      </c>
      <c r="N1" s="142"/>
      <c r="O1" s="142"/>
      <c r="P1" s="143"/>
    </row>
    <row r="2" spans="1:16" s="54" customFormat="1" ht="17.399999999999999" thickTop="1" x14ac:dyDescent="0.3">
      <c r="A2" s="357" t="s">
        <v>74</v>
      </c>
      <c r="B2" s="358" t="s">
        <v>0</v>
      </c>
      <c r="C2" s="358" t="s">
        <v>98</v>
      </c>
      <c r="D2" s="359" t="s">
        <v>75</v>
      </c>
      <c r="E2" s="28"/>
      <c r="F2" s="258"/>
      <c r="G2" s="148" t="s">
        <v>121</v>
      </c>
      <c r="H2" s="296"/>
      <c r="I2" s="296"/>
      <c r="J2" s="297"/>
      <c r="M2" s="357" t="s">
        <v>74</v>
      </c>
      <c r="N2" s="358" t="s">
        <v>0</v>
      </c>
      <c r="O2" s="358" t="s">
        <v>98</v>
      </c>
      <c r="P2" s="359" t="s">
        <v>75</v>
      </c>
    </row>
    <row r="3" spans="1:16" ht="17.399999999999999" thickBot="1" x14ac:dyDescent="0.35">
      <c r="A3" s="384" t="s">
        <v>214</v>
      </c>
      <c r="B3" s="385">
        <v>1</v>
      </c>
      <c r="C3" s="386">
        <f>10+B3+'Personal File'!$C$16</f>
        <v>13</v>
      </c>
      <c r="D3" s="387" t="s">
        <v>193</v>
      </c>
      <c r="E3" s="28"/>
      <c r="F3" s="145"/>
      <c r="G3" s="149" t="s">
        <v>116</v>
      </c>
      <c r="H3" s="150" t="s">
        <v>117</v>
      </c>
      <c r="I3" s="150" t="s">
        <v>118</v>
      </c>
      <c r="J3" s="151" t="s">
        <v>119</v>
      </c>
      <c r="M3" s="384" t="s">
        <v>214</v>
      </c>
      <c r="N3" s="385">
        <v>1</v>
      </c>
      <c r="O3" s="386">
        <f>10+N3+'Personal File'!$C$16</f>
        <v>13</v>
      </c>
      <c r="P3" s="387" t="s">
        <v>193</v>
      </c>
    </row>
    <row r="4" spans="1:16" ht="18" thickTop="1" thickBot="1" x14ac:dyDescent="0.35">
      <c r="A4" s="366" t="s">
        <v>278</v>
      </c>
      <c r="B4" s="132">
        <v>1</v>
      </c>
      <c r="C4" s="163">
        <f>10+B4+'Personal File'!$C$16</f>
        <v>13</v>
      </c>
      <c r="D4" s="164" t="s">
        <v>193</v>
      </c>
      <c r="E4" s="28"/>
      <c r="F4" s="152" t="s">
        <v>127</v>
      </c>
      <c r="G4" s="153">
        <v>0</v>
      </c>
      <c r="H4" s="154">
        <v>0</v>
      </c>
      <c r="I4" s="154">
        <v>0</v>
      </c>
      <c r="J4" s="155">
        <v>0</v>
      </c>
      <c r="M4" s="366" t="s">
        <v>278</v>
      </c>
      <c r="N4" s="132">
        <v>1</v>
      </c>
      <c r="O4" s="163">
        <f>10+N4+'Personal File'!$C$16</f>
        <v>13</v>
      </c>
      <c r="P4" s="164" t="s">
        <v>193</v>
      </c>
    </row>
    <row r="5" spans="1:16" ht="17.399999999999999" thickTop="1" x14ac:dyDescent="0.3">
      <c r="E5" s="28"/>
      <c r="F5" s="156" t="s">
        <v>122</v>
      </c>
      <c r="G5" s="157">
        <v>0</v>
      </c>
      <c r="H5" s="158">
        <v>0</v>
      </c>
      <c r="I5" s="158">
        <v>0</v>
      </c>
      <c r="J5" s="159">
        <v>0</v>
      </c>
    </row>
    <row r="6" spans="1:16" x14ac:dyDescent="0.3">
      <c r="E6" s="28"/>
      <c r="F6" s="156" t="s">
        <v>256</v>
      </c>
      <c r="G6" s="157">
        <v>1</v>
      </c>
      <c r="H6" s="158">
        <v>0</v>
      </c>
      <c r="I6" s="158">
        <v>0</v>
      </c>
      <c r="J6" s="159">
        <v>0</v>
      </c>
    </row>
    <row r="7" spans="1:16" x14ac:dyDescent="0.3">
      <c r="E7" s="28"/>
      <c r="F7" s="156" t="s">
        <v>132</v>
      </c>
      <c r="G7" s="157">
        <v>1</v>
      </c>
      <c r="H7" s="158">
        <v>1</v>
      </c>
      <c r="I7" s="158">
        <v>0</v>
      </c>
      <c r="J7" s="159">
        <v>0</v>
      </c>
    </row>
    <row r="8" spans="1:16" ht="17.399999999999999" thickBot="1" x14ac:dyDescent="0.35">
      <c r="E8" s="28"/>
      <c r="F8" s="160" t="s">
        <v>187</v>
      </c>
      <c r="G8" s="361">
        <f t="shared" ref="G8" si="0">SUM(G4:G7)</f>
        <v>2</v>
      </c>
      <c r="H8" s="161">
        <v>0</v>
      </c>
      <c r="I8" s="161">
        <f>SUM(I5:I7)</f>
        <v>0</v>
      </c>
      <c r="J8" s="162">
        <f>SUM(J5:J7)</f>
        <v>0</v>
      </c>
    </row>
    <row r="9" spans="1:16" ht="17.399999999999999" thickTop="1" x14ac:dyDescent="0.3">
      <c r="E9" s="28"/>
    </row>
    <row r="10" spans="1:16" x14ac:dyDescent="0.3">
      <c r="I10" s="307" t="s">
        <v>189</v>
      </c>
      <c r="J10" s="169">
        <f>ROUNDDOWN(0.5*'Personal File'!E3,0)+2</f>
        <v>3</v>
      </c>
    </row>
    <row r="11" spans="1:16" x14ac:dyDescent="0.3">
      <c r="E11" s="28"/>
    </row>
    <row r="12" spans="1:16" x14ac:dyDescent="0.3">
      <c r="E12" s="28"/>
    </row>
    <row r="13" spans="1:16" x14ac:dyDescent="0.3">
      <c r="E13" s="28"/>
    </row>
    <row r="14" spans="1:16" x14ac:dyDescent="0.3">
      <c r="E14" s="28"/>
    </row>
    <row r="15" spans="1:16" x14ac:dyDescent="0.3">
      <c r="E15" s="28"/>
    </row>
    <row r="16" spans="1:16" x14ac:dyDescent="0.3">
      <c r="E16" s="28"/>
    </row>
    <row r="20" spans="6:6" x14ac:dyDescent="0.3">
      <c r="F20" s="165"/>
    </row>
    <row r="21" spans="6:6" x14ac:dyDescent="0.3">
      <c r="F21" s="165"/>
    </row>
  </sheetData>
  <conditionalFormatting sqref="D3:D4">
    <cfRule type="cellIs" dxfId="7" priority="3" operator="equal">
      <formula>"þ"</formula>
    </cfRule>
  </conditionalFormatting>
  <conditionalFormatting sqref="P3:P4">
    <cfRule type="cellIs" dxfId="6"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6"/>
  <sheetViews>
    <sheetView showGridLines="0" workbookViewId="0"/>
  </sheetViews>
  <sheetFormatPr defaultColWidth="13" defaultRowHeight="16.8" x14ac:dyDescent="0.3"/>
  <cols>
    <col min="1" max="1" width="37.69921875" style="165" bestFit="1" customWidth="1"/>
    <col min="2" max="2" width="3.796875" style="166" customWidth="1"/>
    <col min="3" max="3" width="39.19921875" style="144" bestFit="1" customWidth="1"/>
    <col min="4" max="4" width="17.69921875" style="169" bestFit="1" customWidth="1"/>
    <col min="5" max="16384" width="13" style="144"/>
  </cols>
  <sheetData>
    <row r="1" spans="1:4" ht="24" thickTop="1" thickBot="1" x14ac:dyDescent="0.45">
      <c r="A1" s="168" t="s">
        <v>123</v>
      </c>
      <c r="B1" s="144"/>
      <c r="C1" s="362" t="s">
        <v>206</v>
      </c>
      <c r="D1" s="144"/>
    </row>
    <row r="2" spans="1:4" x14ac:dyDescent="0.3">
      <c r="A2" s="294" t="s">
        <v>259</v>
      </c>
      <c r="B2" s="144"/>
      <c r="C2" s="388" t="s">
        <v>268</v>
      </c>
      <c r="D2" s="144"/>
    </row>
    <row r="3" spans="1:4" x14ac:dyDescent="0.3">
      <c r="A3" s="294" t="s">
        <v>260</v>
      </c>
      <c r="B3" s="144"/>
      <c r="C3" s="363" t="s">
        <v>269</v>
      </c>
      <c r="D3" s="144"/>
    </row>
    <row r="4" spans="1:4" x14ac:dyDescent="0.3">
      <c r="A4" s="295" t="s">
        <v>261</v>
      </c>
      <c r="B4" s="144"/>
      <c r="C4" s="363" t="s">
        <v>275</v>
      </c>
      <c r="D4" s="144"/>
    </row>
    <row r="5" spans="1:4" x14ac:dyDescent="0.3">
      <c r="A5" s="295" t="s">
        <v>262</v>
      </c>
      <c r="B5" s="144"/>
      <c r="C5" s="389" t="s">
        <v>270</v>
      </c>
      <c r="D5" s="144"/>
    </row>
    <row r="6" spans="1:4" ht="17.399999999999999" thickBot="1" x14ac:dyDescent="0.35">
      <c r="A6" s="432" t="s">
        <v>263</v>
      </c>
      <c r="B6" s="144"/>
      <c r="C6" s="389" t="s">
        <v>271</v>
      </c>
      <c r="D6" s="144"/>
    </row>
    <row r="7" spans="1:4" ht="18" thickTop="1" thickBot="1" x14ac:dyDescent="0.35">
      <c r="B7" s="144"/>
      <c r="C7" s="365" t="s">
        <v>272</v>
      </c>
      <c r="D7" s="144"/>
    </row>
    <row r="8" spans="1:4" ht="24" thickTop="1" thickBot="1" x14ac:dyDescent="0.35">
      <c r="A8" s="8" t="s">
        <v>99</v>
      </c>
      <c r="B8" s="144"/>
      <c r="C8" s="364" t="s">
        <v>273</v>
      </c>
      <c r="D8" s="144"/>
    </row>
    <row r="9" spans="1:4" ht="17.399999999999999" thickBot="1" x14ac:dyDescent="0.35">
      <c r="A9" s="170" t="s">
        <v>208</v>
      </c>
      <c r="B9" s="144"/>
      <c r="D9" s="144"/>
    </row>
    <row r="10" spans="1:4" ht="18" thickTop="1" thickBot="1" x14ac:dyDescent="0.35">
      <c r="B10" s="144"/>
      <c r="D10" s="144"/>
    </row>
    <row r="11" spans="1:4" ht="24" thickTop="1" thickBot="1" x14ac:dyDescent="0.35">
      <c r="A11" s="293" t="s">
        <v>76</v>
      </c>
      <c r="B11" s="144"/>
    </row>
    <row r="12" spans="1:4" ht="17.399999999999999" thickBot="1" x14ac:dyDescent="0.35">
      <c r="A12" s="170" t="s">
        <v>207</v>
      </c>
    </row>
    <row r="13" spans="1:4" ht="18" thickTop="1" thickBot="1" x14ac:dyDescent="0.35"/>
    <row r="14" spans="1:4" ht="24" thickTop="1" thickBot="1" x14ac:dyDescent="0.35">
      <c r="A14" s="292" t="s">
        <v>156</v>
      </c>
    </row>
    <row r="15" spans="1:4" ht="17.399999999999999" thickBot="1" x14ac:dyDescent="0.35">
      <c r="A15" s="170" t="s">
        <v>186</v>
      </c>
    </row>
    <row r="16" spans="1:4" ht="17.399999999999999" thickTop="1" x14ac:dyDescent="0.3"/>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showGridLines="0" workbookViewId="0"/>
  </sheetViews>
  <sheetFormatPr defaultColWidth="13" defaultRowHeight="15.6" x14ac:dyDescent="0.3"/>
  <cols>
    <col min="1" max="1" width="45.3984375" style="172" bestFit="1" customWidth="1"/>
    <col min="2" max="2" width="8.5" style="172" bestFit="1" customWidth="1"/>
    <col min="3" max="3" width="9.296875" style="172" bestFit="1" customWidth="1"/>
    <col min="4" max="4" width="6.8984375" style="172" customWidth="1"/>
    <col min="5" max="5" width="9.5" style="172" customWidth="1"/>
    <col min="6" max="6" width="12.19921875" style="172" bestFit="1" customWidth="1"/>
    <col min="7" max="7" width="4.3984375" style="172" bestFit="1" customWidth="1"/>
    <col min="8" max="8" width="4.69921875" style="172" bestFit="1" customWidth="1"/>
    <col min="9" max="9" width="5.69921875" style="172" bestFit="1" customWidth="1"/>
    <col min="10" max="10" width="6.296875" style="172" bestFit="1" customWidth="1"/>
    <col min="11" max="11" width="11.69921875" style="172" bestFit="1" customWidth="1"/>
    <col min="12" max="12" width="1.3984375" style="19" customWidth="1"/>
    <col min="13" max="13" width="5.8984375" style="19" bestFit="1" customWidth="1"/>
    <col min="14" max="16384" width="13" style="19"/>
  </cols>
  <sheetData>
    <row r="1" spans="1:13" ht="23.4" thickBot="1" x14ac:dyDescent="0.35">
      <c r="A1" s="167" t="s">
        <v>15</v>
      </c>
      <c r="B1" s="167"/>
      <c r="C1" s="167"/>
      <c r="D1" s="167"/>
      <c r="E1" s="167"/>
      <c r="F1" s="167"/>
      <c r="G1" s="167"/>
      <c r="H1" s="167"/>
      <c r="I1" s="167"/>
      <c r="J1" s="167"/>
      <c r="K1" s="167"/>
    </row>
    <row r="2" spans="1:13" ht="16.8" thickTop="1" thickBot="1" x14ac:dyDescent="0.35">
      <c r="A2" s="205" t="s">
        <v>1</v>
      </c>
      <c r="B2" s="206" t="s">
        <v>2</v>
      </c>
      <c r="C2" s="206" t="s">
        <v>19</v>
      </c>
      <c r="D2" s="206" t="s">
        <v>20</v>
      </c>
      <c r="E2" s="207" t="s">
        <v>58</v>
      </c>
      <c r="F2" s="206" t="s">
        <v>16</v>
      </c>
      <c r="G2" s="206" t="s">
        <v>21</v>
      </c>
      <c r="H2" s="208" t="s">
        <v>100</v>
      </c>
      <c r="I2" s="209" t="s">
        <v>124</v>
      </c>
      <c r="J2" s="208" t="s">
        <v>84</v>
      </c>
      <c r="K2" s="210" t="s">
        <v>82</v>
      </c>
      <c r="M2" s="279" t="s">
        <v>136</v>
      </c>
    </row>
    <row r="3" spans="1:13" x14ac:dyDescent="0.3">
      <c r="A3" s="177" t="s">
        <v>190</v>
      </c>
      <c r="B3" s="435" t="s">
        <v>315</v>
      </c>
      <c r="C3" s="220">
        <v>0</v>
      </c>
      <c r="D3" s="220">
        <v>0</v>
      </c>
      <c r="E3" s="221" t="s">
        <v>191</v>
      </c>
      <c r="F3" s="198" t="s">
        <v>192</v>
      </c>
      <c r="G3" s="246">
        <v>1</v>
      </c>
      <c r="H3" s="220" t="str">
        <f>CONCATENATE("+",'Personal File'!$B$10+'Personal File'!$C$12+D3)</f>
        <v>+7</v>
      </c>
      <c r="I3" s="219">
        <f t="shared" ref="I3:I5" ca="1" si="0">RANDBETWEEN(1,20)</f>
        <v>18</v>
      </c>
      <c r="J3" s="244">
        <f t="shared" ref="J3:J5" ca="1" si="1">I3+H3</f>
        <v>25</v>
      </c>
      <c r="K3" s="222"/>
      <c r="M3" s="268">
        <v>2</v>
      </c>
    </row>
    <row r="4" spans="1:13" x14ac:dyDescent="0.3">
      <c r="A4" s="322" t="s">
        <v>257</v>
      </c>
      <c r="B4" s="436" t="s">
        <v>316</v>
      </c>
      <c r="C4" s="315">
        <v>0</v>
      </c>
      <c r="D4" s="315">
        <v>1</v>
      </c>
      <c r="E4" s="316" t="s">
        <v>191</v>
      </c>
      <c r="F4" s="390" t="s">
        <v>264</v>
      </c>
      <c r="G4" s="317">
        <v>4</v>
      </c>
      <c r="H4" s="315" t="str">
        <f>CONCATENATE("+",'Personal File'!$B$10+'Personal File'!$C$12+D4)</f>
        <v>+8</v>
      </c>
      <c r="I4" s="352">
        <f t="shared" ca="1" si="0"/>
        <v>19</v>
      </c>
      <c r="J4" s="319">
        <f t="shared" ref="J4" ca="1" si="2">I4+H4</f>
        <v>27</v>
      </c>
      <c r="K4" s="353"/>
      <c r="M4" s="280">
        <v>315</v>
      </c>
    </row>
    <row r="5" spans="1:13" ht="16.2" thickBot="1" x14ac:dyDescent="0.35">
      <c r="A5" s="223" t="s">
        <v>141</v>
      </c>
      <c r="B5" s="437" t="s">
        <v>317</v>
      </c>
      <c r="C5" s="224">
        <v>0</v>
      </c>
      <c r="D5" s="225" t="s">
        <v>56</v>
      </c>
      <c r="E5" s="225" t="s">
        <v>138</v>
      </c>
      <c r="F5" s="192" t="s">
        <v>142</v>
      </c>
      <c r="G5" s="226">
        <v>0</v>
      </c>
      <c r="H5" s="226" t="str">
        <f>CONCATENATE("+",'Personal File'!$B$10+'Personal File'!$C$12+D5)</f>
        <v>+7</v>
      </c>
      <c r="I5" s="227">
        <f t="shared" ca="1" si="0"/>
        <v>15</v>
      </c>
      <c r="J5" s="228">
        <f t="shared" ca="1" si="1"/>
        <v>22</v>
      </c>
      <c r="K5" s="229"/>
      <c r="M5" s="272" t="s">
        <v>159</v>
      </c>
    </row>
    <row r="6" spans="1:13" ht="6" customHeight="1" thickTop="1" thickBot="1" x14ac:dyDescent="0.35">
      <c r="M6" s="251"/>
    </row>
    <row r="7" spans="1:13" ht="16.8" thickTop="1" thickBot="1" x14ac:dyDescent="0.35">
      <c r="A7" s="205" t="s">
        <v>4</v>
      </c>
      <c r="B7" s="206" t="s">
        <v>5</v>
      </c>
      <c r="C7" s="206" t="s">
        <v>19</v>
      </c>
      <c r="D7" s="206" t="s">
        <v>20</v>
      </c>
      <c r="E7" s="207" t="s">
        <v>58</v>
      </c>
      <c r="F7" s="206" t="s">
        <v>6</v>
      </c>
      <c r="G7" s="206" t="s">
        <v>21</v>
      </c>
      <c r="H7" s="208" t="s">
        <v>100</v>
      </c>
      <c r="I7" s="209" t="s">
        <v>124</v>
      </c>
      <c r="J7" s="208" t="s">
        <v>84</v>
      </c>
      <c r="K7" s="210" t="s">
        <v>82</v>
      </c>
      <c r="M7" s="279" t="s">
        <v>136</v>
      </c>
    </row>
    <row r="8" spans="1:13" x14ac:dyDescent="0.3">
      <c r="A8" s="308" t="s">
        <v>276</v>
      </c>
      <c r="B8" s="438" t="s">
        <v>316</v>
      </c>
      <c r="C8" s="426" t="str">
        <f>CONCATENATE("+1+2+2",'Personal File'!$C$12)</f>
        <v>+1+2+2+2</v>
      </c>
      <c r="D8" s="424">
        <f>1+2+2</f>
        <v>5</v>
      </c>
      <c r="E8" s="309" t="s">
        <v>265</v>
      </c>
      <c r="F8" s="309" t="str">
        <f>CONCATENATE(110*1.5,"’+20’",RIGHT(Feats!$C$18,4))</f>
        <v>165’+20’</v>
      </c>
      <c r="G8" s="310">
        <v>3</v>
      </c>
      <c r="H8" s="310" t="str">
        <f>CONCATENATE("+",'Personal File'!$B$10+'Personal File'!$C$13+D8+1)</f>
        <v>+17</v>
      </c>
      <c r="I8" s="311">
        <f t="shared" ref="I8:I10" ca="1" si="3">RANDBETWEEN(1,20)</f>
        <v>16</v>
      </c>
      <c r="J8" s="312">
        <f t="shared" ref="J8:J9" ca="1" si="4">I8+H8</f>
        <v>33</v>
      </c>
      <c r="K8" s="313" t="s">
        <v>188</v>
      </c>
      <c r="M8" s="280">
        <v>18800</v>
      </c>
    </row>
    <row r="9" spans="1:13" x14ac:dyDescent="0.3">
      <c r="A9" s="314" t="s">
        <v>204</v>
      </c>
      <c r="B9" s="436" t="s">
        <v>316</v>
      </c>
      <c r="C9" s="427" t="str">
        <f>CONCATENATE("+1+2+2",'Personal File'!$C$12)</f>
        <v>+1+2+2+2</v>
      </c>
      <c r="D9" s="425">
        <f t="shared" ref="D9:D12" si="5">1+2+2</f>
        <v>5</v>
      </c>
      <c r="E9" s="315" t="s">
        <v>265</v>
      </c>
      <c r="F9" s="316" t="str">
        <f>CONCATENATE(110*1.5,"’+20’",RIGHT(Feats!$C$18,4))</f>
        <v>165’+20’</v>
      </c>
      <c r="G9" s="317" t="s">
        <v>159</v>
      </c>
      <c r="H9" s="317" t="str">
        <f>CONCATENATE("+",'Personal File'!$B$10+'Personal File'!$C$13+D9-5+1)</f>
        <v>+12</v>
      </c>
      <c r="I9" s="318">
        <f t="shared" ca="1" si="3"/>
        <v>12</v>
      </c>
      <c r="J9" s="319">
        <f t="shared" ca="1" si="4"/>
        <v>24</v>
      </c>
      <c r="K9" s="320" t="s">
        <v>188</v>
      </c>
      <c r="M9" s="321" t="s">
        <v>159</v>
      </c>
    </row>
    <row r="10" spans="1:13" x14ac:dyDescent="0.3">
      <c r="A10" s="314" t="s">
        <v>284</v>
      </c>
      <c r="B10" s="436" t="s">
        <v>316</v>
      </c>
      <c r="C10" s="427" t="str">
        <f>CONCATENATE("+1+2+2",'Personal File'!$C$12)</f>
        <v>+1+2+2+2</v>
      </c>
      <c r="D10" s="425">
        <f t="shared" si="5"/>
        <v>5</v>
      </c>
      <c r="E10" s="315" t="s">
        <v>265</v>
      </c>
      <c r="F10" s="316" t="str">
        <f>CONCATENATE(110*1.5,"’+20’",RIGHT(Feats!$C$18,4))</f>
        <v>165’+20’</v>
      </c>
      <c r="G10" s="317" t="s">
        <v>159</v>
      </c>
      <c r="H10" s="317" t="str">
        <f>CONCATENATE("+",'Personal File'!$B$10+'Personal File'!$C$13+D10+1)</f>
        <v>+17</v>
      </c>
      <c r="I10" s="318">
        <f t="shared" ca="1" si="3"/>
        <v>1</v>
      </c>
      <c r="J10" s="319">
        <f t="shared" ref="J10" ca="1" si="6">I10+H10</f>
        <v>18</v>
      </c>
      <c r="K10" s="320" t="s">
        <v>188</v>
      </c>
      <c r="M10" s="321" t="s">
        <v>159</v>
      </c>
    </row>
    <row r="11" spans="1:13" x14ac:dyDescent="0.3">
      <c r="A11" s="322" t="s">
        <v>281</v>
      </c>
      <c r="B11" s="436" t="s">
        <v>316</v>
      </c>
      <c r="C11" s="427" t="str">
        <f>CONCATENATE("+1+2+2",'Personal File'!$C$12)</f>
        <v>+1+2+2+2</v>
      </c>
      <c r="D11" s="425">
        <f t="shared" si="5"/>
        <v>5</v>
      </c>
      <c r="E11" s="316" t="s">
        <v>265</v>
      </c>
      <c r="F11" s="323" t="str">
        <f>CONCATENATE(110*1.5,"’+20’",RIGHT(Feats!$C$18,4))</f>
        <v>165’+20’</v>
      </c>
      <c r="G11" s="317" t="s">
        <v>159</v>
      </c>
      <c r="H11" s="315" t="str">
        <f>CONCATENATE("+",'Personal File'!$B$10+'Personal File'!$C$13+D11+1-4)</f>
        <v>+13</v>
      </c>
      <c r="I11" s="318">
        <f ca="1">RANDBETWEEN(1,20)</f>
        <v>20</v>
      </c>
      <c r="J11" s="319">
        <f t="shared" ref="J11" ca="1" si="7">I11+H11</f>
        <v>33</v>
      </c>
      <c r="K11" s="320" t="s">
        <v>188</v>
      </c>
      <c r="M11" s="321" t="s">
        <v>159</v>
      </c>
    </row>
    <row r="12" spans="1:13" x14ac:dyDescent="0.3">
      <c r="A12" s="322" t="s">
        <v>282</v>
      </c>
      <c r="B12" s="436" t="s">
        <v>316</v>
      </c>
      <c r="C12" s="427" t="str">
        <f>CONCATENATE("+1+2+2",'Personal File'!$C$12)</f>
        <v>+1+2+2+2</v>
      </c>
      <c r="D12" s="425">
        <f t="shared" si="5"/>
        <v>5</v>
      </c>
      <c r="E12" s="316" t="s">
        <v>265</v>
      </c>
      <c r="F12" s="323" t="str">
        <f>CONCATENATE(110*1.5,"’+20’",RIGHT(Feats!$C$18,4))</f>
        <v>165’+20’</v>
      </c>
      <c r="G12" s="317" t="s">
        <v>159</v>
      </c>
      <c r="H12" s="315" t="str">
        <f>CONCATENATE("+",'Personal File'!$B$10+'Personal File'!$C$13+D12+1-4-2)</f>
        <v>+11</v>
      </c>
      <c r="I12" s="318">
        <f ca="1">RANDBETWEEN(1,20)</f>
        <v>7</v>
      </c>
      <c r="J12" s="319">
        <f t="shared" ref="J12" ca="1" si="8">I12+H12</f>
        <v>18</v>
      </c>
      <c r="K12" s="320" t="s">
        <v>188</v>
      </c>
      <c r="M12" s="321" t="s">
        <v>159</v>
      </c>
    </row>
    <row r="13" spans="1:13" ht="16.2" thickBot="1" x14ac:dyDescent="0.35">
      <c r="A13" s="300"/>
      <c r="B13" s="301"/>
      <c r="C13" s="301"/>
      <c r="D13" s="301"/>
      <c r="E13" s="301"/>
      <c r="F13" s="302"/>
      <c r="G13" s="303"/>
      <c r="H13" s="303"/>
      <c r="I13" s="227"/>
      <c r="J13" s="304"/>
      <c r="K13" s="306"/>
      <c r="M13" s="305"/>
    </row>
    <row r="14" spans="1:13" ht="6" customHeight="1" thickTop="1" thickBot="1" x14ac:dyDescent="0.35">
      <c r="D14" s="211"/>
      <c r="E14" s="211"/>
      <c r="G14" s="203"/>
      <c r="H14" s="203"/>
      <c r="I14" s="203"/>
      <c r="J14" s="203"/>
      <c r="M14" s="251"/>
    </row>
    <row r="15" spans="1:13" ht="16.8" thickTop="1" thickBot="1" x14ac:dyDescent="0.35">
      <c r="A15" s="205" t="s">
        <v>63</v>
      </c>
      <c r="B15" s="206" t="s">
        <v>9</v>
      </c>
      <c r="C15" s="206" t="s">
        <v>28</v>
      </c>
      <c r="D15" s="206" t="s">
        <v>84</v>
      </c>
      <c r="E15" s="206" t="s">
        <v>85</v>
      </c>
      <c r="F15" s="206" t="s">
        <v>86</v>
      </c>
      <c r="G15" s="206" t="s">
        <v>21</v>
      </c>
      <c r="H15" s="212" t="s">
        <v>82</v>
      </c>
      <c r="I15" s="213"/>
      <c r="J15" s="213"/>
      <c r="K15" s="214"/>
      <c r="M15" s="279" t="s">
        <v>136</v>
      </c>
    </row>
    <row r="16" spans="1:13" x14ac:dyDescent="0.3">
      <c r="A16" s="182" t="s">
        <v>267</v>
      </c>
      <c r="B16" s="240">
        <f>4+2</f>
        <v>6</v>
      </c>
      <c r="C16" s="239">
        <v>6</v>
      </c>
      <c r="D16" s="240">
        <v>-1</v>
      </c>
      <c r="E16" s="241">
        <v>0.1</v>
      </c>
      <c r="F16" s="239" t="s">
        <v>126</v>
      </c>
      <c r="G16" s="245">
        <v>12.5</v>
      </c>
      <c r="H16" s="242"/>
      <c r="I16" s="237"/>
      <c r="J16" s="237"/>
      <c r="K16" s="238"/>
      <c r="M16" s="280">
        <v>3400</v>
      </c>
    </row>
    <row r="17" spans="1:13" ht="16.2" thickBot="1" x14ac:dyDescent="0.35">
      <c r="A17" s="191"/>
      <c r="B17" s="233"/>
      <c r="C17" s="233"/>
      <c r="D17" s="232"/>
      <c r="E17" s="234"/>
      <c r="F17" s="232"/>
      <c r="G17" s="230"/>
      <c r="H17" s="235"/>
      <c r="I17" s="215"/>
      <c r="J17" s="215"/>
      <c r="K17" s="216"/>
      <c r="M17" s="272"/>
    </row>
    <row r="18" spans="1:13" ht="6.75" customHeight="1" thickTop="1" thickBot="1" x14ac:dyDescent="0.35">
      <c r="M18" s="251"/>
    </row>
    <row r="19" spans="1:13" ht="16.8" thickTop="1" thickBot="1" x14ac:dyDescent="0.35">
      <c r="D19" s="217" t="s">
        <v>64</v>
      </c>
      <c r="E19" s="218"/>
      <c r="F19" s="212" t="s">
        <v>3</v>
      </c>
      <c r="G19" s="206" t="s">
        <v>21</v>
      </c>
      <c r="H19" s="208" t="s">
        <v>100</v>
      </c>
      <c r="I19" s="212" t="s">
        <v>82</v>
      </c>
      <c r="J19" s="213"/>
      <c r="K19" s="214"/>
      <c r="M19" s="279" t="s">
        <v>136</v>
      </c>
    </row>
    <row r="20" spans="1:13" x14ac:dyDescent="0.3">
      <c r="D20" s="340" t="s">
        <v>158</v>
      </c>
      <c r="E20" s="324"/>
      <c r="F20" s="325">
        <v>1</v>
      </c>
      <c r="G20" s="231">
        <v>2</v>
      </c>
      <c r="H20" s="221" t="s">
        <v>56</v>
      </c>
      <c r="I20" s="326"/>
      <c r="J20" s="341"/>
      <c r="K20" s="342"/>
      <c r="M20" s="268">
        <v>1800</v>
      </c>
    </row>
    <row r="21" spans="1:13" ht="16.2" thickBot="1" x14ac:dyDescent="0.35">
      <c r="D21" s="327" t="s">
        <v>266</v>
      </c>
      <c r="E21" s="328"/>
      <c r="F21" s="329">
        <v>45</v>
      </c>
      <c r="G21" s="226">
        <f t="shared" ref="G21" si="9">F21/10</f>
        <v>4.5</v>
      </c>
      <c r="H21" s="330" t="s">
        <v>56</v>
      </c>
      <c r="I21" s="331"/>
      <c r="J21" s="332"/>
      <c r="K21" s="333"/>
      <c r="M21" s="272">
        <v>0</v>
      </c>
    </row>
    <row r="22" spans="1:13" ht="16.8" thickTop="1" thickBot="1" x14ac:dyDescent="0.35">
      <c r="M22" s="251"/>
    </row>
    <row r="23" spans="1:13" ht="16.8" thickTop="1" thickBot="1" x14ac:dyDescent="0.35">
      <c r="D23" s="217" t="s">
        <v>149</v>
      </c>
      <c r="E23" s="213"/>
      <c r="F23" s="213"/>
      <c r="G23" s="213"/>
      <c r="H23" s="257" t="s">
        <v>3</v>
      </c>
      <c r="I23" s="257" t="s">
        <v>0</v>
      </c>
      <c r="J23" s="257" t="s">
        <v>150</v>
      </c>
      <c r="K23" s="214" t="s">
        <v>82</v>
      </c>
      <c r="L23" s="258"/>
      <c r="M23" s="279" t="s">
        <v>136</v>
      </c>
    </row>
    <row r="24" spans="1:13" x14ac:dyDescent="0.3">
      <c r="D24" s="259"/>
      <c r="E24" s="260"/>
      <c r="F24" s="260"/>
      <c r="G24" s="260"/>
      <c r="H24" s="261"/>
      <c r="I24" s="261"/>
      <c r="J24" s="261"/>
      <c r="K24" s="262"/>
      <c r="L24" s="258"/>
      <c r="M24" s="263"/>
    </row>
    <row r="25" spans="1:13" x14ac:dyDescent="0.3">
      <c r="D25" s="264"/>
      <c r="E25" s="265"/>
      <c r="F25" s="265"/>
      <c r="G25" s="265"/>
      <c r="H25" s="266"/>
      <c r="I25" s="266"/>
      <c r="J25" s="266"/>
      <c r="K25" s="267"/>
      <c r="L25" s="258"/>
      <c r="M25" s="268"/>
    </row>
    <row r="26" spans="1:13" x14ac:dyDescent="0.3">
      <c r="D26" s="264"/>
      <c r="E26" s="265"/>
      <c r="F26" s="265"/>
      <c r="G26" s="265"/>
      <c r="H26" s="266"/>
      <c r="I26" s="266"/>
      <c r="J26" s="266"/>
      <c r="K26" s="267"/>
      <c r="L26" s="258"/>
      <c r="M26" s="268"/>
    </row>
    <row r="27" spans="1:13" ht="16.2" thickBot="1" x14ac:dyDescent="0.35">
      <c r="D27" s="269"/>
      <c r="E27" s="270"/>
      <c r="F27" s="270"/>
      <c r="G27" s="270"/>
      <c r="H27" s="271"/>
      <c r="I27" s="271"/>
      <c r="J27" s="271"/>
      <c r="K27" s="216"/>
      <c r="L27" s="258"/>
      <c r="M27" s="272"/>
    </row>
    <row r="28" spans="1:13" ht="16.2" thickTop="1" x14ac:dyDescent="0.3"/>
  </sheetData>
  <phoneticPr fontId="0" type="noConversion"/>
  <conditionalFormatting sqref="H24:H27">
    <cfRule type="cellIs" dxfId="5" priority="11" operator="equal">
      <formula>0</formula>
    </cfRule>
  </conditionalFormatting>
  <conditionalFormatting sqref="I5">
    <cfRule type="cellIs" dxfId="4" priority="22" operator="equal">
      <formula>20</formula>
    </cfRule>
    <cfRule type="cellIs" dxfId="3" priority="23" operator="equal">
      <formula>1</formula>
    </cfRule>
  </conditionalFormatting>
  <conditionalFormatting sqref="I8:I13">
    <cfRule type="cellIs" dxfId="2" priority="3" operator="equal">
      <formula>20</formula>
    </cfRule>
    <cfRule type="cellIs" dxfId="1"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showGridLines="0" workbookViewId="0"/>
  </sheetViews>
  <sheetFormatPr defaultColWidth="7.8984375" defaultRowHeight="15.6" x14ac:dyDescent="0.3"/>
  <cols>
    <col min="1" max="1" width="20.69921875" style="172" bestFit="1" customWidth="1"/>
    <col min="2" max="2" width="4.5" style="172" bestFit="1" customWidth="1"/>
    <col min="3" max="3" width="4.3984375" style="203" bestFit="1" customWidth="1"/>
    <col min="4" max="5" width="22.8984375" style="19" customWidth="1"/>
    <col min="6" max="6" width="1.19921875" style="172" customWidth="1"/>
    <col min="7" max="7" width="9" style="19" bestFit="1" customWidth="1"/>
    <col min="8" max="16384" width="7.8984375" style="19"/>
  </cols>
  <sheetData>
    <row r="1" spans="1:7" ht="23.4" thickBot="1" x14ac:dyDescent="0.35">
      <c r="A1" s="167" t="s">
        <v>79</v>
      </c>
      <c r="B1" s="167"/>
      <c r="C1" s="171"/>
      <c r="D1" s="167"/>
      <c r="E1" s="167"/>
    </row>
    <row r="2" spans="1:7" s="172" customFormat="1" ht="16.8" thickTop="1" thickBot="1" x14ac:dyDescent="0.35">
      <c r="A2" s="173" t="s">
        <v>80</v>
      </c>
      <c r="B2" s="173" t="s">
        <v>3</v>
      </c>
      <c r="C2" s="174" t="s">
        <v>21</v>
      </c>
      <c r="D2" s="175" t="s">
        <v>81</v>
      </c>
      <c r="E2" s="176" t="s">
        <v>82</v>
      </c>
      <c r="G2" s="236" t="s">
        <v>136</v>
      </c>
    </row>
    <row r="3" spans="1:7" x14ac:dyDescent="0.3">
      <c r="A3" s="345" t="s">
        <v>202</v>
      </c>
      <c r="B3" s="346">
        <v>1</v>
      </c>
      <c r="C3" s="347">
        <v>0</v>
      </c>
      <c r="D3" s="348"/>
      <c r="E3" s="349"/>
      <c r="F3" s="350"/>
      <c r="G3" s="351">
        <v>3400</v>
      </c>
    </row>
    <row r="4" spans="1:7" x14ac:dyDescent="0.3">
      <c r="A4" s="185" t="s">
        <v>201</v>
      </c>
      <c r="B4" s="186">
        <v>1</v>
      </c>
      <c r="C4" s="187">
        <v>1</v>
      </c>
      <c r="D4" s="256"/>
      <c r="E4" s="189"/>
      <c r="G4" s="249">
        <v>9000</v>
      </c>
    </row>
    <row r="5" spans="1:7" x14ac:dyDescent="0.3">
      <c r="A5" s="185" t="s">
        <v>139</v>
      </c>
      <c r="B5" s="186">
        <v>1</v>
      </c>
      <c r="C5" s="187" t="s">
        <v>140</v>
      </c>
      <c r="D5" s="188"/>
      <c r="E5" s="189"/>
      <c r="G5" s="249">
        <v>0</v>
      </c>
    </row>
    <row r="6" spans="1:7" x14ac:dyDescent="0.3">
      <c r="A6" s="185" t="s">
        <v>203</v>
      </c>
      <c r="B6" s="186">
        <v>1</v>
      </c>
      <c r="C6" s="187">
        <v>1</v>
      </c>
      <c r="D6" s="256"/>
      <c r="E6" s="189"/>
      <c r="G6" s="249">
        <v>9000</v>
      </c>
    </row>
    <row r="7" spans="1:7" x14ac:dyDescent="0.3">
      <c r="A7" s="185" t="s">
        <v>200</v>
      </c>
      <c r="B7" s="186">
        <v>1</v>
      </c>
      <c r="C7" s="187">
        <v>0</v>
      </c>
      <c r="D7" s="188"/>
      <c r="E7" s="189"/>
      <c r="G7" s="249">
        <v>16000</v>
      </c>
    </row>
    <row r="8" spans="1:7" ht="16.2" thickBot="1" x14ac:dyDescent="0.35">
      <c r="A8" s="191" t="s">
        <v>199</v>
      </c>
      <c r="B8" s="192">
        <v>1</v>
      </c>
      <c r="C8" s="193">
        <v>0</v>
      </c>
      <c r="D8" s="194"/>
      <c r="E8" s="195"/>
      <c r="G8" s="250">
        <v>4000</v>
      </c>
    </row>
    <row r="9" spans="1:7" ht="24" thickTop="1" thickBot="1" x14ac:dyDescent="0.35">
      <c r="A9" s="167" t="s">
        <v>83</v>
      </c>
      <c r="B9" s="167"/>
      <c r="C9" s="196"/>
      <c r="D9" s="167"/>
      <c r="E9" s="197"/>
      <c r="G9" s="251"/>
    </row>
    <row r="10" spans="1:7" ht="16.8" thickTop="1" thickBot="1" x14ac:dyDescent="0.35">
      <c r="A10" s="173" t="s">
        <v>80</v>
      </c>
      <c r="B10" s="173" t="s">
        <v>3</v>
      </c>
      <c r="C10" s="174" t="s">
        <v>21</v>
      </c>
      <c r="D10" s="175" t="s">
        <v>81</v>
      </c>
      <c r="E10" s="176" t="s">
        <v>82</v>
      </c>
      <c r="G10" s="252" t="s">
        <v>136</v>
      </c>
    </row>
    <row r="11" spans="1:7" x14ac:dyDescent="0.3">
      <c r="A11" s="182"/>
      <c r="B11" s="199"/>
      <c r="C11" s="200"/>
      <c r="D11" s="183"/>
      <c r="E11" s="184"/>
      <c r="F11" s="181"/>
      <c r="G11" s="249"/>
    </row>
    <row r="12" spans="1:7" x14ac:dyDescent="0.3">
      <c r="A12" s="185"/>
      <c r="B12" s="243"/>
      <c r="C12" s="190"/>
      <c r="D12" s="188"/>
      <c r="E12" s="189"/>
      <c r="F12" s="181"/>
      <c r="G12" s="249"/>
    </row>
    <row r="13" spans="1:7" x14ac:dyDescent="0.3">
      <c r="A13" s="185"/>
      <c r="B13" s="243"/>
      <c r="C13" s="190"/>
      <c r="D13" s="188"/>
      <c r="E13" s="189"/>
      <c r="F13" s="181"/>
      <c r="G13" s="249"/>
    </row>
    <row r="14" spans="1:7" x14ac:dyDescent="0.3">
      <c r="A14" s="185"/>
      <c r="B14" s="243"/>
      <c r="C14" s="190"/>
      <c r="D14" s="188"/>
      <c r="E14" s="189"/>
      <c r="F14" s="181"/>
      <c r="G14" s="249"/>
    </row>
    <row r="15" spans="1:7" x14ac:dyDescent="0.3">
      <c r="A15" s="185"/>
      <c r="B15" s="243"/>
      <c r="C15" s="190"/>
      <c r="D15" s="188"/>
      <c r="E15" s="189"/>
      <c r="F15" s="181"/>
      <c r="G15" s="249"/>
    </row>
    <row r="16" spans="1:7" x14ac:dyDescent="0.3">
      <c r="A16" s="185"/>
      <c r="B16" s="243"/>
      <c r="C16" s="190"/>
      <c r="D16" s="188"/>
      <c r="E16" s="189"/>
      <c r="F16" s="181"/>
      <c r="G16" s="273"/>
    </row>
    <row r="17" spans="1:7" ht="16.2" thickBot="1" x14ac:dyDescent="0.35">
      <c r="A17" s="191"/>
      <c r="B17" s="192"/>
      <c r="C17" s="201"/>
      <c r="D17" s="202"/>
      <c r="E17" s="195"/>
      <c r="F17" s="181"/>
      <c r="G17" s="250"/>
    </row>
    <row r="18" spans="1:7" ht="24" thickTop="1" thickBot="1" x14ac:dyDescent="0.35">
      <c r="A18" s="59"/>
      <c r="B18" s="59"/>
      <c r="D18" s="204" t="s">
        <v>157</v>
      </c>
      <c r="E18" s="197"/>
      <c r="G18" s="251"/>
    </row>
    <row r="19" spans="1:7" s="172" customFormat="1" ht="16.8" thickTop="1" thickBot="1" x14ac:dyDescent="0.35">
      <c r="A19" s="173" t="s">
        <v>80</v>
      </c>
      <c r="B19" s="173" t="s">
        <v>3</v>
      </c>
      <c r="C19" s="174" t="s">
        <v>21</v>
      </c>
      <c r="D19" s="175" t="s">
        <v>81</v>
      </c>
      <c r="E19" s="176" t="s">
        <v>82</v>
      </c>
      <c r="G19" s="252" t="s">
        <v>136</v>
      </c>
    </row>
    <row r="20" spans="1:7" x14ac:dyDescent="0.3">
      <c r="A20" s="177"/>
      <c r="B20" s="198"/>
      <c r="C20" s="178"/>
      <c r="D20" s="179"/>
      <c r="E20" s="180"/>
      <c r="G20" s="249"/>
    </row>
    <row r="21" spans="1:7" x14ac:dyDescent="0.3">
      <c r="A21" s="182"/>
      <c r="B21" s="199"/>
      <c r="C21" s="200"/>
      <c r="D21" s="183"/>
      <c r="E21" s="184"/>
      <c r="G21" s="249"/>
    </row>
    <row r="22" spans="1:7" ht="16.2" thickBot="1" x14ac:dyDescent="0.35">
      <c r="A22" s="191"/>
      <c r="B22" s="192"/>
      <c r="C22" s="201"/>
      <c r="D22" s="202"/>
      <c r="E22" s="195"/>
      <c r="G22" s="250"/>
    </row>
    <row r="23" spans="1:7" ht="16.2" thickTop="1" x14ac:dyDescent="0.3">
      <c r="G23" s="253"/>
    </row>
    <row r="24" spans="1:7" x14ac:dyDescent="0.3">
      <c r="E24" s="59" t="s">
        <v>137</v>
      </c>
      <c r="G24" s="278">
        <f>SUM(G3:G22,Martial!M3:M27)</f>
        <v>65717</v>
      </c>
    </row>
  </sheetData>
  <sortState xmlns:xlrd2="http://schemas.microsoft.com/office/spreadsheetml/2017/richdata2" ref="A3:D6">
    <sortCondition ref="A3:A6"/>
  </sortState>
  <phoneticPr fontId="0" type="noConversion"/>
  <conditionalFormatting sqref="G24">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Mystra</vt:lpstr>
      <vt:lpstr>Spells</vt:lpstr>
      <vt:lpstr>Feats</vt:lpstr>
      <vt:lpstr>Martial</vt:lpstr>
      <vt:lpstr>Equipment</vt:lpstr>
      <vt:lpstr>Mystra!Print_Area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2025-01-12T18:59:36Z</dcterms:modified>
</cp:coreProperties>
</file>