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A\Juegos\FoL\NPCs\"/>
    </mc:Choice>
  </mc:AlternateContent>
  <xr:revisionPtr revIDLastSave="0" documentId="13_ncr:1_{5CF6D48A-189D-4F12-912C-4A2029D5EC8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Spellcasting" sheetId="30" r:id="rId4"/>
    <sheet name="Feats" sheetId="26"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Spellcasting!#REF!</definedName>
    <definedName name="_xlnm.Print_Area" localSheetId="6">Equipment!#REF!</definedName>
    <definedName name="_xlnm.Print_Area" localSheetId="4">Feats!#REF!</definedName>
    <definedName name="_xlnm.Print_Area" localSheetId="5">Martial!#REF!</definedName>
    <definedName name="_xlnm.Print_Area" localSheetId="0">'Personal File'!$A$1:$H$64</definedName>
    <definedName name="_xlnm.Print_Area" localSheetId="1">Skills!$A$1:$K$29</definedName>
    <definedName name="_xlnm.Print_Area" localSheetId="3">Spellcasting!#REF!</definedName>
    <definedName name="_xlnm.Print_Area" localSheetId="2">Spells!$A$1:$H$4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5" l="1"/>
  <c r="C17" i="6"/>
  <c r="B5" i="15"/>
  <c r="B4" i="15"/>
  <c r="B3" i="15"/>
  <c r="B9" i="4"/>
  <c r="F46" i="15" l="1"/>
  <c r="F16" i="15"/>
  <c r="F9" i="15"/>
  <c r="K6" i="30"/>
  <c r="J6" i="30"/>
  <c r="I6" i="30"/>
  <c r="H6" i="30"/>
  <c r="G6" i="30"/>
  <c r="F6" i="30"/>
  <c r="E6" i="30"/>
  <c r="D6" i="30"/>
  <c r="C6" i="30"/>
  <c r="B6" i="30"/>
  <c r="H10" i="15"/>
  <c r="B47" i="15" l="1"/>
  <c r="H39" i="15"/>
  <c r="H38" i="15"/>
  <c r="H37" i="15"/>
  <c r="H41" i="15" l="1"/>
  <c r="H27" i="15"/>
  <c r="H24" i="15"/>
  <c r="I20" i="6" l="1"/>
  <c r="F44" i="15" l="1"/>
  <c r="F35" i="15"/>
  <c r="F28" i="15"/>
  <c r="F21" i="15"/>
  <c r="F7" i="15"/>
  <c r="E56" i="15"/>
  <c r="H45" i="15"/>
  <c r="H44" i="15"/>
  <c r="H43" i="15"/>
  <c r="H42" i="15"/>
  <c r="H40" i="15"/>
  <c r="H36" i="15"/>
  <c r="H35" i="15"/>
  <c r="H34" i="15"/>
  <c r="H33" i="15"/>
  <c r="H32" i="15"/>
  <c r="H31" i="15"/>
  <c r="H30" i="15"/>
  <c r="H29" i="15"/>
  <c r="H28" i="15"/>
  <c r="H26" i="15"/>
  <c r="H25" i="15"/>
  <c r="H23" i="15"/>
  <c r="H22" i="15"/>
  <c r="H21" i="15"/>
  <c r="H20" i="15"/>
  <c r="H19" i="15"/>
  <c r="H18" i="15"/>
  <c r="H17" i="15"/>
  <c r="H16" i="15"/>
  <c r="H15" i="15"/>
  <c r="H14" i="15"/>
  <c r="H13" i="15"/>
  <c r="H12" i="15"/>
  <c r="H11" i="15"/>
  <c r="H9" i="15"/>
  <c r="H8" i="15"/>
  <c r="C34" i="19" l="1"/>
  <c r="C47" i="19" l="1"/>
  <c r="G60" i="19"/>
  <c r="G47" i="19"/>
  <c r="I18" i="6"/>
  <c r="I12" i="6" l="1"/>
  <c r="I10" i="6"/>
  <c r="I9" i="6"/>
  <c r="I7" i="6"/>
  <c r="I4" i="6"/>
  <c r="I3" i="6" l="1"/>
  <c r="G31" i="19" l="1"/>
  <c r="C31" i="19" l="1"/>
  <c r="G16" i="19" l="1"/>
  <c r="C15" i="19"/>
  <c r="C16" i="19"/>
  <c r="H16" i="6" l="1"/>
  <c r="G9" i="19" l="1"/>
  <c r="G46" i="19"/>
  <c r="G56" i="19"/>
  <c r="C56" i="19"/>
  <c r="H7" i="15" l="1"/>
  <c r="C60" i="19" l="1"/>
  <c r="G54" i="19" l="1"/>
  <c r="I6" i="6"/>
  <c r="G23" i="19"/>
  <c r="G68" i="19" l="1"/>
  <c r="C68" i="19"/>
  <c r="G59" i="19"/>
  <c r="C59" i="19"/>
  <c r="G55" i="19"/>
  <c r="G33" i="19"/>
  <c r="G70" i="19" s="1"/>
  <c r="C33" i="19"/>
  <c r="C55" i="19"/>
  <c r="G15" i="19"/>
  <c r="I19" i="6"/>
  <c r="C69" i="19" l="1"/>
  <c r="B69" i="19" s="1"/>
  <c r="E12" i="4"/>
  <c r="H3" i="15"/>
  <c r="H4" i="15"/>
  <c r="H5" i="15"/>
  <c r="I17" i="6" l="1"/>
  <c r="I21" i="6" l="1"/>
  <c r="I16" i="6"/>
  <c r="I13" i="6"/>
  <c r="J16" i="6" l="1"/>
  <c r="I11" i="6" l="1"/>
  <c r="C16" i="4" l="1"/>
  <c r="C15" i="4"/>
  <c r="C14" i="4"/>
  <c r="C13" i="4"/>
  <c r="E13" i="4" s="1"/>
  <c r="C12" i="4"/>
  <c r="C11" i="4"/>
  <c r="O3" i="30" l="1"/>
  <c r="F7" i="30"/>
  <c r="C7" i="30"/>
  <c r="B7" i="30"/>
  <c r="O4" i="30"/>
  <c r="E7" i="30"/>
  <c r="O5" i="30"/>
  <c r="D7" i="30"/>
  <c r="K7" i="30"/>
  <c r="J7" i="30"/>
  <c r="I7" i="30"/>
  <c r="H7" i="30"/>
  <c r="G7" i="30"/>
  <c r="E53" i="15"/>
  <c r="E51" i="15"/>
  <c r="D38" i="15"/>
  <c r="E52" i="15"/>
  <c r="E55" i="15"/>
  <c r="D39" i="15"/>
  <c r="E50" i="15"/>
  <c r="E48" i="15"/>
  <c r="D37" i="15"/>
  <c r="E49" i="15"/>
  <c r="B10" i="4"/>
  <c r="D23" i="15"/>
  <c r="E23" i="15" s="1"/>
  <c r="D24" i="15"/>
  <c r="E14" i="4"/>
  <c r="H20" i="6"/>
  <c r="J20" i="6" s="1"/>
  <c r="D26" i="15"/>
  <c r="E54" i="15"/>
  <c r="H13" i="6"/>
  <c r="J13" i="6" s="1"/>
  <c r="E16" i="4"/>
  <c r="E15" i="4" s="1"/>
  <c r="H18" i="6"/>
  <c r="J18" i="6" s="1"/>
  <c r="H3" i="6"/>
  <c r="H6" i="6"/>
  <c r="H11" i="6"/>
  <c r="H9" i="6"/>
  <c r="H19" i="6"/>
  <c r="J19" i="6" s="1"/>
  <c r="D25" i="15"/>
  <c r="D3" i="15"/>
  <c r="D10" i="15"/>
  <c r="E10" i="15" s="1"/>
  <c r="D4" i="15"/>
  <c r="D21" i="15"/>
  <c r="E21" i="15" s="1"/>
  <c r="D35" i="15"/>
  <c r="E35" i="15" s="1"/>
  <c r="D7" i="15"/>
  <c r="E7" i="15" s="1"/>
  <c r="D28" i="15"/>
  <c r="E28" i="15" s="1"/>
  <c r="D44" i="15"/>
  <c r="E44" i="15" s="1"/>
  <c r="D29" i="15"/>
  <c r="E29" i="15" s="1"/>
  <c r="D46" i="15"/>
  <c r="E46" i="15" s="1"/>
  <c r="D16" i="15"/>
  <c r="E16" i="15" s="1"/>
  <c r="D32" i="15"/>
  <c r="E32" i="15" s="1"/>
  <c r="D8" i="15"/>
  <c r="E8" i="15" s="1"/>
  <c r="D22" i="15"/>
  <c r="E22" i="15" s="1"/>
  <c r="D18" i="15"/>
  <c r="E18" i="15" s="1"/>
  <c r="D15" i="15"/>
  <c r="E15" i="15" s="1"/>
  <c r="D13" i="15"/>
  <c r="E13" i="15" s="1"/>
  <c r="D19" i="15"/>
  <c r="E19" i="15" s="1"/>
  <c r="D30" i="15"/>
  <c r="E30" i="15" s="1"/>
  <c r="D45" i="15"/>
  <c r="E45" i="15" s="1"/>
  <c r="D34" i="15"/>
  <c r="E34" i="15" s="1"/>
  <c r="D5" i="15"/>
  <c r="D31" i="15"/>
  <c r="E31" i="15" s="1"/>
  <c r="D20" i="15"/>
  <c r="E20" i="15" s="1"/>
  <c r="D42" i="15"/>
  <c r="E42" i="15" s="1"/>
  <c r="D27" i="15"/>
  <c r="E27" i="15" s="1"/>
  <c r="D41" i="15"/>
  <c r="E41" i="15" s="1"/>
  <c r="D43" i="15"/>
  <c r="E43" i="15" s="1"/>
  <c r="D9" i="15"/>
  <c r="E9" i="15" s="1"/>
  <c r="D6" i="15"/>
  <c r="E6" i="15" s="1"/>
  <c r="D14" i="15"/>
  <c r="E14" i="15" s="1"/>
  <c r="D11" i="15"/>
  <c r="E11" i="15" s="1"/>
  <c r="D17" i="15"/>
  <c r="E17" i="15" s="1"/>
  <c r="D40" i="15"/>
  <c r="E40" i="15" s="1"/>
  <c r="D12" i="15"/>
  <c r="E12" i="15" s="1"/>
  <c r="D36" i="15"/>
  <c r="E36" i="15" s="1"/>
  <c r="D33" i="15"/>
  <c r="E33" i="15" s="1"/>
  <c r="H17" i="6"/>
  <c r="J17" i="6" s="1"/>
  <c r="H21" i="6"/>
  <c r="J21" i="6" s="1"/>
  <c r="H46" i="15"/>
  <c r="H6" i="15"/>
  <c r="E38" i="15" l="1"/>
  <c r="G38" i="15"/>
  <c r="I38" i="15" s="1"/>
  <c r="G37" i="15"/>
  <c r="I37" i="15" s="1"/>
  <c r="E37" i="15"/>
  <c r="G39" i="15"/>
  <c r="I39" i="15" s="1"/>
  <c r="E39" i="15"/>
  <c r="E24" i="15"/>
  <c r="G24" i="15"/>
  <c r="I24" i="15" s="1"/>
  <c r="E26" i="15"/>
  <c r="G26" i="15"/>
  <c r="I26" i="15" s="1"/>
  <c r="H12" i="6"/>
  <c r="J12" i="6" s="1"/>
  <c r="J11" i="6"/>
  <c r="H10" i="6"/>
  <c r="J10" i="6" s="1"/>
  <c r="J9" i="6"/>
  <c r="H7" i="6"/>
  <c r="J7" i="6" s="1"/>
  <c r="J6" i="6"/>
  <c r="H4" i="6"/>
  <c r="J4" i="6" s="1"/>
  <c r="J3" i="6"/>
  <c r="E25" i="15"/>
  <c r="G25" i="15"/>
  <c r="I25" i="15" s="1"/>
  <c r="E3" i="15"/>
  <c r="G3" i="15"/>
  <c r="I3" i="15" s="1"/>
  <c r="E4" i="15"/>
  <c r="G4" i="15"/>
  <c r="I4" i="15" s="1"/>
  <c r="E47" i="15"/>
  <c r="E5" i="15"/>
  <c r="G5" i="15"/>
  <c r="I5" i="15" s="1"/>
  <c r="G31" i="15" l="1"/>
  <c r="G8" i="15" l="1"/>
  <c r="G6" i="15"/>
  <c r="I6" i="15" s="1"/>
  <c r="G10" i="15"/>
  <c r="G16" i="15"/>
  <c r="G21" i="15"/>
  <c r="G28" i="15"/>
  <c r="I28" i="15" s="1"/>
  <c r="G46" i="15"/>
  <c r="G29" i="15"/>
  <c r="I29" i="15" s="1"/>
  <c r="G41" i="15"/>
  <c r="G19" i="15"/>
  <c r="G7" i="15"/>
  <c r="G17" i="15"/>
  <c r="G22" i="15"/>
  <c r="I31" i="15"/>
  <c r="G30" i="15"/>
  <c r="I30" i="15" s="1"/>
  <c r="G12" i="15"/>
  <c r="G45" i="15"/>
  <c r="G44" i="15"/>
  <c r="G40" i="15"/>
  <c r="G13" i="15"/>
  <c r="I13" i="15" s="1"/>
  <c r="G18" i="15"/>
  <c r="G23" i="15"/>
  <c r="G32" i="15"/>
  <c r="G14" i="15"/>
  <c r="G33" i="15"/>
  <c r="G36" i="15"/>
  <c r="G11" i="15"/>
  <c r="I11" i="15" s="1"/>
  <c r="G9" i="15"/>
  <c r="G15" i="15"/>
  <c r="G20" i="15"/>
  <c r="G27" i="15"/>
  <c r="G34" i="15"/>
  <c r="I34" i="15" s="1"/>
  <c r="G35" i="15"/>
  <c r="G43" i="15"/>
  <c r="I43" i="15" s="1"/>
  <c r="G42" i="15"/>
  <c r="I36" i="15" l="1"/>
  <c r="I12" i="15"/>
  <c r="I44" i="15"/>
  <c r="I9" i="15"/>
  <c r="I23" i="15"/>
  <c r="I7" i="15"/>
  <c r="I27" i="15"/>
  <c r="I15" i="15"/>
  <c r="I32" i="15"/>
  <c r="I18" i="15"/>
  <c r="I17" i="15"/>
  <c r="I19" i="15"/>
  <c r="I16" i="15"/>
  <c r="I42" i="15"/>
  <c r="I35" i="15"/>
  <c r="I14" i="15"/>
  <c r="I45" i="15"/>
  <c r="I46" i="15"/>
  <c r="I21" i="15"/>
  <c r="I33" i="15"/>
  <c r="I40" i="15"/>
  <c r="I20" i="15"/>
  <c r="I41"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F9F071BE-64E9-4879-8C80-9D8FE6D282C5}">
      <text>
        <r>
          <rPr>
            <i/>
            <sz val="12"/>
            <color indexed="81"/>
            <rFont val="Times New Roman"/>
            <family val="1"/>
          </rPr>
          <t>divine favor +1
bane -1
haste +1</t>
        </r>
      </text>
    </comment>
    <comment ref="E9" authorId="0" shapeId="0" xr:uid="{81AC56B1-451D-49E3-AC58-FC737D4BB7C4}">
      <text>
        <r>
          <rPr>
            <b/>
            <sz val="12"/>
            <color indexed="81"/>
            <rFont val="Times New Roman"/>
            <family val="1"/>
          </rPr>
          <t>Extreme Leap (Skill Trick)</t>
        </r>
        <r>
          <rPr>
            <sz val="12"/>
            <color indexed="81"/>
            <rFont val="Times New Roman"/>
            <family val="1"/>
          </rPr>
          <t xml:space="preserve">
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B11" authorId="0" shapeId="0" xr:uid="{23F6553F-6567-4A45-A0E8-EDCC3FD3CB9C}">
      <text>
        <r>
          <rPr>
            <i/>
            <sz val="12"/>
            <color indexed="81"/>
            <rFont val="Times New Roman"/>
            <family val="1"/>
          </rPr>
          <t>bull’s strength +4
enlarge person +2
Brute Gauntlets +2, 3, or 4</t>
        </r>
      </text>
    </comment>
    <comment ref="E11" authorId="0" shapeId="0" xr:uid="{6A93A206-574E-4A9C-8CEA-F2D8D7023125}">
      <text>
        <r>
          <rPr>
            <sz val="12"/>
            <color indexed="81"/>
            <rFont val="Times New Roman"/>
            <family val="1"/>
          </rPr>
          <t>See PHB 162</t>
        </r>
      </text>
    </comment>
    <comment ref="B12" authorId="0" shapeId="0" xr:uid="{D5394AA1-02C5-43C0-8B4C-219D314E776F}">
      <text>
        <r>
          <rPr>
            <i/>
            <sz val="12"/>
            <color indexed="81"/>
            <rFont val="Times New Roman"/>
            <family val="1"/>
          </rPr>
          <t>enlarge person -2
Fatigue -2</t>
        </r>
      </text>
    </comment>
    <comment ref="E12" authorId="0" shapeId="0" xr:uid="{26CD1242-8118-49FE-A240-0D13C5069AD8}">
      <text>
        <r>
          <rPr>
            <sz val="12"/>
            <color indexed="81"/>
            <rFont val="Times New Roman"/>
            <family val="1"/>
          </rPr>
          <t>Haversack is 5 lbs.</t>
        </r>
      </text>
    </comment>
    <comment ref="E13" authorId="0" shapeId="0" xr:uid="{00000000-0006-0000-0000-000004000000}">
      <text>
        <r>
          <rPr>
            <sz val="12"/>
            <color indexed="81"/>
            <rFont val="Times New Roman"/>
            <family val="1"/>
          </rPr>
          <t>+[(4 * 8 Scout) * 75%]
+[(2 * 8 Ranger) * 75%]
+[(2 * 10 Fighter) * 75%]
+ (8 * 1 Con)
- (8 Quick)</t>
        </r>
      </text>
    </comment>
    <comment ref="E14" authorId="0" shapeId="0" xr:uid="{9400A056-C2BB-4FE5-823B-AEE1C062D298}">
      <text>
        <r>
          <rPr>
            <sz val="12"/>
            <color indexed="81"/>
            <rFont val="Times New Roman"/>
            <family val="1"/>
          </rPr>
          <t xml:space="preserve">Ring of Protection +2
</t>
        </r>
        <r>
          <rPr>
            <i/>
            <sz val="12"/>
            <color indexed="81"/>
            <rFont val="Times New Roman"/>
            <family val="1"/>
          </rPr>
          <t>haste +1
Enlarge Person -1</t>
        </r>
      </text>
    </comment>
    <comment ref="B16" authorId="0" shapeId="0" xr:uid="{DBF404F4-2ABD-4454-BB06-7FB1D56135CB}">
      <text>
        <r>
          <rPr>
            <sz val="12"/>
            <color indexed="81"/>
            <rFont val="Times New Roman"/>
            <family val="1"/>
          </rPr>
          <t>Cloak of Charisma +2</t>
        </r>
        <r>
          <rPr>
            <i/>
            <sz val="12"/>
            <color indexed="81"/>
            <rFont val="Times New Roman"/>
            <family val="1"/>
          </rPr>
          <t xml:space="preserve">
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9C797DDE-A4E0-49FE-BF06-AB22BB9B27F8}">
      <text>
        <r>
          <rPr>
            <sz val="12"/>
            <color indexed="81"/>
            <rFont val="Times New Roman"/>
            <family val="1"/>
          </rPr>
          <t>Plucky -1</t>
        </r>
      </text>
    </comment>
    <comment ref="F5" authorId="0" shapeId="0" xr:uid="{9AFC60A4-15E0-49C4-AB41-272E41F4CEBB}">
      <text>
        <r>
          <rPr>
            <sz val="12"/>
            <color indexed="81"/>
            <rFont val="Times New Roman"/>
            <family val="1"/>
          </rPr>
          <t>Plucky +1</t>
        </r>
      </text>
    </comment>
    <comment ref="F7" authorId="0" shapeId="0" xr:uid="{EEC338AA-01CF-4FC0-B86F-F8DF3D45F6DE}">
      <text>
        <r>
          <rPr>
            <sz val="12"/>
            <color indexed="81"/>
            <rFont val="Times New Roman"/>
            <family val="1"/>
          </rPr>
          <t>Tumble synergy +2
Armor penalty</t>
        </r>
      </text>
    </comment>
    <comment ref="F9" authorId="0" shapeId="0" xr:uid="{686101EC-6E1C-4E05-B080-675F438542E3}">
      <text>
        <r>
          <rPr>
            <sz val="12"/>
            <color indexed="81"/>
            <rFont val="Times New Roman"/>
            <family val="1"/>
          </rPr>
          <t>Armor penalty
Use Rope synergy +2</t>
        </r>
      </text>
    </comment>
    <comment ref="F16" authorId="0" shapeId="0" xr:uid="{189201B2-B933-4F74-8EFD-8BBE70E52F71}">
      <text>
        <r>
          <rPr>
            <sz val="12"/>
            <color indexed="81"/>
            <rFont val="Times New Roman"/>
            <family val="1"/>
          </rPr>
          <t>Armor penalty
Use Rope synergy +2</t>
        </r>
      </text>
    </comment>
    <comment ref="F20" authorId="0" shapeId="0" xr:uid="{9258D464-79FE-459C-B3AC-0C36D1D8220B}">
      <text>
        <r>
          <rPr>
            <sz val="12"/>
            <color indexed="81"/>
            <rFont val="Times New Roman"/>
            <family val="1"/>
          </rPr>
          <t>Healing Belt +2</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Tumble synergy +2
Armor penalty
Speed bonus +8</t>
        </r>
      </text>
    </comment>
    <comment ref="F28" authorId="0" shapeId="0" xr:uid="{FEAABE47-FE22-4571-B027-838DB519F77D}">
      <text>
        <r>
          <rPr>
            <sz val="12"/>
            <color indexed="81"/>
            <rFont val="Times New Roman"/>
            <family val="1"/>
          </rPr>
          <t>Armor penalty</t>
        </r>
      </text>
    </comment>
    <comment ref="F35" authorId="0" shapeId="0" xr:uid="{590B8E20-33CF-45A1-9151-6E34B1F8BCD7}">
      <text>
        <r>
          <rPr>
            <sz val="12"/>
            <color indexed="81"/>
            <rFont val="Times New Roman"/>
            <family val="1"/>
          </rPr>
          <t>Armor penalty</t>
        </r>
      </text>
    </comment>
    <comment ref="F44" authorId="0" shapeId="0" xr:uid="{9B6B967C-7166-4A3D-A949-9124D3193379}">
      <text>
        <r>
          <rPr>
            <sz val="12"/>
            <color indexed="81"/>
            <rFont val="Times New Roman"/>
            <family val="1"/>
          </rPr>
          <t>Armor penalty
Jump synergy +2</t>
        </r>
      </text>
    </comment>
    <comment ref="F46" authorId="0" shapeId="0" xr:uid="{1BD0E9F5-4914-4E2B-9F86-75729A633CC0}">
      <text>
        <r>
          <rPr>
            <sz val="12"/>
            <color indexed="81"/>
            <rFont val="Times New Roman"/>
            <family val="1"/>
          </rPr>
          <t>Armor penalty
Escape Artist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21A4FBCD-C1DA-49E0-B8FA-8D3AA1CBE73D}">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2" authorId="0" shapeId="0" xr:uid="{C7A374A5-0C11-45C8-B925-F6653991624F}">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3" authorId="0" shapeId="0" xr:uid="{64A42BB0-E948-4696-95B5-4D77F3E644F9}">
      <text>
        <r>
          <rPr>
            <sz val="12"/>
            <color indexed="81"/>
            <rFont val="Times New Roman"/>
            <family val="1"/>
          </rPr>
          <t xml:space="preserve">You are a stranger to fear. Nothing can shake your courage.
</t>
        </r>
        <r>
          <rPr>
            <b/>
            <sz val="12"/>
            <color indexed="81"/>
            <rFont val="Times New Roman"/>
            <family val="1"/>
          </rPr>
          <t xml:space="preserve">Prerequisite: </t>
        </r>
        <r>
          <rPr>
            <sz val="12"/>
            <color indexed="81"/>
            <rFont val="Times New Roman"/>
            <family val="1"/>
          </rPr>
          <t xml:space="preserve">Aarakocra (the Stormhorns), elf (Elven Court or Snow Eagle Aerie), gloamingUND (Sphur Upra), gnome (Lantan), halfling (Channath Vale or the Western Heartlands), human (Anauroch or Impiltur), or orc (the Hordelands).
</t>
        </r>
        <r>
          <rPr>
            <b/>
            <sz val="12"/>
            <color indexed="81"/>
            <rFont val="Times New Roman"/>
            <family val="1"/>
          </rPr>
          <t xml:space="preserve">Benefit: </t>
        </r>
        <r>
          <rPr>
            <sz val="12"/>
            <color indexed="81"/>
            <rFont val="Times New Roman"/>
            <family val="1"/>
          </rPr>
          <t xml:space="preserve">You are immune to fear effects, magical or otherwise.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C3" authorId="0" shapeId="0" xr:uid="{BDE7841D-8769-4168-8A04-1EEDB7883885}">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C4" authorId="0" shapeId="0" xr:uid="{6B9F970F-4E5F-4EF1-B0C3-7EEA7F8729AB}">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5" authorId="0" shapeId="0" xr:uid="{4F40057C-2D9F-4F45-996A-A757D96565CA}">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5" authorId="0" shapeId="0" xr:uid="{C2A1A791-507B-4F31-9A8A-E33E4463A7E7}">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6" authorId="0" shapeId="0" xr:uid="{1736E379-1F9F-4B19-A49B-6812EF74F626}">
      <text>
        <r>
          <rPr>
            <sz val="12"/>
            <color indexed="81"/>
            <rFont val="Times New Roman"/>
            <family val="1"/>
          </rPr>
          <t xml:space="preserve">You have applied the hit-and-run tactics learned from scouting to your strong hunting abilities.
</t>
        </r>
        <r>
          <rPr>
            <b/>
            <sz val="12"/>
            <color indexed="81"/>
            <rFont val="Times New Roman"/>
            <family val="1"/>
          </rPr>
          <t xml:space="preserve">Prerequisite: </t>
        </r>
        <r>
          <rPr>
            <sz val="12"/>
            <color indexed="81"/>
            <rFont val="Times New Roman"/>
            <family val="1"/>
          </rPr>
          <t xml:space="preserve">Favored enemy, skirmish +1d6/+1 AC.
</t>
        </r>
        <r>
          <rPr>
            <b/>
            <sz val="12"/>
            <color indexed="81"/>
            <rFont val="Times New Roman"/>
            <family val="1"/>
          </rPr>
          <t xml:space="preserve">Benefit: </t>
        </r>
        <r>
          <rPr>
            <sz val="12"/>
            <color indexed="81"/>
            <rFont val="Times New Roman"/>
            <family val="1"/>
          </rPr>
          <t xml:space="preserve">Your ranger and scout levels stack for the purpose of determining the extra damage and bonus to Armor Class granted when skirmishing.  For example, a 4th-level scout/1stlevel ranger would deal an extra 2d6 points of damage and gain a +1 competence bonus to AC when skirmishing, as if she were a 5th-level scout.
Your ranger and scout levels also stack for the purpose of determining when you select additional favored enemies, as well as the total bonus granted against your favored enemies.  For example, a 4th-level scout/1st-level ranger would have two favored enemies and could allocate an extra +2 bonus against one of those favored enemies, as if she were a 5th-level ranger.
In addition, your skirmish extra damage applies against any creature you have selected as a favored enemy, even if it is normally immune to extra damage from critical hits or skirmish attacks.
</t>
        </r>
        <r>
          <rPr>
            <b/>
            <sz val="12"/>
            <color indexed="81"/>
            <rFont val="Times New Roman"/>
            <family val="1"/>
          </rPr>
          <t xml:space="preserve">Special: </t>
        </r>
        <r>
          <rPr>
            <sz val="12"/>
            <color indexed="81"/>
            <rFont val="Times New Roman"/>
            <family val="1"/>
          </rPr>
          <t>A scout can select Swift Hunter as one of her scout bonus feats (Complete Adventurer 13).
Complete Scoundrel 81</t>
        </r>
      </text>
    </comment>
    <comment ref="C8" authorId="0" shapeId="0" xr:uid="{BDD4F96A-B18E-494E-BB57-3063FB62DD56}">
      <text>
        <r>
          <rPr>
            <sz val="12"/>
            <color indexed="81"/>
            <rFont val="Times New Roman"/>
            <family val="1"/>
          </rPr>
          <t xml:space="preserve">You are skilled in lining up accurate, deadly shots with your crossbow. Perhaps you add custom-made sights to your weapon, or you have learned to maximize the stability and precision the weapon offers.
</t>
        </r>
        <r>
          <rPr>
            <b/>
            <sz val="12"/>
            <color indexed="81"/>
            <rFont val="Times New Roman"/>
            <family val="1"/>
          </rPr>
          <t xml:space="preserve">Prerequisites: </t>
        </r>
        <r>
          <rPr>
            <sz val="12"/>
            <color indexed="81"/>
            <rFont val="Times New Roman"/>
            <family val="1"/>
          </rPr>
          <t xml:space="preserve">Proficiency with hand, heavy, or light crossbow, Weapon Focus with hand, heavy, or light crossbow, base attack bonus +1.
</t>
        </r>
        <r>
          <rPr>
            <b/>
            <sz val="12"/>
            <color indexed="81"/>
            <rFont val="Times New Roman"/>
            <family val="1"/>
          </rPr>
          <t xml:space="preserve">Benefit: </t>
        </r>
        <r>
          <rPr>
            <sz val="12"/>
            <color indexed="81"/>
            <rFont val="Times New Roman"/>
            <family val="1"/>
          </rPr>
          <t xml:space="preserve">When using a crossbow for which you have the Weapon Focus feat, you gain a bonus on damage rolls equal to 1/2 your Dexterity bonus.
If you have the skirmish or sneak attack ability, the maximum range at which you can make such attacks increases to 60 feet when you are using a crossbow for which you have the Weapon Focus feat.
</t>
        </r>
        <r>
          <rPr>
            <b/>
            <sz val="12"/>
            <color indexed="81"/>
            <rFont val="Times New Roman"/>
            <family val="1"/>
          </rPr>
          <t xml:space="preserve">Special: </t>
        </r>
        <r>
          <rPr>
            <sz val="12"/>
            <color indexed="81"/>
            <rFont val="Times New Roman"/>
            <family val="1"/>
          </rPr>
          <t>A fighter can select Crossbow Sniper as one of his fighter bonus feats.
PHB II 77</t>
        </r>
      </text>
    </comment>
    <comment ref="C9" authorId="0" shapeId="0" xr:uid="{49B54723-1194-4361-9994-8D5242C7A98E}">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10" authorId="0" shapeId="0" xr:uid="{B84A58F2-8674-43A7-A24B-186B274438D4}">
      <text>
        <r>
          <rPr>
            <sz val="12"/>
            <color indexed="81"/>
            <rFont val="Times New Roman"/>
            <family val="1"/>
          </rPr>
          <t xml:space="preserve">You can channel the pain of your injuries into a boiling rage that lets you lash out at your enemies with renewed vigor and power.  Each attack that strikes you only pushes you onward to greater glory.
During your turn, you gain a bonus on attack rolls and damage rolls equal to the current value of your delayed damage pool (see steely resolve, above) divided by 5, and rounding down (minimum +1).  You can only gain a maximum bonus on attack rolls and damage rolls of +6 from furious counterstrike.  Use the table below to quickly determine the attack bonus and damage bonus from furious counterstrike, based on the amount of damage in your delayed damage pool.  This ability’s benefits last until the end of your turn.
</t>
        </r>
        <r>
          <rPr>
            <b/>
            <sz val="12"/>
            <color indexed="81"/>
            <rFont val="Times New Roman"/>
            <family val="1"/>
          </rPr>
          <t>Delayed Damage Pool Points         Furious Counterstrike Bonus</t>
        </r>
        <r>
          <rPr>
            <sz val="12"/>
            <color indexed="81"/>
            <rFont val="Times New Roman"/>
            <family val="1"/>
          </rPr>
          <t xml:space="preserve">
1–9                                                 +1
10–14                                             +2
15–19                                             +3
20–24                                             +4
25–29                                             +5
30+                                                 +6
Bo9S 10</t>
        </r>
      </text>
    </comment>
    <comment ref="C13" authorId="0" shapeId="0" xr:uid="{D391454A-3D3E-4182-90B9-432B0DC03408}">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C14" authorId="0" shapeId="0" xr:uid="{5537F447-2A66-4622-AC3C-C1054352EE22}">
      <text>
        <r>
          <rPr>
            <sz val="12"/>
            <color indexed="81"/>
            <rFont val="Times New Roman"/>
            <family val="1"/>
          </rPr>
          <t xml:space="preserve">Your combat mobility improves.
</t>
        </r>
        <r>
          <rPr>
            <b/>
            <sz val="12"/>
            <color indexed="81"/>
            <rFont val="Times New Roman"/>
            <family val="1"/>
          </rPr>
          <t xml:space="preserve">Prerequisites:  </t>
        </r>
        <r>
          <rPr>
            <sz val="12"/>
            <color indexed="81"/>
            <rFont val="Times New Roman"/>
            <family val="1"/>
          </rPr>
          <t xml:space="preserve">Skirmish +4d6/+4 AC.
</t>
        </r>
        <r>
          <rPr>
            <b/>
            <sz val="12"/>
            <color indexed="81"/>
            <rFont val="Times New Roman"/>
            <family val="1"/>
          </rPr>
          <t xml:space="preserve">Benefit:  </t>
        </r>
        <r>
          <rPr>
            <sz val="12"/>
            <color indexed="81"/>
            <rFont val="Times New Roman"/>
            <family val="1"/>
          </rPr>
          <t xml:space="preserve">If the bonus to AC granted when you use your skirmish ability is equal to or higher than the number of dice of extra damage granted by your skirmish ability, your extra damage on skirmish attacks increases by 1d6.
If the bonus to AC granted by your skirmish ability is less than the number of dice of extra damage granted by your skirmish ability, the bonus to AC when skirmishing increases by 1 instead.
</t>
        </r>
        <r>
          <rPr>
            <b/>
            <sz val="12"/>
            <color indexed="81"/>
            <rFont val="Times New Roman"/>
            <family val="1"/>
          </rPr>
          <t xml:space="preserve">Special: </t>
        </r>
        <r>
          <rPr>
            <sz val="12"/>
            <color indexed="81"/>
            <rFont val="Times New Roman"/>
            <family val="1"/>
          </rPr>
          <t>This feat may be taken multiple times. Its effects stack.
PHB II</t>
        </r>
      </text>
    </comment>
    <comment ref="C15" authorId="0" shapeId="0" xr:uid="{19DE9AA0-E63C-41B5-8361-68134BB31ACD}">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6" authorId="0" shapeId="0" xr:uid="{E9061F9D-90C9-464C-BA7B-41DDEB8FFA05}">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17" authorId="0" shapeId="0" xr:uid="{546D5777-CC9D-4A80-AB8A-C0492DCC2F11}">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C18" authorId="0" shapeId="0" xr:uid="{8E288F47-1C58-483A-B732-7876586583B3}">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C19" authorId="0" shapeId="0" xr:uid="{27503FA6-4EFE-46B8-AD24-42710A0CEC9C}">
      <text>
        <r>
          <rPr>
            <sz val="12"/>
            <color indexed="81"/>
            <rFont val="Times New Roman"/>
            <family val="1"/>
          </rPr>
          <t>Beginning at 3rd level, a scout cannot be tracked in natural surroundings.  See the druid class feature, page 36 of the Player’s Handbook.
Complete Adventurer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7" authorId="0" shapeId="0" xr:uid="{B1C5A5D5-4AB7-4F2E-A5EA-06EF5DE8689B}">
      <text>
        <r>
          <rPr>
            <sz val="12"/>
            <color indexed="81"/>
            <rFont val="Times New Roman"/>
            <family val="1"/>
          </rPr>
          <t xml:space="preserve">You are skilled in lining up accurate, deadly shots with your crossbow. Perhaps you add custom-made sights to your weapon, or you have learned to maximize the stability and precision the weapon offers.
</t>
        </r>
        <r>
          <rPr>
            <b/>
            <sz val="12"/>
            <color indexed="81"/>
            <rFont val="Times New Roman"/>
            <family val="1"/>
          </rPr>
          <t xml:space="preserve">Prerequisites: </t>
        </r>
        <r>
          <rPr>
            <sz val="12"/>
            <color indexed="81"/>
            <rFont val="Times New Roman"/>
            <family val="1"/>
          </rPr>
          <t xml:space="preserve">Proficiency with hand, heavy, or light crossbow, Weapon Focus with hand, heavy, or light crossbow, base attack bonus +1.
</t>
        </r>
        <r>
          <rPr>
            <b/>
            <sz val="12"/>
            <color indexed="81"/>
            <rFont val="Times New Roman"/>
            <family val="1"/>
          </rPr>
          <t xml:space="preserve">Benefit: </t>
        </r>
        <r>
          <rPr>
            <sz val="12"/>
            <color indexed="81"/>
            <rFont val="Times New Roman"/>
            <family val="1"/>
          </rPr>
          <t xml:space="preserve">When using a crossbow for which you have the Weapon Focus feat, you gain a bonus on damage rolls equal to 1/2 your Dexterity bonus.
If you have the skirmish or sneak attack ability, the maximum range at which you can make such attacks increases to 60 feet when you are using a crossbow for which you have the Weapon Focus feat.
</t>
        </r>
        <r>
          <rPr>
            <b/>
            <sz val="12"/>
            <color indexed="81"/>
            <rFont val="Times New Roman"/>
            <family val="1"/>
          </rPr>
          <t xml:space="preserve">Special: </t>
        </r>
        <r>
          <rPr>
            <sz val="12"/>
            <color indexed="81"/>
            <rFont val="Times New Roman"/>
            <family val="1"/>
          </rPr>
          <t>A fighter can select Crossbow Sniper as one of his fighter bonus feats.
PHB II 77</t>
        </r>
      </text>
    </comment>
    <comment ref="D23" authorId="0" shapeId="0" xr:uid="{00000000-0006-0000-0500-000005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66BE915B-4E5C-4FA9-AB44-E8C31A69F386}">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5" authorId="0" shapeId="0" xr:uid="{09D46464-A6D4-4BC3-84D7-79087BBC5F12}">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MIC 71</t>
        </r>
      </text>
    </comment>
    <comment ref="A6" authorId="0" shapeId="0" xr:uid="{EF0C0A44-C164-40AC-AF6D-2AB9A6BDF00E}">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7" authorId="0" shapeId="0" xr:uid="{C9670EAC-08C0-43BD-9AB6-8AADE92F67B3}">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18" authorId="0" shapeId="0" xr:uid="{67B52D3C-38E9-4AF6-9421-4AD91CC0ADC3}">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26"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<sst xmlns="http://schemas.openxmlformats.org/spreadsheetml/2006/main" count="451" uniqueCount="270">
  <si>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</si>
  <si>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</si>
  <si>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</si>
  <si>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</si>
  <si>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</si>
  <si>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</si>
  <si>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</si>
  <si>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</si>
  <si>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</si>
  <si>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</si>
  <si>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</si>
  <si>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</si>
  <si>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</si>
  <si>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</si>
  <si>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</si>
  <si>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</si>
  <si>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</si>
  <si>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</si>
  <si>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</si>
  <si>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</si>
  <si>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</si>
  <si>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</si>
  <si>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</si>
  <si>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</si>
  <si>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</si>
  <si>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</si>
  <si>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</si>
  <si>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</si>
  <si>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</si>
  <si>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</si>
  <si>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</si>
  <si>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</si>
  <si>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</si>
  <si>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</si>
  <si>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</si>
  <si>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</si>
  <si>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</si>
  <si>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</si>
  <si>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</si>
  <si>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</si>
  <si>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</si>
  <si>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</si>
  <si>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</si>
  <si>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</si>
  <si>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</si>
  <si>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</si>
  <si>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</si>
  <si>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</si>
  <si>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</si>
  <si>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</si>
  <si>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</si>
  <si>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</si>
  <si>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</si>
  <si>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</si>
  <si>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</si>
  <si>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</si>
  <si>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</si>
  <si>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</si>
  <si>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</si>
  <si>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</si>
  <si>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</si>
  <si>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</si>
  <si>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School</t>
  </si>
  <si>
    <t>Equipment Worn</t>
  </si>
  <si>
    <t>Item</t>
  </si>
  <si>
    <t>Effects/</t>
  </si>
  <si>
    <t>Notes</t>
  </si>
  <si>
    <t>Equipment Carried</t>
  </si>
  <si>
    <t>Check</t>
  </si>
  <si>
    <t>Arcane</t>
  </si>
  <si>
    <t>Speed</t>
  </si>
  <si>
    <t>Sleight of Hand</t>
  </si>
  <si>
    <t>Survival</t>
  </si>
  <si>
    <t>Weapon Proficiencies</t>
  </si>
  <si>
    <t>Atk</t>
  </si>
  <si>
    <t>Components</t>
  </si>
  <si>
    <t>Casting</t>
  </si>
  <si>
    <t>1st</t>
  </si>
  <si>
    <t>2nd</t>
  </si>
  <si>
    <t>3rd</t>
  </si>
  <si>
    <t>4th</t>
  </si>
  <si>
    <t>5th</t>
  </si>
  <si>
    <t>6th</t>
  </si>
  <si>
    <t>Spell Level</t>
  </si>
  <si>
    <t>0th</t>
  </si>
  <si>
    <t>7th</t>
  </si>
  <si>
    <t>Feats</t>
  </si>
  <si>
    <t>Roll</t>
  </si>
  <si>
    <t>Skill/Save</t>
  </si>
  <si>
    <t>Human</t>
  </si>
  <si>
    <t>Perform:  [type]</t>
  </si>
  <si>
    <t>Value</t>
  </si>
  <si>
    <t>Spell Component Pouch</t>
  </si>
  <si>
    <t>Total Equity:</t>
  </si>
  <si>
    <t>-</t>
  </si>
  <si>
    <t>Traveler’s Outfit</t>
  </si>
  <si>
    <t>eight</t>
  </si>
  <si>
    <t>Race</t>
  </si>
  <si>
    <t>Class</t>
  </si>
  <si>
    <t>Sex</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</si>
  <si>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</si>
  <si>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</si>
  <si>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</si>
  <si>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</si>
  <si>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</si>
  <si>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</si>
  <si>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</si>
  <si>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</si>
  <si>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</si>
  <si>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</si>
  <si>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</si>
  <si>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</si>
  <si>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</si>
  <si>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</si>
  <si>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</si>
  <si>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</si>
  <si>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</si>
  <si>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</si>
  <si>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</si>
  <si>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</si>
  <si>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</si>
  <si>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</si>
  <si>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</si>
  <si>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</si>
  <si>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</si>
  <si>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Spells Granted by Mayaheine</t>
  </si>
  <si>
    <t>Neutral Good</t>
  </si>
  <si>
    <t>Charisma Bonus</t>
  </si>
  <si>
    <t>Favored Soul Spells</t>
  </si>
  <si>
    <t>8th</t>
  </si>
  <si>
    <t>9th</t>
  </si>
  <si>
    <t>DC</t>
  </si>
  <si>
    <t>Cast?</t>
  </si>
  <si>
    <t>Profession:  [type]</t>
  </si>
  <si>
    <t>AC</t>
  </si>
  <si>
    <t xml:space="preserve">Silver Holy Symbol of Mayaheine </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</si>
  <si>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</si>
  <si>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</si>
  <si>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</si>
  <si>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</si>
  <si>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</si>
  <si>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</si>
  <si>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</si>
  <si>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</si>
  <si>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</si>
  <si>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</si>
  <si>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</si>
  <si>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</si>
  <si>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</si>
  <si>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</si>
  <si>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</si>
  <si>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</si>
  <si>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</si>
  <si>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</si>
  <si>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</si>
  <si>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</si>
  <si>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</si>
  <si>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2</t>
  </si>
  <si>
    <t>Holy Water, Flask</t>
  </si>
  <si>
    <t>Everburning Torch</t>
  </si>
  <si>
    <t>Tanglefoot Bag</t>
  </si>
  <si>
    <t>Thunderstone</t>
  </si>
  <si>
    <t>Tindertwigs</t>
  </si>
  <si>
    <t>Ice Axe</t>
  </si>
  <si>
    <t>Percolator</t>
  </si>
  <si>
    <t>Mess Kit</t>
  </si>
  <si>
    <t>Zakharan Tea</t>
  </si>
  <si>
    <t>Speak Language:  Giant</t>
  </si>
  <si>
    <t>*</t>
  </si>
  <si>
    <t>Silk Rope</t>
  </si>
  <si>
    <t>50’</t>
  </si>
  <si>
    <t>Grappling Hook</t>
  </si>
  <si>
    <t>Attached to Silk Rope</t>
  </si>
  <si>
    <t>Hourglass</t>
  </si>
  <si>
    <t>Manacles</t>
  </si>
  <si>
    <t>Climber’s Kit</t>
  </si>
  <si>
    <t>Healer’s Kit</t>
  </si>
  <si>
    <t>Soft Equity Ceiling:</t>
  </si>
  <si>
    <t>Heward’s Handy Haversack</t>
  </si>
  <si>
    <t>% Full:</t>
  </si>
  <si>
    <t>Brute Gauntlets</t>
  </si>
  <si>
    <t>Tent</t>
  </si>
  <si>
    <t>Fishing Net</t>
  </si>
  <si>
    <t>Crowbar</t>
  </si>
  <si>
    <t>Hammer</t>
  </si>
  <si>
    <t>Bell</t>
  </si>
  <si>
    <t>4 different tones</t>
  </si>
  <si>
    <t>Signal Whistles, Engraved</t>
  </si>
  <si>
    <t>Smokestick</t>
  </si>
  <si>
    <t>Piton</t>
  </si>
  <si>
    <t>q</t>
  </si>
  <si>
    <t>Anklet of Translocation</t>
  </si>
  <si>
    <t>Small Mammal Treats</t>
  </si>
  <si>
    <t>Total Spells</t>
  </si>
  <si>
    <t>Platinum Coins</t>
  </si>
  <si>
    <t>Shawl</t>
  </si>
  <si>
    <t>Mintary weaving</t>
  </si>
  <si>
    <t>Birdseed Bowl</t>
  </si>
  <si>
    <t>MW Candles</t>
  </si>
  <si>
    <t>Last twice as long</t>
  </si>
  <si>
    <t>Touch Attack</t>
  </si>
  <si>
    <t>Healing Belt</t>
  </si>
  <si>
    <t>List of Culprits at Large</t>
  </si>
  <si>
    <t>Updated Highsun, 6 Tarsakh, 2 fugitives left</t>
  </si>
  <si>
    <t>Copy of Arrest Papers for Kid</t>
  </si>
  <si>
    <t>Parchment</t>
  </si>
  <si>
    <t>Copy of contract to kill the members of the Fist of Light</t>
  </si>
  <si>
    <r>
      <t xml:space="preserve">+1 </t>
    </r>
    <r>
      <rPr>
        <i/>
        <sz val="13"/>
        <rFont val="Times New Roman"/>
        <family val="1"/>
      </rPr>
      <t>haste</t>
    </r>
  </si>
  <si>
    <t>Wizard’s Spellbook 1</t>
  </si>
  <si>
    <t>Wizard’s Spellbook 2</t>
  </si>
  <si>
    <t>Amulet of Tears</t>
  </si>
  <si>
    <t>Everfull Mug</t>
  </si>
  <si>
    <t>Scroll Case</t>
  </si>
  <si>
    <t>Candles</t>
  </si>
  <si>
    <t>Knowledge:  Nature</t>
  </si>
  <si>
    <t>Vest of Resistance +1</t>
  </si>
  <si>
    <t>Knowledge:  Dungeoneering</t>
  </si>
  <si>
    <t>Knowledge:  Geography</t>
  </si>
  <si>
    <t>Karlon</t>
  </si>
  <si>
    <t>Holt</t>
  </si>
  <si>
    <t>Played by Ernest S. Hakey III</t>
  </si>
  <si>
    <t>Male</t>
  </si>
  <si>
    <t>5’ 8”</t>
  </si>
  <si>
    <t>160 lbs.</t>
  </si>
  <si>
    <t>Scout</t>
  </si>
  <si>
    <t>Ranger</t>
  </si>
  <si>
    <t>Fighter</t>
  </si>
  <si>
    <t>Impiltur</t>
  </si>
  <si>
    <t>Common, Damaran, Goblin, Giant (1),</t>
  </si>
  <si>
    <t>Gnoll (1), Orc (1), Sylvan (1)</t>
  </si>
  <si>
    <t>Speak Language:  Gnoll</t>
  </si>
  <si>
    <t>Speak Language:  Orc</t>
  </si>
  <si>
    <t>Speak Language:  Sylvan</t>
  </si>
  <si>
    <t>X</t>
  </si>
  <si>
    <t>Boots of Agile Leaping</t>
  </si>
  <si>
    <t>None yet</t>
  </si>
  <si>
    <t>Ranger Spells per Day</t>
  </si>
  <si>
    <t>Regional:  Fearless</t>
  </si>
  <si>
    <t>Immune to Fear</t>
  </si>
  <si>
    <t>Human:  Point Blank Shot</t>
  </si>
  <si>
    <t>1st:  Rapid Reload</t>
  </si>
  <si>
    <t>Ranger Features</t>
  </si>
  <si>
    <t>Track</t>
  </si>
  <si>
    <t>3rd:  Weapon Focus:  Light Crossbow</t>
  </si>
  <si>
    <t>Fighter Features</t>
  </si>
  <si>
    <t>All Armor, Shields, and Weapons</t>
  </si>
  <si>
    <t>Archery:  Rapid Shot</t>
  </si>
  <si>
    <t>Precise Shot</t>
  </si>
  <si>
    <t>Scout Features</t>
  </si>
  <si>
    <t>Favored Enemy: Undead +4</t>
  </si>
  <si>
    <t>Favored Enemy: Evil Outsiders +2</t>
  </si>
  <si>
    <t>Traits</t>
  </si>
  <si>
    <t>Plucky: +1 to Will, -1 to Fort</t>
  </si>
  <si>
    <t>Quick: +10’ to base speed, -1 hp/HD</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</si>
  <si>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</si>
  <si>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Craft:  [type]</t>
  </si>
  <si>
    <t>Ranger Spells Prepared</t>
  </si>
  <si>
    <t>Lurue</t>
  </si>
  <si>
    <t>FE</t>
  </si>
  <si>
    <t>6th:  Swift Hunter</t>
  </si>
  <si>
    <t>+1 within 30’</t>
  </si>
  <si>
    <t>Feat: Improved Skirmish</t>
  </si>
  <si>
    <t>Trapfinding</t>
  </si>
  <si>
    <t>Uncanny Dodge</t>
  </si>
  <si>
    <t>Trackless Step</t>
  </si>
  <si>
    <t>Battle Fortitude +2</t>
  </si>
  <si>
    <t>Fast Movement +20’</t>
  </si>
  <si>
    <t>Skirmish +2d6 +1 AC</t>
  </si>
  <si>
    <t>Crossbow Sniper</t>
  </si>
  <si>
    <t>Light Crossbow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</si>
</sst>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i/>
      <sz val="18"/>
      <color indexed="12"/>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7"/>
      <name val="Times New Roman"/>
      <family val="1"/>
    </font>
    <font>
      <i/>
      <sz val="18"/>
      <color theme="0"/>
      <name val="Times New Roman"/>
      <family val="1"/>
    </font>
    <font>
      <sz val="13"/>
      <color theme="0"/>
      <name val="Times New Roman"/>
      <family val="1"/>
    </font>
    <font>
      <i/>
      <sz val="16"/>
      <name val="Times New Roman"/>
      <family val="1"/>
    </font>
    <font>
      <b/>
      <sz val="13"/>
      <color theme="0"/>
      <name val="Times New Roman"/>
      <family val="1"/>
    </font>
    <font>
      <sz val="13"/>
      <name val="Wingdings"/>
      <charset val="2"/>
    </font>
    <font>
      <sz val="12"/>
      <name val="Wingdings"/>
      <charset val="2"/>
    </font>
    <font>
      <b/>
      <sz val="12"/>
      <color rgb="FF33CC33"/>
      <name val="Times New Roman"/>
      <family val="1"/>
    </font>
    <font>
      <i/>
      <sz val="18"/>
      <color rgb="FF008000"/>
      <name val="Times New Roman"/>
      <family val="1"/>
    </font>
    <font>
      <sz val="13"/>
      <color rgb="FF008000"/>
      <name val="Times New Roman"/>
      <family val="1"/>
    </font>
    <font>
      <i/>
      <sz val="18"/>
      <color rgb="FF9900FF"/>
      <name val="Times New Roman"/>
      <family val="1"/>
    </font>
    <font>
      <i/>
      <sz val="22"/>
      <color rgb="FF9900FF"/>
      <name val="Times New Roman"/>
      <family val="1"/>
    </font>
    <font>
      <b/>
      <sz val="13"/>
      <color rgb="FF00B0F0"/>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CC66FF"/>
        <bgColor indexed="64"/>
      </patternFill>
    </fill>
    <fill>
      <patternFill patternType="solid">
        <fgColor rgb="FF9900FF"/>
        <bgColor indexed="64"/>
      </patternFill>
    </fill>
    <fill>
      <patternFill patternType="solid">
        <fgColor rgb="FF33CC33"/>
        <bgColor indexed="64"/>
      </patternFill>
    </fill>
    <fill>
      <patternFill patternType="solid">
        <fgColor rgb="FF009900"/>
        <bgColor indexed="64"/>
      </patternFill>
    </fill>
    <fill>
      <patternFill patternType="solid">
        <fgColor rgb="FFFFFF00"/>
        <bgColor indexed="64"/>
      </patternFill>
    </fill>
    <fill>
      <patternFill patternType="solid">
        <fgColor rgb="FF008000"/>
        <bgColor indexed="64"/>
      </patternFill>
    </fill>
    <fill>
      <patternFill patternType="solid">
        <fgColor theme="0" tint="-0.249977111117893"/>
        <bgColor indexed="55"/>
      </patternFill>
    </fill>
  </fills>
  <borders count="13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7"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5" fillId="0" borderId="0"/>
  </cellStyleXfs>
  <cellXfs count="519">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4"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4" xfId="0" applyFont="1" applyFill="1" applyBorder="1" applyAlignment="1">
      <alignment horizontal="right" vertical="center"/>
    </xf>
    <xf numFmtId="49" fontId="7" fillId="0" borderId="70"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5" fillId="0" borderId="33" xfId="0" applyFont="1" applyBorder="1" applyAlignment="1">
      <alignment horizontal="centerContinuous" vertical="center"/>
    </xf>
    <xf numFmtId="0" fontId="26" fillId="0" borderId="37" xfId="0" applyFont="1" applyFill="1" applyBorder="1" applyAlignment="1">
      <alignment horizontal="centerContinuous" vertical="center"/>
    </xf>
    <xf numFmtId="0" fontId="49"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0"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8"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1"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3"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4"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Fill="1" applyBorder="1" applyAlignment="1">
      <alignment horizontal="center" vertical="center"/>
    </xf>
    <xf numFmtId="0" fontId="2" fillId="0" borderId="41" xfId="0" applyFont="1" applyFill="1" applyBorder="1" applyAlignment="1">
      <alignment horizontal="center" vertical="center"/>
    </xf>
    <xf numFmtId="1" fontId="2" fillId="0" borderId="41" xfId="0" applyNumberFormat="1" applyFont="1" applyFill="1" applyBorder="1" applyAlignment="1">
      <alignment horizontal="center" vertical="center"/>
    </xf>
    <xf numFmtId="0" fontId="7" fillId="0" borderId="47" xfId="8"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0" fontId="2" fillId="0" borderId="42" xfId="0" applyFont="1" applyBorder="1" applyAlignment="1">
      <alignment horizontal="left" vertical="center" shrinkToFit="1"/>
    </xf>
    <xf numFmtId="0" fontId="2" fillId="0" borderId="0" xfId="0" applyFont="1" applyBorder="1" applyAlignment="1">
      <alignment vertical="center"/>
    </xf>
    <xf numFmtId="1" fontId="2" fillId="0" borderId="37"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3" xfId="0" applyNumberFormat="1" applyFont="1" applyBorder="1" applyAlignment="1">
      <alignment horizontal="centerContinuous" vertical="center"/>
    </xf>
    <xf numFmtId="0" fontId="2" fillId="0" borderId="94" xfId="0" applyFont="1" applyBorder="1" applyAlignment="1">
      <alignment horizontal="centerContinuous" vertical="center"/>
    </xf>
    <xf numFmtId="0" fontId="5" fillId="0" borderId="4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49" xfId="0" applyNumberFormat="1" applyFont="1" applyFill="1" applyBorder="1" applyAlignment="1">
      <alignment horizontal="center" vertical="center" shrinkToFit="1"/>
    </xf>
    <xf numFmtId="0" fontId="2" fillId="13" borderId="76" xfId="0" applyFont="1" applyFill="1" applyBorder="1" applyAlignment="1">
      <alignment horizontal="center" vertical="center"/>
    </xf>
    <xf numFmtId="0" fontId="2" fillId="13" borderId="46" xfId="0" applyFont="1" applyFill="1" applyBorder="1" applyAlignment="1">
      <alignment horizontal="center" vertical="center"/>
    </xf>
    <xf numFmtId="49" fontId="2" fillId="13" borderId="46" xfId="0" applyNumberFormat="1" applyFont="1" applyFill="1" applyBorder="1" applyAlignment="1">
      <alignment horizontal="center" vertical="center"/>
    </xf>
    <xf numFmtId="0" fontId="2" fillId="13" borderId="45" xfId="0" applyFont="1" applyFill="1" applyBorder="1" applyAlignment="1">
      <alignment horizontal="center" vertical="center"/>
    </xf>
    <xf numFmtId="0" fontId="2" fillId="13" borderId="57" xfId="0" applyFont="1" applyFill="1" applyBorder="1" applyAlignment="1">
      <alignment horizontal="center" vertical="center"/>
    </xf>
    <xf numFmtId="1" fontId="2" fillId="13" borderId="41" xfId="0" applyNumberFormat="1" applyFont="1" applyFill="1" applyBorder="1" applyAlignment="1">
      <alignment horizontal="center" vertical="center"/>
    </xf>
    <xf numFmtId="0" fontId="2" fillId="0" borderId="77" xfId="0" applyFont="1" applyBorder="1" applyAlignment="1">
      <alignment horizontal="center" vertical="center"/>
    </xf>
    <xf numFmtId="49" fontId="2" fillId="0" borderId="41"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2" fillId="13" borderId="43" xfId="0" applyFont="1" applyFill="1" applyBorder="1" applyAlignment="1">
      <alignment horizontal="center" vertical="center"/>
    </xf>
    <xf numFmtId="49" fontId="2" fillId="13" borderId="43" xfId="0" applyNumberFormat="1" applyFont="1" applyFill="1" applyBorder="1" applyAlignment="1">
      <alignment horizontal="center" vertical="center"/>
    </xf>
    <xf numFmtId="1" fontId="2" fillId="13" borderId="43" xfId="0" applyNumberFormat="1" applyFont="1" applyFill="1" applyBorder="1" applyAlignment="1">
      <alignment horizontal="center" vertical="center"/>
    </xf>
    <xf numFmtId="0" fontId="2" fillId="0" borderId="43" xfId="0" quotePrefix="1" applyFont="1" applyBorder="1" applyAlignment="1">
      <alignment horizontal="center" vertical="center"/>
    </xf>
    <xf numFmtId="0" fontId="2" fillId="0" borderId="89" xfId="0" applyFont="1" applyFill="1" applyBorder="1" applyAlignment="1">
      <alignment horizontal="centerContinuous" vertical="center"/>
    </xf>
    <xf numFmtId="0" fontId="5" fillId="0" borderId="75" xfId="0" quotePrefix="1" applyFont="1" applyBorder="1" applyAlignment="1">
      <alignment horizontal="centerContinuous" vertical="center"/>
    </xf>
    <xf numFmtId="0" fontId="46" fillId="0" borderId="33" xfId="0" applyFont="1" applyBorder="1" applyAlignment="1">
      <alignment horizontal="centerContinuous" vertical="center"/>
    </xf>
    <xf numFmtId="0" fontId="47" fillId="0" borderId="33" xfId="0" applyFont="1" applyBorder="1" applyAlignment="1">
      <alignment horizontal="centerContinuous" vertical="center"/>
    </xf>
    <xf numFmtId="0" fontId="21" fillId="11" borderId="95" xfId="0" applyFont="1" applyFill="1" applyBorder="1" applyAlignment="1">
      <alignment horizontal="center" vertical="center"/>
    </xf>
    <xf numFmtId="1" fontId="21" fillId="11" borderId="33" xfId="0" applyNumberFormat="1" applyFont="1" applyFill="1" applyBorder="1" applyAlignment="1">
      <alignment horizontal="center" vertical="center"/>
    </xf>
    <xf numFmtId="1" fontId="2" fillId="0" borderId="81" xfId="0" applyNumberFormat="1" applyFont="1" applyBorder="1" applyAlignment="1">
      <alignment horizontal="center" vertical="center"/>
    </xf>
    <xf numFmtId="0" fontId="2" fillId="0" borderId="82" xfId="0" applyFont="1" applyFill="1" applyBorder="1" applyAlignment="1">
      <alignment horizontal="centerContinuous" vertical="center" shrinkToFit="1"/>
    </xf>
    <xf numFmtId="0" fontId="21" fillId="0" borderId="72" xfId="0" applyFont="1" applyFill="1" applyBorder="1" applyAlignment="1">
      <alignment horizontal="centerContinuous" vertical="center"/>
    </xf>
    <xf numFmtId="0" fontId="21" fillId="0" borderId="58"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73" xfId="0" applyFont="1" applyFill="1" applyBorder="1" applyAlignment="1">
      <alignment horizontal="centerContinuous" vertical="center"/>
    </xf>
    <xf numFmtId="0" fontId="2" fillId="0" borderId="83"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63" xfId="0" applyFont="1" applyFill="1" applyBorder="1" applyAlignment="1">
      <alignment horizontal="centerContinuous" vertical="center"/>
    </xf>
    <xf numFmtId="49" fontId="2" fillId="0" borderId="87"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0" xfId="0" applyNumberFormat="1" applyFont="1" applyBorder="1" applyAlignment="1">
      <alignment horizontal="center" vertical="center"/>
    </xf>
    <xf numFmtId="0" fontId="26" fillId="0" borderId="50" xfId="0" applyFont="1" applyFill="1" applyBorder="1" applyAlignment="1">
      <alignment horizontal="centerContinuous" vertical="center"/>
    </xf>
    <xf numFmtId="0" fontId="49" fillId="0" borderId="37"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2"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90"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NumberFormat="1" applyFont="1" applyFill="1" applyBorder="1" applyAlignment="1">
      <alignment horizontal="center" vertical="center"/>
    </xf>
    <xf numFmtId="0" fontId="42" fillId="12" borderId="38"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0" fillId="0" borderId="1" xfId="0" applyFont="1" applyFill="1" applyBorder="1" applyAlignment="1">
      <alignment vertical="center"/>
    </xf>
    <xf numFmtId="0" fontId="6" fillId="0" borderId="27" xfId="0" applyFont="1" applyFill="1" applyBorder="1" applyAlignment="1">
      <alignment horizontal="center" vertical="center"/>
    </xf>
    <xf numFmtId="0" fontId="49"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1"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39"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2" fillId="0" borderId="1" xfId="0" applyFont="1" applyFill="1" applyBorder="1" applyAlignment="1">
      <alignment vertical="center"/>
    </xf>
    <xf numFmtId="0" fontId="51"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1"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2" fillId="0" borderId="48" xfId="0" applyFont="1" applyFill="1" applyBorder="1" applyAlignment="1">
      <alignment horizontal="center" vertical="center"/>
    </xf>
    <xf numFmtId="1" fontId="7" fillId="0" borderId="48" xfId="0" applyNumberFormat="1" applyFont="1" applyFill="1" applyBorder="1" applyAlignment="1">
      <alignment horizontal="center" vertical="center"/>
    </xf>
    <xf numFmtId="0" fontId="39" fillId="12"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1" fillId="0" borderId="27" xfId="0" applyNumberFormat="1" applyFont="1" applyFill="1" applyBorder="1" applyAlignment="1">
      <alignment horizontal="center" vertical="center"/>
    </xf>
    <xf numFmtId="0" fontId="51" fillId="0" borderId="28"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7" fillId="7" borderId="27"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2" fillId="5" borderId="1" xfId="0" applyFont="1" applyFill="1" applyBorder="1" applyAlignment="1">
      <alignment vertical="center"/>
    </xf>
    <xf numFmtId="49" fontId="51" fillId="5" borderId="27" xfId="0" applyNumberFormat="1" applyFont="1" applyFill="1" applyBorder="1" applyAlignment="1">
      <alignment horizontal="center" vertical="center"/>
    </xf>
    <xf numFmtId="0" fontId="51" fillId="5" borderId="28" xfId="0" applyNumberFormat="1" applyFont="1" applyFill="1" applyBorder="1" applyAlignment="1">
      <alignment horizontal="center" vertical="center"/>
    </xf>
    <xf numFmtId="0" fontId="52"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39" fillId="12" borderId="47" xfId="0" applyNumberFormat="1" applyFont="1" applyFill="1" applyBorder="1" applyAlignment="1">
      <alignment horizontal="center" vertical="center"/>
    </xf>
    <xf numFmtId="0" fontId="4" fillId="0" borderId="0" xfId="0" applyFont="1" applyBorder="1" applyAlignment="1">
      <alignment horizontal="left" vertical="center"/>
    </xf>
    <xf numFmtId="0" fontId="48" fillId="0" borderId="0" xfId="0" applyFont="1" applyBorder="1" applyAlignment="1">
      <alignment horizontal="centerContinuous" vertical="center"/>
    </xf>
    <xf numFmtId="0" fontId="36"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4" fillId="0" borderId="37" xfId="0" applyFont="1" applyBorder="1" applyAlignment="1">
      <alignment horizontal="right" vertical="center"/>
    </xf>
    <xf numFmtId="0" fontId="4" fillId="0" borderId="50" xfId="0" applyFont="1" applyBorder="1" applyAlignment="1">
      <alignment horizontal="right" vertical="center"/>
    </xf>
    <xf numFmtId="0" fontId="50" fillId="0" borderId="0" xfId="0" applyFont="1" applyBorder="1" applyAlignment="1">
      <alignment vertical="center"/>
    </xf>
    <xf numFmtId="0" fontId="2" fillId="14" borderId="60" xfId="0" applyFont="1" applyFill="1" applyBorder="1" applyAlignment="1">
      <alignment horizontal="center" vertical="center"/>
    </xf>
    <xf numFmtId="0" fontId="2" fillId="14" borderId="61"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4" fillId="14" borderId="44" xfId="0" applyFont="1" applyFill="1" applyBorder="1" applyAlignment="1">
      <alignment horizontal="center" vertical="center"/>
    </xf>
    <xf numFmtId="0" fontId="4" fillId="14" borderId="43" xfId="0" applyFont="1" applyFill="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7" xfId="0" applyFont="1" applyBorder="1" applyAlignment="1">
      <alignment horizontal="right" vertical="center"/>
    </xf>
    <xf numFmtId="0" fontId="4" fillId="15" borderId="44" xfId="0" applyFont="1" applyFill="1" applyBorder="1" applyAlignment="1">
      <alignment horizontal="center" vertical="center"/>
    </xf>
    <xf numFmtId="49" fontId="2" fillId="15" borderId="60" xfId="0" applyNumberFormat="1" applyFont="1" applyFill="1" applyBorder="1" applyAlignment="1">
      <alignment horizontal="center" vertical="center"/>
    </xf>
    <xf numFmtId="49" fontId="2" fillId="15" borderId="61" xfId="0" applyNumberFormat="1" applyFont="1" applyFill="1" applyBorder="1" applyAlignment="1">
      <alignment horizontal="center" vertical="center"/>
    </xf>
    <xf numFmtId="0" fontId="4" fillId="15" borderId="43"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0" fontId="2" fillId="0" borderId="97" xfId="0" applyFont="1" applyBorder="1" applyAlignment="1">
      <alignment horizontal="center" vertical="center" shrinkToFit="1"/>
    </xf>
    <xf numFmtId="0" fontId="2" fillId="0" borderId="91" xfId="0" applyFont="1" applyFill="1" applyBorder="1" applyAlignment="1">
      <alignment horizontal="center" vertical="center"/>
    </xf>
    <xf numFmtId="49" fontId="2" fillId="0" borderId="91" xfId="0" applyNumberFormat="1" applyFont="1" applyFill="1" applyBorder="1" applyAlignment="1">
      <alignment horizontal="center" vertical="center"/>
    </xf>
    <xf numFmtId="164" fontId="2" fillId="0" borderId="91" xfId="0" applyNumberFormat="1" applyFont="1" applyFill="1" applyBorder="1" applyAlignment="1">
      <alignment horizontal="center" vertical="center"/>
    </xf>
    <xf numFmtId="1" fontId="2" fillId="0" borderId="91" xfId="0" applyNumberFormat="1" applyFont="1" applyFill="1" applyBorder="1" applyAlignment="1">
      <alignment horizontal="center" vertical="center"/>
    </xf>
    <xf numFmtId="0" fontId="2" fillId="0" borderId="92" xfId="0" quotePrefix="1" applyFont="1" applyFill="1" applyBorder="1" applyAlignment="1">
      <alignment horizontal="center" vertical="center"/>
    </xf>
    <xf numFmtId="0" fontId="2" fillId="13" borderId="78" xfId="0" applyFont="1" applyFill="1" applyBorder="1" applyAlignment="1">
      <alignment horizontal="center" vertical="center"/>
    </xf>
    <xf numFmtId="0" fontId="2" fillId="13" borderId="44" xfId="0" applyFont="1" applyFill="1" applyBorder="1" applyAlignment="1">
      <alignment horizontal="center" vertical="center"/>
    </xf>
    <xf numFmtId="0" fontId="2" fillId="13" borderId="50" xfId="0" applyFont="1" applyFill="1" applyBorder="1" applyAlignment="1">
      <alignment horizontal="center" vertical="center"/>
    </xf>
    <xf numFmtId="164" fontId="2" fillId="0" borderId="50"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 fillId="0" borderId="0" xfId="0" applyFont="1"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2" fillId="9" borderId="1" xfId="0" applyFont="1" applyFill="1" applyBorder="1" applyAlignment="1">
      <alignment vertical="center"/>
    </xf>
    <xf numFmtId="49" fontId="51" fillId="9" borderId="27" xfId="0" applyNumberFormat="1" applyFont="1" applyFill="1" applyBorder="1" applyAlignment="1">
      <alignment horizontal="center" vertical="center"/>
    </xf>
    <xf numFmtId="0" fontId="51" fillId="9" borderId="28" xfId="0" applyNumberFormat="1" applyFont="1" applyFill="1" applyBorder="1" applyAlignment="1">
      <alignment horizontal="center" vertical="center"/>
    </xf>
    <xf numFmtId="0" fontId="52" fillId="9" borderId="28" xfId="0" applyNumberFormat="1" applyFont="1" applyFill="1" applyBorder="1" applyAlignment="1">
      <alignment horizontal="center" vertical="center"/>
    </xf>
    <xf numFmtId="49" fontId="7" fillId="16" borderId="28" xfId="0" applyNumberFormat="1" applyFont="1" applyFill="1" applyBorder="1" applyAlignment="1">
      <alignment horizontal="center" vertical="center"/>
    </xf>
    <xf numFmtId="2" fontId="5" fillId="0" borderId="41" xfId="0" applyNumberFormat="1" applyFont="1" applyBorder="1" applyAlignment="1">
      <alignment horizontal="center" vertical="center" shrinkToFit="1"/>
    </xf>
    <xf numFmtId="0" fontId="2" fillId="0" borderId="91" xfId="0" applyFont="1" applyBorder="1" applyAlignment="1">
      <alignment horizontal="center" vertical="center"/>
    </xf>
    <xf numFmtId="0" fontId="7" fillId="16" borderId="28"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wrapText="1"/>
    </xf>
    <xf numFmtId="0" fontId="43" fillId="0" borderId="41" xfId="0" applyFont="1" applyBorder="1" applyAlignment="1">
      <alignment horizontal="center" vertical="center"/>
    </xf>
    <xf numFmtId="0" fontId="5" fillId="0" borderId="4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90"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Border="1" applyAlignment="1">
      <alignment horizontal="center" vertical="center"/>
    </xf>
    <xf numFmtId="0" fontId="2" fillId="0" borderId="0" xfId="0" applyFont="1" applyAlignment="1">
      <alignment horizontal="centerContinuous" vertical="center" shrinkToFit="1"/>
    </xf>
    <xf numFmtId="0" fontId="55"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shrinkToFit="1"/>
    </xf>
    <xf numFmtId="0" fontId="5" fillId="0" borderId="92" xfId="0" applyFont="1" applyBorder="1" applyAlignment="1">
      <alignment horizontal="left" vertical="center" shrinkToFit="1"/>
    </xf>
    <xf numFmtId="0" fontId="2" fillId="0" borderId="91" xfId="0" applyFont="1" applyBorder="1" applyAlignment="1">
      <alignment horizontal="left" vertical="center"/>
    </xf>
    <xf numFmtId="0" fontId="7" fillId="9" borderId="28" xfId="0" applyNumberFormat="1" applyFont="1" applyFill="1" applyBorder="1" applyAlignment="1">
      <alignment horizontal="center" vertical="center"/>
    </xf>
    <xf numFmtId="0" fontId="56" fillId="11" borderId="33" xfId="0" applyFont="1" applyFill="1" applyBorder="1" applyAlignment="1">
      <alignment horizontal="centerContinuous" vertical="center"/>
    </xf>
    <xf numFmtId="0" fontId="57" fillId="11" borderId="57" xfId="0" applyFont="1" applyFill="1" applyBorder="1" applyAlignment="1">
      <alignment horizontal="centerContinuous" vertical="center"/>
    </xf>
    <xf numFmtId="165" fontId="2" fillId="0" borderId="0" xfId="0" applyNumberFormat="1" applyFont="1" applyAlignment="1">
      <alignment horizontal="center" vertical="center"/>
    </xf>
    <xf numFmtId="0" fontId="49" fillId="0" borderId="81" xfId="0" applyFont="1" applyFill="1" applyBorder="1" applyAlignment="1">
      <alignment horizontal="center" vertical="center" shrinkToFit="1"/>
    </xf>
    <xf numFmtId="0" fontId="58" fillId="0" borderId="99" xfId="0" applyFont="1" applyBorder="1" applyAlignment="1">
      <alignment horizontal="centerContinuous" vertical="center"/>
    </xf>
    <xf numFmtId="0" fontId="6" fillId="0" borderId="100" xfId="0" applyFont="1" applyBorder="1" applyAlignment="1">
      <alignment horizontal="centerContinuous" vertical="center"/>
    </xf>
    <xf numFmtId="0" fontId="6" fillId="0" borderId="101" xfId="0" applyFont="1" applyBorder="1" applyAlignment="1">
      <alignment horizontal="centerContinuous" vertical="center"/>
    </xf>
    <xf numFmtId="0" fontId="7" fillId="0" borderId="105" xfId="0" applyFont="1" applyBorder="1" applyAlignment="1">
      <alignment horizontal="center" vertical="center"/>
    </xf>
    <xf numFmtId="0" fontId="7" fillId="0" borderId="106" xfId="0" applyFont="1" applyBorder="1" applyAlignment="1">
      <alignment horizontal="centerContinuous" vertical="center"/>
    </xf>
    <xf numFmtId="49" fontId="7" fillId="0" borderId="107" xfId="0" applyNumberFormat="1" applyFont="1" applyBorder="1" applyAlignment="1">
      <alignment horizontal="center" vertical="center"/>
    </xf>
    <xf numFmtId="0" fontId="60" fillId="8" borderId="108" xfId="2" applyNumberFormat="1" applyFont="1" applyFill="1" applyBorder="1" applyAlignment="1">
      <alignment horizontal="centerContinuous" vertical="center" shrinkToFit="1"/>
    </xf>
    <xf numFmtId="0" fontId="7" fillId="0" borderId="1" xfId="0" applyFont="1" applyBorder="1" applyAlignment="1">
      <alignment horizontal="center" vertical="center"/>
    </xf>
    <xf numFmtId="0" fontId="7" fillId="0" borderId="28" xfId="0" applyFont="1" applyBorder="1" applyAlignment="1">
      <alignment horizontal="centerContinuous" vertical="center"/>
    </xf>
    <xf numFmtId="49" fontId="7" fillId="0" borderId="27" xfId="0" applyNumberFormat="1" applyFont="1" applyBorder="1" applyAlignment="1">
      <alignment horizontal="center" vertical="center"/>
    </xf>
    <xf numFmtId="0" fontId="60" fillId="8" borderId="2" xfId="2" applyNumberFormat="1" applyFont="1" applyFill="1" applyBorder="1" applyAlignment="1">
      <alignment horizontal="centerContinuous" vertical="center" shrinkToFit="1"/>
    </xf>
    <xf numFmtId="0" fontId="7" fillId="0" borderId="8" xfId="0" applyFont="1" applyBorder="1" applyAlignment="1">
      <alignment horizontal="center" vertical="center"/>
    </xf>
    <xf numFmtId="0" fontId="7" fillId="0" borderId="49" xfId="0" applyFont="1" applyBorder="1" applyAlignment="1">
      <alignment horizontal="centerContinuous" vertical="center"/>
    </xf>
    <xf numFmtId="49" fontId="7" fillId="0" borderId="47" xfId="0" applyNumberFormat="1" applyFont="1" applyBorder="1" applyAlignment="1">
      <alignment horizontal="center" vertical="center"/>
    </xf>
    <xf numFmtId="0" fontId="60" fillId="8" borderId="10" xfId="2" applyNumberFormat="1" applyFont="1" applyFill="1" applyBorder="1" applyAlignment="1">
      <alignment horizontal="centerContinuous" vertical="center" shrinkToFit="1"/>
    </xf>
    <xf numFmtId="0" fontId="2" fillId="0" borderId="110" xfId="0" applyFont="1" applyFill="1" applyBorder="1" applyAlignment="1">
      <alignment horizontal="centerContinuous" vertical="center" shrinkToFit="1"/>
    </xf>
    <xf numFmtId="0" fontId="21" fillId="0" borderId="88" xfId="0" applyFont="1" applyFill="1" applyBorder="1" applyAlignment="1">
      <alignment horizontal="centerContinuous" vertical="center"/>
    </xf>
    <xf numFmtId="0" fontId="21" fillId="0" borderId="98" xfId="0" applyFont="1" applyFill="1" applyBorder="1" applyAlignment="1">
      <alignment horizontal="centerContinuous" vertical="center"/>
    </xf>
    <xf numFmtId="0" fontId="2" fillId="0" borderId="111" xfId="0" applyFont="1" applyFill="1" applyBorder="1" applyAlignment="1">
      <alignment horizontal="center" vertical="center"/>
    </xf>
    <xf numFmtId="0" fontId="2" fillId="0" borderId="79" xfId="0" applyFont="1" applyFill="1" applyBorder="1" applyAlignment="1">
      <alignment horizontal="center" vertical="center"/>
    </xf>
    <xf numFmtId="0" fontId="50" fillId="0" borderId="0" xfId="0" applyFont="1" applyBorder="1" applyAlignment="1">
      <alignment horizontal="center" vertical="center"/>
    </xf>
    <xf numFmtId="0" fontId="57" fillId="0" borderId="0" xfId="0" applyFont="1" applyBorder="1" applyAlignment="1">
      <alignment horizontal="center"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5" fillId="0" borderId="46" xfId="0" applyNumberFormat="1" applyFont="1" applyFill="1" applyBorder="1" applyAlignment="1">
      <alignment horizontal="center" vertical="center"/>
    </xf>
    <xf numFmtId="164" fontId="2" fillId="0" borderId="113" xfId="0" applyNumberFormat="1" applyFont="1" applyFill="1" applyBorder="1" applyAlignment="1">
      <alignment horizontal="centerContinuous" vertical="center"/>
    </xf>
    <xf numFmtId="164" fontId="2" fillId="0" borderId="114" xfId="0" applyNumberFormat="1" applyFont="1" applyFill="1" applyBorder="1" applyAlignment="1">
      <alignment horizontal="centerContinuous" vertical="center"/>
    </xf>
    <xf numFmtId="0" fontId="5" fillId="0" borderId="115" xfId="0" quotePrefix="1" applyFont="1" applyBorder="1" applyAlignment="1">
      <alignment horizontal="centerContinuous" vertical="center"/>
    </xf>
    <xf numFmtId="0" fontId="2" fillId="0" borderId="77" xfId="0" applyFont="1" applyFill="1" applyBorder="1" applyAlignment="1">
      <alignment horizontal="center" vertical="center" shrinkToFit="1"/>
    </xf>
    <xf numFmtId="0" fontId="2" fillId="0" borderId="41"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72" xfId="0" applyNumberFormat="1" applyFont="1" applyFill="1" applyBorder="1" applyAlignment="1">
      <alignment horizontal="centerContinuous" vertical="center"/>
    </xf>
    <xf numFmtId="0" fontId="2" fillId="0" borderId="8" xfId="0" applyFont="1" applyFill="1" applyBorder="1" applyAlignment="1">
      <alignment horizontal="centerContinuous" vertical="center"/>
    </xf>
    <xf numFmtId="0" fontId="5" fillId="0" borderId="116" xfId="0" applyFont="1" applyFill="1" applyBorder="1" applyAlignment="1">
      <alignment horizontal="centerContinuous" vertical="center"/>
    </xf>
    <xf numFmtId="0" fontId="5" fillId="0" borderId="117" xfId="0" applyFont="1" applyFill="1" applyBorder="1" applyAlignment="1">
      <alignment horizontal="centerContinuous" vertical="center"/>
    </xf>
    <xf numFmtId="164" fontId="5" fillId="0" borderId="117" xfId="0" applyNumberFormat="1" applyFont="1" applyFill="1" applyBorder="1" applyAlignment="1">
      <alignment horizontal="center" vertical="center"/>
    </xf>
    <xf numFmtId="49" fontId="2" fillId="0" borderId="117" xfId="0" applyNumberFormat="1" applyFont="1" applyFill="1" applyBorder="1" applyAlignment="1">
      <alignment horizontal="center" vertical="center"/>
    </xf>
    <xf numFmtId="49" fontId="2" fillId="0" borderId="118" xfId="0" applyNumberFormat="1" applyFont="1" applyFill="1" applyBorder="1" applyAlignment="1">
      <alignment horizontal="centerContinuous" vertical="center"/>
    </xf>
    <xf numFmtId="0" fontId="5" fillId="0" borderId="10" xfId="0" applyFont="1" applyFill="1" applyBorder="1" applyAlignment="1">
      <alignment horizontal="centerContinuous" vertical="center"/>
    </xf>
    <xf numFmtId="2" fontId="2" fillId="0" borderId="56" xfId="0" applyNumberFormat="1" applyFont="1" applyFill="1" applyBorder="1" applyAlignment="1">
      <alignment horizontal="center" vertical="center"/>
    </xf>
    <xf numFmtId="0" fontId="2"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0" fontId="2" fillId="0" borderId="46" xfId="0" applyFont="1" applyFill="1" applyBorder="1" applyAlignment="1">
      <alignment horizontal="centerContinuous" vertical="center"/>
    </xf>
    <xf numFmtId="0" fontId="2" fillId="0" borderId="46" xfId="0" applyFont="1" applyFill="1" applyBorder="1" applyAlignment="1">
      <alignment horizontal="center" vertical="center"/>
    </xf>
    <xf numFmtId="0" fontId="2" fillId="0" borderId="113" xfId="0" applyFont="1" applyFill="1" applyBorder="1" applyAlignment="1">
      <alignment horizontal="centerContinuous" vertical="center"/>
    </xf>
    <xf numFmtId="0" fontId="2" fillId="0" borderId="114" xfId="0" applyFont="1" applyFill="1" applyBorder="1" applyAlignment="1">
      <alignment horizontal="centerContinuous" vertical="center"/>
    </xf>
    <xf numFmtId="0" fontId="2" fillId="0" borderId="115" xfId="0" applyFont="1" applyFill="1" applyBorder="1" applyAlignment="1">
      <alignment horizontal="centerContinuous" vertical="center"/>
    </xf>
    <xf numFmtId="0" fontId="2" fillId="0" borderId="57" xfId="0" applyFont="1" applyFill="1" applyBorder="1" applyAlignment="1">
      <alignment horizontal="center" vertical="center"/>
    </xf>
    <xf numFmtId="0" fontId="2" fillId="0" borderId="91" xfId="0" quotePrefix="1" applyFont="1" applyBorder="1" applyAlignment="1">
      <alignment horizontal="center" vertical="center"/>
    </xf>
    <xf numFmtId="164" fontId="5" fillId="0" borderId="91" xfId="0" applyNumberFormat="1" applyFont="1" applyFill="1" applyBorder="1" applyAlignment="1">
      <alignment horizontal="center" vertical="center"/>
    </xf>
    <xf numFmtId="164" fontId="2" fillId="0" borderId="122" xfId="0" applyNumberFormat="1" applyFont="1" applyFill="1" applyBorder="1" applyAlignment="1">
      <alignment horizontal="centerContinuous" vertical="center"/>
    </xf>
    <xf numFmtId="0" fontId="5" fillId="0" borderId="123" xfId="0" quotePrefix="1" applyFont="1" applyBorder="1" applyAlignment="1">
      <alignment horizontal="centerContinuous" vertical="center"/>
    </xf>
    <xf numFmtId="0" fontId="61" fillId="0" borderId="0" xfId="0" applyFont="1" applyBorder="1" applyAlignment="1">
      <alignment vertical="center"/>
    </xf>
    <xf numFmtId="9" fontId="2" fillId="14" borderId="91" xfId="0" applyNumberFormat="1" applyFont="1" applyFill="1" applyBorder="1" applyAlignment="1">
      <alignment horizontal="center" vertical="center"/>
    </xf>
    <xf numFmtId="0" fontId="2" fillId="0" borderId="110" xfId="0" applyFont="1" applyBorder="1" applyAlignment="1">
      <alignment horizontal="center" vertical="center" shrinkToFit="1"/>
    </xf>
    <xf numFmtId="1" fontId="2" fillId="0" borderId="79" xfId="0" applyNumberFormat="1" applyFont="1" applyBorder="1" applyAlignment="1">
      <alignment horizontal="center" vertical="center" shrinkToFit="1"/>
    </xf>
    <xf numFmtId="164" fontId="2" fillId="0" borderId="79" xfId="0" applyNumberFormat="1" applyFont="1" applyBorder="1" applyAlignment="1">
      <alignment horizontal="center" vertical="center" shrinkToFit="1"/>
    </xf>
    <xf numFmtId="0" fontId="2" fillId="0" borderId="111" xfId="0" applyFont="1" applyBorder="1" applyAlignment="1">
      <alignment horizontal="left" vertical="center"/>
    </xf>
    <xf numFmtId="0" fontId="2" fillId="0" borderId="80" xfId="0" applyFont="1" applyBorder="1" applyAlignment="1">
      <alignment horizontal="left" vertical="center" shrinkToFit="1"/>
    </xf>
    <xf numFmtId="1" fontId="2" fillId="0" borderId="81" xfId="0" applyNumberFormat="1" applyFont="1" applyBorder="1" applyAlignment="1">
      <alignment horizontal="center" vertical="center" shrinkToFit="1"/>
    </xf>
    <xf numFmtId="1" fontId="2" fillId="0" borderId="109" xfId="0" applyNumberFormat="1" applyFont="1" applyFill="1" applyBorder="1" applyAlignment="1">
      <alignment horizontal="center" vertical="center"/>
    </xf>
    <xf numFmtId="0" fontId="2" fillId="0" borderId="124" xfId="0" applyFont="1" applyBorder="1" applyAlignment="1">
      <alignment horizontal="center" vertical="center" shrinkToFit="1"/>
    </xf>
    <xf numFmtId="49" fontId="2" fillId="0" borderId="125" xfId="0" applyNumberFormat="1" applyFont="1" applyFill="1" applyBorder="1" applyAlignment="1">
      <alignment horizontal="center" vertical="center"/>
    </xf>
    <xf numFmtId="0" fontId="2" fillId="0" borderId="125" xfId="0" applyFont="1" applyFill="1" applyBorder="1" applyAlignment="1">
      <alignment horizontal="center" vertical="center"/>
    </xf>
    <xf numFmtId="164" fontId="2" fillId="0" borderId="125" xfId="0" applyNumberFormat="1" applyFont="1" applyFill="1" applyBorder="1" applyAlignment="1">
      <alignment horizontal="center" vertical="center"/>
    </xf>
    <xf numFmtId="1" fontId="2" fillId="0" borderId="125" xfId="0" applyNumberFormat="1" applyFont="1" applyFill="1" applyBorder="1" applyAlignment="1">
      <alignment horizontal="center" vertical="center"/>
    </xf>
    <xf numFmtId="0" fontId="2" fillId="0" borderId="126" xfId="0" quotePrefix="1" applyFont="1" applyFill="1" applyBorder="1" applyAlignment="1">
      <alignment horizontal="center" vertical="center"/>
    </xf>
    <xf numFmtId="1" fontId="2" fillId="0" borderId="127" xfId="0" applyNumberFormat="1" applyFont="1" applyFill="1" applyBorder="1" applyAlignment="1">
      <alignment horizontal="center" vertical="center"/>
    </xf>
    <xf numFmtId="0" fontId="2" fillId="0" borderId="97" xfId="0" applyFont="1" applyBorder="1" applyAlignment="1">
      <alignment horizontal="center" vertical="center"/>
    </xf>
    <xf numFmtId="0" fontId="2" fillId="0" borderId="91" xfId="0" quotePrefix="1" applyFont="1" applyFill="1" applyBorder="1" applyAlignment="1">
      <alignment horizontal="center" vertical="center" wrapText="1"/>
    </xf>
    <xf numFmtId="49" fontId="2" fillId="0" borderId="91" xfId="2" applyNumberFormat="1" applyFont="1" applyBorder="1" applyAlignment="1">
      <alignment horizontal="center" vertical="center"/>
    </xf>
    <xf numFmtId="164" fontId="5" fillId="0" borderId="91" xfId="0" applyNumberFormat="1" applyFont="1" applyBorder="1" applyAlignment="1">
      <alignment horizontal="center" vertical="center"/>
    </xf>
    <xf numFmtId="1" fontId="5" fillId="0" borderId="91" xfId="0" applyNumberFormat="1" applyFont="1" applyBorder="1" applyAlignment="1">
      <alignment horizontal="center" vertical="center"/>
    </xf>
    <xf numFmtId="0" fontId="2" fillId="0" borderId="92" xfId="0" quotePrefix="1" applyFont="1" applyBorder="1" applyAlignment="1">
      <alignment horizontal="center" vertical="center"/>
    </xf>
    <xf numFmtId="1" fontId="2" fillId="10" borderId="109" xfId="0" applyNumberFormat="1" applyFont="1" applyFill="1" applyBorder="1" applyAlignment="1">
      <alignment horizontal="center" vertical="center"/>
    </xf>
    <xf numFmtId="0" fontId="2" fillId="13" borderId="128" xfId="0" applyFont="1" applyFill="1" applyBorder="1" applyAlignment="1">
      <alignment horizontal="center" vertical="center" shrinkToFit="1"/>
    </xf>
    <xf numFmtId="0" fontId="2" fillId="13" borderId="117" xfId="0" applyFont="1" applyFill="1" applyBorder="1" applyAlignment="1">
      <alignment horizontal="center" vertical="center"/>
    </xf>
    <xf numFmtId="49" fontId="2" fillId="13" borderId="117" xfId="0" applyNumberFormat="1" applyFont="1" applyFill="1" applyBorder="1" applyAlignment="1">
      <alignment horizontal="center" vertical="center"/>
    </xf>
    <xf numFmtId="164" fontId="2" fillId="13" borderId="117" xfId="0" applyNumberFormat="1" applyFont="1" applyFill="1" applyBorder="1" applyAlignment="1">
      <alignment horizontal="center" vertical="center"/>
    </xf>
    <xf numFmtId="1" fontId="2" fillId="13" borderId="117" xfId="0" applyNumberFormat="1" applyFont="1" applyFill="1" applyBorder="1" applyAlignment="1">
      <alignment horizontal="center" vertical="center"/>
    </xf>
    <xf numFmtId="0" fontId="2" fillId="13" borderId="129" xfId="0" quotePrefix="1" applyFont="1" applyFill="1" applyBorder="1" applyAlignment="1">
      <alignment horizontal="center" vertical="center"/>
    </xf>
    <xf numFmtId="1" fontId="2" fillId="13" borderId="56" xfId="0" applyNumberFormat="1" applyFont="1" applyFill="1" applyBorder="1" applyAlignment="1">
      <alignment horizontal="center"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1" xfId="0" quotePrefix="1" applyFont="1" applyFill="1" applyBorder="1" applyAlignment="1">
      <alignment horizontal="center" vertical="center" wrapText="1"/>
    </xf>
    <xf numFmtId="49" fontId="2" fillId="0" borderId="131" xfId="2" applyNumberFormat="1" applyFont="1" applyBorder="1" applyAlignment="1">
      <alignment horizontal="center" vertical="center"/>
    </xf>
    <xf numFmtId="0" fontId="2" fillId="0" borderId="131" xfId="0" applyFont="1" applyBorder="1" applyAlignment="1">
      <alignment horizontal="center" vertical="center" shrinkToFit="1"/>
    </xf>
    <xf numFmtId="164" fontId="5" fillId="0" borderId="131" xfId="0" applyNumberFormat="1" applyFont="1" applyBorder="1" applyAlignment="1">
      <alignment horizontal="center" vertical="center"/>
    </xf>
    <xf numFmtId="164" fontId="5" fillId="0" borderId="131" xfId="0" applyNumberFormat="1" applyFont="1" applyFill="1" applyBorder="1" applyAlignment="1">
      <alignment horizontal="center" vertical="center"/>
    </xf>
    <xf numFmtId="1" fontId="5" fillId="0" borderId="131" xfId="0" applyNumberFormat="1" applyFont="1" applyBorder="1" applyAlignment="1">
      <alignment horizontal="center" vertical="center"/>
    </xf>
    <xf numFmtId="0" fontId="2" fillId="0" borderId="132" xfId="0" quotePrefix="1" applyFont="1" applyBorder="1" applyAlignment="1">
      <alignment horizontal="center" vertical="center"/>
    </xf>
    <xf numFmtId="1" fontId="2" fillId="10" borderId="127" xfId="0" applyNumberFormat="1" applyFont="1" applyFill="1" applyBorder="1" applyAlignment="1">
      <alignment horizontal="center" vertical="center"/>
    </xf>
    <xf numFmtId="0" fontId="62" fillId="0" borderId="41" xfId="0" applyFont="1" applyBorder="1" applyAlignment="1">
      <alignment horizontal="center" vertical="center"/>
    </xf>
    <xf numFmtId="164" fontId="2" fillId="0" borderId="87" xfId="0" quotePrefix="1" applyNumberFormat="1" applyFont="1" applyFill="1" applyBorder="1" applyAlignment="1">
      <alignment horizontal="centerContinuous" vertical="center"/>
    </xf>
    <xf numFmtId="0" fontId="2" fillId="0" borderId="112" xfId="0" applyFont="1" applyFill="1" applyBorder="1" applyAlignment="1">
      <alignment horizontal="center" vertical="center" shrinkToFit="1"/>
    </xf>
    <xf numFmtId="0" fontId="2" fillId="0" borderId="79" xfId="0" quotePrefix="1" applyFont="1" applyFill="1" applyBorder="1" applyAlignment="1">
      <alignment horizontal="center" vertical="center"/>
    </xf>
    <xf numFmtId="9" fontId="2" fillId="14" borderId="133" xfId="0" applyNumberFormat="1" applyFont="1" applyFill="1" applyBorder="1" applyAlignment="1">
      <alignment horizontal="center" vertical="center"/>
    </xf>
    <xf numFmtId="164" fontId="2" fillId="0" borderId="79" xfId="0" applyNumberFormat="1" applyFont="1" applyFill="1" applyBorder="1" applyAlignment="1">
      <alignment horizontal="center" vertical="center"/>
    </xf>
    <xf numFmtId="164" fontId="2" fillId="0" borderId="111" xfId="0" applyNumberFormat="1" applyFont="1" applyFill="1" applyBorder="1" applyAlignment="1">
      <alignment horizontal="centerContinuous" vertical="center"/>
    </xf>
    <xf numFmtId="164" fontId="2" fillId="0" borderId="88" xfId="0" applyNumberFormat="1" applyFont="1" applyFill="1" applyBorder="1" applyAlignment="1">
      <alignment horizontal="centerContinuous" vertical="center"/>
    </xf>
    <xf numFmtId="0" fontId="2" fillId="0" borderId="82" xfId="0" applyFont="1" applyBorder="1" applyAlignment="1">
      <alignment horizontal="center" shrinkToFit="1"/>
    </xf>
    <xf numFmtId="1" fontId="2" fillId="0" borderId="127" xfId="0" applyNumberFormat="1" applyFont="1" applyBorder="1" applyAlignment="1">
      <alignment horizontal="center" vertical="center"/>
    </xf>
    <xf numFmtId="0" fontId="2" fillId="0" borderId="131" xfId="0" quotePrefix="1" applyFont="1" applyBorder="1" applyAlignment="1">
      <alignment horizontal="center" vertical="center" wrapText="1"/>
    </xf>
    <xf numFmtId="0" fontId="2" fillId="10" borderId="131" xfId="0" applyFont="1" applyFill="1" applyBorder="1" applyAlignment="1">
      <alignment horizontal="center" vertical="center" shrinkToFit="1"/>
    </xf>
    <xf numFmtId="0" fontId="2" fillId="0" borderId="134" xfId="0" applyFont="1" applyBorder="1" applyAlignment="1">
      <alignment vertical="center"/>
    </xf>
    <xf numFmtId="1" fontId="44" fillId="18" borderId="91" xfId="0" applyNumberFormat="1" applyFont="1" applyFill="1" applyBorder="1" applyAlignment="1">
      <alignment horizontal="center" vertical="center"/>
    </xf>
    <xf numFmtId="1" fontId="44" fillId="18" borderId="125" xfId="0" applyNumberFormat="1" applyFont="1" applyFill="1" applyBorder="1" applyAlignment="1">
      <alignment horizontal="center" vertical="center"/>
    </xf>
    <xf numFmtId="1" fontId="44" fillId="18" borderId="131" xfId="0" applyNumberFormat="1" applyFont="1" applyFill="1" applyBorder="1" applyAlignment="1">
      <alignment horizontal="center" vertical="center"/>
    </xf>
    <xf numFmtId="1" fontId="44" fillId="18" borderId="117" xfId="0" applyNumberFormat="1" applyFont="1" applyFill="1" applyBorder="1" applyAlignment="1">
      <alignment horizontal="center" vertical="center"/>
    </xf>
    <xf numFmtId="0" fontId="43" fillId="18" borderId="21" xfId="0" applyFont="1" applyFill="1" applyBorder="1" applyAlignment="1">
      <alignment horizontal="center" vertical="center"/>
    </xf>
    <xf numFmtId="1" fontId="44" fillId="18" borderId="41" xfId="0" applyNumberFormat="1" applyFont="1" applyFill="1" applyBorder="1" applyAlignment="1">
      <alignment horizontal="center" vertical="center"/>
    </xf>
    <xf numFmtId="1" fontId="44" fillId="18" borderId="43" xfId="0" applyNumberFormat="1" applyFont="1" applyFill="1" applyBorder="1" applyAlignment="1">
      <alignment horizontal="center" vertical="center"/>
    </xf>
    <xf numFmtId="0" fontId="44" fillId="18" borderId="131" xfId="0" applyFont="1" applyFill="1" applyBorder="1" applyAlignment="1">
      <alignment horizontal="center" vertical="center" shrinkToFit="1"/>
    </xf>
    <xf numFmtId="0" fontId="2" fillId="10" borderId="126" xfId="0" quotePrefix="1" applyFont="1" applyFill="1" applyBorder="1" applyAlignment="1">
      <alignment horizontal="center" vertical="center"/>
    </xf>
    <xf numFmtId="1" fontId="2" fillId="0" borderId="135" xfId="0" applyNumberFormat="1" applyFont="1" applyFill="1" applyBorder="1" applyAlignment="1">
      <alignment horizontal="center" vertical="center"/>
    </xf>
    <xf numFmtId="0" fontId="21" fillId="11" borderId="136" xfId="0" applyFont="1" applyFill="1" applyBorder="1" applyAlignment="1">
      <alignment horizontal="center" vertical="center"/>
    </xf>
    <xf numFmtId="0" fontId="2" fillId="0" borderId="137" xfId="0" applyFont="1" applyBorder="1" applyAlignment="1">
      <alignment horizontal="center" shrinkToFit="1"/>
    </xf>
    <xf numFmtId="0" fontId="2" fillId="0" borderId="121" xfId="0" applyFont="1" applyBorder="1" applyAlignment="1">
      <alignment horizontal="left" vertical="center"/>
    </xf>
    <xf numFmtId="0" fontId="2" fillId="0" borderId="92" xfId="0" applyFont="1" applyBorder="1" applyAlignment="1">
      <alignment horizontal="left" vertical="center" shrinkToFit="1"/>
    </xf>
    <xf numFmtId="0" fontId="6" fillId="19" borderId="30" xfId="0" applyFont="1" applyFill="1" applyBorder="1" applyAlignment="1">
      <alignment horizontal="center" vertical="center"/>
    </xf>
    <xf numFmtId="0" fontId="2" fillId="0" borderId="0" xfId="0" applyFont="1" applyAlignment="1">
      <alignment vertical="center"/>
    </xf>
    <xf numFmtId="0" fontId="7" fillId="0" borderId="26"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1" fontId="7" fillId="17" borderId="30"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164" fontId="2" fillId="0" borderId="121" xfId="0" quotePrefix="1" applyNumberFormat="1" applyFont="1" applyFill="1" applyBorder="1" applyAlignment="1">
      <alignment horizontal="centerContinuous" vertical="center"/>
    </xf>
    <xf numFmtId="1" fontId="7" fillId="0" borderId="85" xfId="0" applyNumberFormat="1" applyFont="1" applyFill="1" applyBorder="1" applyAlignment="1">
      <alignment horizontal="centerContinuous" vertical="center"/>
    </xf>
    <xf numFmtId="0" fontId="2" fillId="0" borderId="86" xfId="0" applyFont="1" applyFill="1" applyBorder="1" applyAlignment="1">
      <alignment horizontal="centerContinuous" vertical="center"/>
    </xf>
    <xf numFmtId="0" fontId="7" fillId="0" borderId="14" xfId="0" applyFont="1" applyFill="1" applyBorder="1" applyAlignment="1">
      <alignment horizontal="center" vertical="center"/>
    </xf>
    <xf numFmtId="0" fontId="2" fillId="0" borderId="112" xfId="0" applyFont="1" applyBorder="1" applyAlignment="1">
      <alignment horizontal="center" vertical="center"/>
    </xf>
    <xf numFmtId="0" fontId="2" fillId="0" borderId="79" xfId="0" applyFont="1" applyBorder="1" applyAlignment="1">
      <alignment horizontal="center" vertical="center"/>
    </xf>
    <xf numFmtId="164" fontId="2" fillId="0" borderId="79" xfId="0" applyNumberFormat="1" applyFont="1" applyBorder="1" applyAlignment="1">
      <alignment horizontal="center" vertical="center"/>
    </xf>
    <xf numFmtId="0" fontId="52" fillId="21" borderId="28" xfId="0" applyNumberFormat="1" applyFont="1" applyFill="1" applyBorder="1" applyAlignment="1">
      <alignment horizontal="center" vertical="center"/>
    </xf>
    <xf numFmtId="0" fontId="63" fillId="0" borderId="25" xfId="0" applyFont="1" applyBorder="1" applyAlignment="1">
      <alignment horizontal="centerContinuous" vertical="center"/>
    </xf>
    <xf numFmtId="0" fontId="64" fillId="0" borderId="1" xfId="8" applyFont="1" applyFill="1" applyBorder="1" applyAlignment="1">
      <alignment horizontal="center" vertical="center" shrinkToFit="1"/>
    </xf>
    <xf numFmtId="0" fontId="64" fillId="0" borderId="8" xfId="8" applyFont="1" applyFill="1" applyBorder="1" applyAlignment="1">
      <alignment horizontal="center" vertical="center" shrinkToFit="1"/>
    </xf>
    <xf numFmtId="0" fontId="12" fillId="22" borderId="22" xfId="0" applyFont="1" applyFill="1" applyBorder="1" applyAlignment="1">
      <alignment horizontal="centerContinuous" vertical="center" wrapText="1"/>
    </xf>
    <xf numFmtId="0" fontId="12" fillId="22" borderId="23" xfId="0" applyFont="1" applyFill="1" applyBorder="1" applyAlignment="1">
      <alignment horizontal="center" vertical="center"/>
    </xf>
    <xf numFmtId="0" fontId="12" fillId="22" borderId="23" xfId="0" applyNumberFormat="1" applyFont="1" applyFill="1" applyBorder="1" applyAlignment="1">
      <alignment horizontal="center" vertical="center" wrapText="1"/>
    </xf>
    <xf numFmtId="0" fontId="12" fillId="22" borderId="23" xfId="0" applyFont="1" applyFill="1" applyBorder="1" applyAlignment="1">
      <alignment horizontal="center" vertical="center" wrapText="1"/>
    </xf>
    <xf numFmtId="0" fontId="12" fillId="22" borderId="24" xfId="0" applyNumberFormat="1" applyFont="1" applyFill="1" applyBorder="1" applyAlignment="1">
      <alignment horizontal="centerContinuous" vertical="center" wrapText="1"/>
    </xf>
    <xf numFmtId="0" fontId="63" fillId="0" borderId="0" xfId="0" applyFont="1" applyBorder="1" applyAlignment="1">
      <alignment horizontal="centerContinuous" vertical="center"/>
    </xf>
    <xf numFmtId="0" fontId="4" fillId="15" borderId="63" xfId="0" applyFont="1" applyFill="1" applyBorder="1" applyAlignment="1">
      <alignment horizontal="center" vertical="center"/>
    </xf>
    <xf numFmtId="0" fontId="2" fillId="14" borderId="59" xfId="0" applyFont="1" applyFill="1" applyBorder="1" applyAlignment="1">
      <alignment horizontal="center" vertical="center"/>
    </xf>
    <xf numFmtId="0" fontId="2" fillId="14" borderId="58" xfId="0" applyFont="1" applyFill="1" applyBorder="1" applyAlignment="1">
      <alignment horizontal="center" vertical="center"/>
    </xf>
    <xf numFmtId="0" fontId="4" fillId="14" borderId="63" xfId="0" applyFont="1" applyFill="1" applyBorder="1" applyAlignment="1">
      <alignment horizontal="center" vertical="center"/>
    </xf>
    <xf numFmtId="49" fontId="2" fillId="15" borderId="96" xfId="0" applyNumberFormat="1" applyFont="1" applyFill="1" applyBorder="1" applyAlignment="1">
      <alignment horizontal="center" vertical="center"/>
    </xf>
    <xf numFmtId="0" fontId="56" fillId="22" borderId="33" xfId="0" applyFont="1" applyFill="1" applyBorder="1" applyAlignment="1">
      <alignment horizontal="centerContinuous" vertical="center"/>
    </xf>
    <xf numFmtId="0" fontId="57" fillId="22" borderId="37" xfId="0" applyFont="1" applyFill="1" applyBorder="1" applyAlignment="1">
      <alignment horizontal="centerContinuous" vertical="center"/>
    </xf>
    <xf numFmtId="0" fontId="57" fillId="22" borderId="50" xfId="0" applyFont="1" applyFill="1" applyBorder="1" applyAlignment="1">
      <alignment horizontal="centerContinuous" vertical="center"/>
    </xf>
    <xf numFmtId="0" fontId="48" fillId="9" borderId="33" xfId="0" applyFont="1" applyFill="1" applyBorder="1" applyAlignment="1">
      <alignment horizontal="centerContinuous" vertical="center"/>
    </xf>
    <xf numFmtId="0" fontId="49" fillId="9" borderId="50" xfId="0" applyFont="1" applyFill="1" applyBorder="1" applyAlignment="1">
      <alignment horizontal="centerContinuous" vertical="center"/>
    </xf>
    <xf numFmtId="0" fontId="57" fillId="11" borderId="50" xfId="0" applyFont="1" applyFill="1" applyBorder="1" applyAlignment="1">
      <alignment horizontal="centerContinuous" vertical="center"/>
    </xf>
    <xf numFmtId="0" fontId="65" fillId="0" borderId="33" xfId="0" applyFont="1" applyBorder="1" applyAlignment="1">
      <alignment horizontal="centerContinuous"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14" fillId="23" borderId="1" xfId="0" applyFont="1" applyFill="1" applyBorder="1" applyAlignment="1">
      <alignment vertical="center"/>
    </xf>
    <xf numFmtId="0" fontId="7" fillId="23" borderId="27" xfId="0" applyNumberFormat="1" applyFont="1" applyFill="1" applyBorder="1" applyAlignment="1">
      <alignment horizontal="center" vertical="center"/>
    </xf>
    <xf numFmtId="49" fontId="23" fillId="23" borderId="27" xfId="0" applyNumberFormat="1" applyFont="1" applyFill="1" applyBorder="1" applyAlignment="1">
      <alignment horizontal="center" vertical="center"/>
    </xf>
    <xf numFmtId="0" fontId="23" fillId="23" borderId="28" xfId="0" applyNumberFormat="1" applyFont="1" applyFill="1" applyBorder="1" applyAlignment="1">
      <alignment horizontal="center" vertical="center"/>
    </xf>
    <xf numFmtId="0" fontId="14" fillId="23" borderId="28" xfId="0" applyNumberFormat="1" applyFont="1" applyFill="1" applyBorder="1" applyAlignment="1">
      <alignment horizontal="center" vertical="center"/>
    </xf>
    <xf numFmtId="49" fontId="7" fillId="23" borderId="28" xfId="0" applyNumberFormat="1" applyFont="1" applyFill="1" applyBorder="1" applyAlignment="1">
      <alignment horizontal="center" vertical="center"/>
    </xf>
    <xf numFmtId="0" fontId="7" fillId="23" borderId="29" xfId="0" quotePrefix="1" applyNumberFormat="1" applyFont="1" applyFill="1" applyBorder="1" applyAlignment="1">
      <alignment horizontal="center" vertical="center"/>
    </xf>
    <xf numFmtId="0" fontId="52" fillId="9" borderId="8" xfId="0" applyFont="1" applyFill="1" applyBorder="1" applyAlignment="1">
      <alignment vertical="center"/>
    </xf>
    <xf numFmtId="0" fontId="7" fillId="9" borderId="47" xfId="0" applyNumberFormat="1" applyFont="1" applyFill="1" applyBorder="1" applyAlignment="1">
      <alignment horizontal="center" vertical="center"/>
    </xf>
    <xf numFmtId="49" fontId="51" fillId="9" borderId="47" xfId="0" applyNumberFormat="1" applyFont="1" applyFill="1" applyBorder="1" applyAlignment="1">
      <alignment horizontal="center" vertical="center"/>
    </xf>
    <xf numFmtId="0" fontId="51" fillId="9" borderId="49" xfId="0" applyNumberFormat="1" applyFont="1" applyFill="1" applyBorder="1" applyAlignment="1">
      <alignment horizontal="center" vertical="center"/>
    </xf>
    <xf numFmtId="0" fontId="52" fillId="9" borderId="49" xfId="0" applyNumberFormat="1" applyFont="1" applyFill="1" applyBorder="1" applyAlignment="1">
      <alignment horizontal="center" vertical="center"/>
    </xf>
    <xf numFmtId="49" fontId="7" fillId="9" borderId="49" xfId="0" applyNumberFormat="1" applyFont="1" applyFill="1" applyBorder="1" applyAlignment="1">
      <alignment horizontal="center" vertical="center"/>
    </xf>
    <xf numFmtId="0" fontId="7" fillId="9" borderId="36" xfId="0" quotePrefix="1" applyNumberFormat="1" applyFont="1" applyFill="1" applyBorder="1" applyAlignment="1">
      <alignment horizontal="center" vertical="center"/>
    </xf>
    <xf numFmtId="0" fontId="10" fillId="0" borderId="1" xfId="0" applyFont="1" applyFill="1" applyBorder="1" applyAlignment="1">
      <alignment vertical="center"/>
    </xf>
    <xf numFmtId="49" fontId="26" fillId="0" borderId="27" xfId="0" applyNumberFormat="1" applyFont="1" applyFill="1" applyBorder="1" applyAlignment="1">
      <alignment horizontal="center" vertical="center"/>
    </xf>
    <xf numFmtId="0" fontId="26"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59" fillId="20" borderId="34" xfId="0" applyFont="1" applyFill="1" applyBorder="1" applyAlignment="1">
      <alignment horizontal="centerContinuous" vertical="center"/>
    </xf>
    <xf numFmtId="0" fontId="59" fillId="20" borderId="102" xfId="0" applyFont="1" applyFill="1" applyBorder="1" applyAlignment="1">
      <alignment horizontal="centerContinuous" vertical="center"/>
    </xf>
    <xf numFmtId="0" fontId="59" fillId="20" borderId="103" xfId="0" applyFont="1" applyFill="1" applyBorder="1" applyAlignment="1">
      <alignment horizontal="center" vertical="center"/>
    </xf>
    <xf numFmtId="0" fontId="59" fillId="20" borderId="104" xfId="0" applyFont="1" applyFill="1" applyBorder="1" applyAlignment="1">
      <alignment horizontal="centerContinuous" vertical="center"/>
    </xf>
    <xf numFmtId="9" fontId="2" fillId="14" borderId="43" xfId="0" applyNumberFormat="1" applyFont="1" applyFill="1" applyBorder="1" applyAlignment="1">
      <alignment horizontal="center" vertical="center"/>
    </xf>
    <xf numFmtId="0" fontId="66" fillId="2" borderId="64" xfId="0" applyFont="1" applyFill="1" applyBorder="1" applyAlignment="1">
      <alignment horizontal="right" vertical="center"/>
    </xf>
    <xf numFmtId="0" fontId="66" fillId="2" borderId="65" xfId="0" applyFont="1" applyFill="1" applyBorder="1" applyAlignment="1">
      <alignment horizontal="left" vertical="center"/>
    </xf>
    <xf numFmtId="0" fontId="2" fillId="0" borderId="42" xfId="0" quotePrefix="1" applyFont="1" applyBorder="1" applyAlignment="1">
      <alignment horizontal="center" vertical="center"/>
    </xf>
    <xf numFmtId="0" fontId="49" fillId="9" borderId="55" xfId="0" applyFont="1" applyFill="1" applyBorder="1" applyAlignment="1">
      <alignment horizontal="centerContinuous" vertical="center"/>
    </xf>
    <xf numFmtId="0" fontId="49" fillId="9" borderId="37" xfId="0" applyFont="1" applyFill="1" applyBorder="1" applyAlignment="1">
      <alignment horizontal="centerContinuous" vertical="center"/>
    </xf>
    <xf numFmtId="0" fontId="2" fillId="21" borderId="41" xfId="0" applyNumberFormat="1" applyFont="1" applyFill="1" applyBorder="1" applyAlignment="1">
      <alignment horizontal="center" vertical="center"/>
    </xf>
    <xf numFmtId="0" fontId="67" fillId="2" borderId="4" xfId="0" applyFont="1" applyFill="1" applyBorder="1" applyAlignment="1">
      <alignment horizontal="right"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3">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9900FF"/>
      <color rgb="FF009900"/>
      <color rgb="FFCCFFCC"/>
      <color rgb="FFFF3300"/>
      <color rgb="FF008000"/>
      <color rgb="FFCCCCFF"/>
      <color rgb="FFCC99FF"/>
      <color rgb="FFCC66FF"/>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41910</xdr:colOff>
      <xdr:row>17</xdr:row>
      <xdr:rowOff>51434</xdr:rowOff>
    </xdr:from>
    <xdr:to>
      <xdr:col>6</xdr:col>
      <xdr:colOff>1261110</xdr:colOff>
      <xdr:row>63</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Of Damaran ethnicity, Karlon Holt has tawny (yellow-brown) skin, brown eyes, and wavy brown hair tied back in a pony tail. He is a bit shorter and slighter of frame than the average human male, a runner's build rather than a brawler's. He wears an explorer's outfit over a mithril shirt, and has nice padded boots, a fine belt and cloak, and a backpack. He carries a well-crafted light crossbow, with a rapier, shortsword, kukri, light hammer, and two cases of crossbow bolts.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Karlon was raised in the metropolis of Lyrabar, capital of Impiltur, near the Gray Forest. He grew up speaking both the Common tongue and Damaran, the language spoken by his family and many other folk of Impiltur. He picked up Goblin as well, from a dwarven friend of his father's, who rightly claimed it might be useful in the Gray Forest due to the hobgoblin presence there.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His father was a member of the city guard, but Karlon was drawn to the outdoors, so he signed up to serve in a military unit as a scout. He found that they would, among other skills, teach him additional languages, so he learned as well the languages of Giants, Gnolls, Orcs, and Sylvan folk.</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While he honors the Triad as the primary trio of deities of Impiltur, other deities are also worshipped within the kingdom, and with his preference for natural areas, he started out following Selune. However, after an encounter in the Gray Forest where his patrol was aided by a pair of unicorns, he pledged to Lurue, who is thought to be Selune's daughter, taking the magical beasts as a sign.</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While enjoying some leave time in the city, he stumbled across some agents of the Red Wizards (who have one of their "trade embassies" in Lyrabar) and helped thwart one of their plans. The Red Wizard agents were employing undead as minions, and Karlon was nearly drained of strength - something he doesn't have a lot of - by a shadow. He recovered, and resolved to learn how to fight undead more effectively; he got a ranger to expand upon his scout training, teaching him to exploit the few weak points undead have.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After that, he volunteered as a tracker for a unit of warswords (a type of mounted militia who use lances and crossbows) heading elsewhere in the kingdom and, while he preferred to walk rather than riding, he got just good enough at it to get by, and his ability with his favorite weapon, the light crossbow, earned him some respect and special training as a fighter. </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However, upon his return to Lyrabar, he learned that the Red Wizards' agents had figured out who he was and held a grudge. He escaped their grasp and became a voluntary exile from his homeland to protect his family. Since that time he has wandered as a renegade, acting as a scout for hire, a caravan guard, occasionally adventuring, etc., looking for a place he can fit in. He has continued advancing in his three interwoven classes, working on improving his effectiveness with the light crossbow, working on various skills, etc. With the history of Impiltur involving fighting fiends, eventually taking evil outsiders as his second favored enemy made a lot of sense, but he personally hates undead more, and has further improved his abilities vs such foes, as well as learning how to better fight fiends, in honor of his homeland's history fighting such foes.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While he spent several years as a soldier in Impiltur, Karlon seldom tells the typical stories soldiers tell of past exploits, as he is somewhat selfconscious; the exception is the rare occasion when he overindulges in ale, at which times he might slip into Damaran occasionally, briefly rambling a bit until he remembers that he is far from home and most folks around don't speak his ethnic tongue. He also tends to swear in Damaran, precisely because nobody will understand!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is normally reserved, serious and quiet, letting others do most of the talking, unless he has something important to contribute, such as suggesting changes to plans that might be helpful. He is loyal to those who hired him, or admit him into their group, provided they don't betray him.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But he does hold a grudge, against the Red Wizards, and undead like those the Red Wizards have been known to make use of, and fiends, from national pride. Regarding life in general, he is fearless and plucky, optimistic that there is a way to win or at least survive in most circumstances, and ready to find that way.</a:t>
          </a:r>
        </a:p>
      </xdr:txBody>
    </xdr:sp>
    <xdr:clientData/>
  </xdr:twoCellAnchor>
  <xdr:twoCellAnchor>
    <xdr:from>
      <xdr:col>5</xdr:col>
      <xdr:colOff>60960</xdr:colOff>
      <xdr:row>14</xdr:row>
      <xdr:rowOff>182880</xdr:rowOff>
    </xdr:from>
    <xdr:to>
      <xdr:col>6</xdr:col>
      <xdr:colOff>1232535</xdr:colOff>
      <xdr:row>16</xdr:row>
      <xdr:rowOff>211454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794760"/>
          <a:ext cx="2291715" cy="46291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68580</xdr:colOff>
      <xdr:row>1</xdr:row>
      <xdr:rowOff>123825</xdr:rowOff>
    </xdr:from>
    <xdr:to>
      <xdr:col>2</xdr:col>
      <xdr:colOff>55245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showGridLines="0" tabSelected="1" zoomScaleNormal="100" workbookViewId="0"/>
  </sheetViews>
  <sheetFormatPr defaultColWidth="13" defaultRowHeight="15.6" x14ac:dyDescent="0.3"/>
  <cols>
    <col min="1" max="1" width="14.296875" style="49" customWidth="1"/>
    <col min="2" max="2" width="10" style="50" customWidth="1"/>
    <col min="3" max="3" width="5.09765625" style="50" customWidth="1"/>
    <col min="4" max="4" width="13.69921875" style="49" bestFit="1" customWidth="1"/>
    <col min="5" max="5" width="10.8984375" style="50" bestFit="1" customWidth="1"/>
    <col min="6" max="6" width="14.69921875" style="49" customWidth="1"/>
    <col min="7" max="7" width="17.09765625" style="50" customWidth="1"/>
    <col min="8" max="16384" width="13" style="10"/>
  </cols>
  <sheetData>
    <row r="1" spans="1:7" ht="29.4" thickTop="1" thickBot="1" x14ac:dyDescent="0.35">
      <c r="A1" s="512" t="s">
        <v>218</v>
      </c>
      <c r="B1" s="513" t="s">
        <v>219</v>
      </c>
      <c r="C1" s="6"/>
      <c r="D1" s="7"/>
      <c r="E1" s="8"/>
      <c r="F1" s="7"/>
      <c r="G1" s="9" t="s">
        <v>220</v>
      </c>
    </row>
    <row r="2" spans="1:7" ht="17.399999999999999" thickTop="1" x14ac:dyDescent="0.3">
      <c r="A2" s="11" t="s">
        <v>97</v>
      </c>
      <c r="B2" s="12" t="s">
        <v>89</v>
      </c>
      <c r="C2" s="12"/>
      <c r="D2" s="13" t="s">
        <v>104</v>
      </c>
      <c r="E2" s="14">
        <v>27</v>
      </c>
      <c r="F2" s="15"/>
      <c r="G2" s="16"/>
    </row>
    <row r="3" spans="1:7" ht="16.8" x14ac:dyDescent="0.3">
      <c r="A3" s="11" t="s">
        <v>98</v>
      </c>
      <c r="B3" s="12" t="s">
        <v>224</v>
      </c>
      <c r="C3" s="12"/>
      <c r="D3" s="13" t="s">
        <v>0</v>
      </c>
      <c r="E3" s="14">
        <v>4</v>
      </c>
      <c r="F3" s="13"/>
      <c r="G3" s="16"/>
    </row>
    <row r="4" spans="1:7" ht="16.8" x14ac:dyDescent="0.3">
      <c r="A4" s="11" t="s">
        <v>98</v>
      </c>
      <c r="B4" s="12" t="s">
        <v>225</v>
      </c>
      <c r="C4" s="12"/>
      <c r="D4" s="13" t="s">
        <v>0</v>
      </c>
      <c r="E4" s="14">
        <v>2</v>
      </c>
      <c r="F4" s="13"/>
      <c r="G4" s="16"/>
    </row>
    <row r="5" spans="1:7" ht="16.8" x14ac:dyDescent="0.3">
      <c r="A5" s="11" t="s">
        <v>98</v>
      </c>
      <c r="B5" s="12" t="s">
        <v>226</v>
      </c>
      <c r="C5" s="12"/>
      <c r="D5" s="13" t="s">
        <v>0</v>
      </c>
      <c r="E5" s="14">
        <v>2</v>
      </c>
      <c r="F5" s="13"/>
      <c r="G5" s="16"/>
    </row>
    <row r="6" spans="1:7" ht="16.8" x14ac:dyDescent="0.3">
      <c r="A6" s="11" t="s">
        <v>113</v>
      </c>
      <c r="B6" s="12" t="s">
        <v>227</v>
      </c>
      <c r="C6" s="12"/>
      <c r="D6" s="13" t="s">
        <v>99</v>
      </c>
      <c r="E6" s="14" t="s">
        <v>221</v>
      </c>
      <c r="F6" s="13"/>
      <c r="G6" s="16"/>
    </row>
    <row r="7" spans="1:7" ht="16.8" x14ac:dyDescent="0.3">
      <c r="A7" s="11" t="s">
        <v>114</v>
      </c>
      <c r="B7" s="12" t="s">
        <v>257</v>
      </c>
      <c r="C7" s="12"/>
      <c r="D7" s="13" t="s">
        <v>118</v>
      </c>
      <c r="E7" s="14" t="s">
        <v>222</v>
      </c>
      <c r="F7" s="13"/>
      <c r="G7" s="16"/>
    </row>
    <row r="8" spans="1:7" ht="17.399999999999999" thickBot="1" x14ac:dyDescent="0.35">
      <c r="A8" s="11" t="s">
        <v>115</v>
      </c>
      <c r="B8" s="12" t="s">
        <v>126</v>
      </c>
      <c r="C8" s="12"/>
      <c r="D8" s="13" t="s">
        <v>119</v>
      </c>
      <c r="E8" s="14" t="s">
        <v>223</v>
      </c>
      <c r="F8" s="13"/>
      <c r="G8" s="16"/>
    </row>
    <row r="9" spans="1:7" ht="17.399999999999999" thickTop="1" x14ac:dyDescent="0.3">
      <c r="A9" s="17" t="s">
        <v>116</v>
      </c>
      <c r="B9" s="454">
        <f>3+E3+E4</f>
        <v>9</v>
      </c>
      <c r="C9" s="455"/>
      <c r="D9" s="18" t="s">
        <v>70</v>
      </c>
      <c r="E9" s="19" t="s">
        <v>170</v>
      </c>
      <c r="F9" s="20"/>
      <c r="G9" s="16"/>
    </row>
    <row r="10" spans="1:7" ht="17.399999999999999" thickBot="1" x14ac:dyDescent="0.35">
      <c r="A10" s="126" t="s">
        <v>117</v>
      </c>
      <c r="B10" s="127" t="str">
        <f>C12</f>
        <v>+4</v>
      </c>
      <c r="C10" s="128"/>
      <c r="D10" s="273"/>
      <c r="E10" s="274"/>
      <c r="F10" s="20"/>
      <c r="G10" s="16"/>
    </row>
    <row r="11" spans="1:7" ht="17.399999999999999" thickTop="1" x14ac:dyDescent="0.3">
      <c r="A11" s="21" t="s">
        <v>112</v>
      </c>
      <c r="B11" s="456">
        <v>9</v>
      </c>
      <c r="C11" s="22">
        <f t="shared" ref="C11:C16" si="0">IF(B11&gt;9.9,CONCATENATE("+",ROUNDDOWN((B11-10)/2,0)),ROUNDUP((B11-10)/2,0))</f>
        <v>-1</v>
      </c>
      <c r="D11" s="23" t="s">
        <v>120</v>
      </c>
      <c r="E11" s="104" t="s">
        <v>254</v>
      </c>
      <c r="F11" s="20"/>
      <c r="G11" s="16"/>
    </row>
    <row r="12" spans="1:7" ht="16.8" x14ac:dyDescent="0.3">
      <c r="A12" s="24" t="s">
        <v>111</v>
      </c>
      <c r="B12" s="449">
        <v>18</v>
      </c>
      <c r="C12" s="25" t="str">
        <f t="shared" si="0"/>
        <v>+4</v>
      </c>
      <c r="D12" s="26" t="s">
        <v>121</v>
      </c>
      <c r="E12" s="27">
        <f>SUM(Martial!G3:G33)+SUM(Equipment!C3:C25)+5</f>
        <v>50.5</v>
      </c>
      <c r="F12" s="20"/>
      <c r="G12" s="16"/>
    </row>
    <row r="13" spans="1:7" ht="16.8" x14ac:dyDescent="0.3">
      <c r="A13" s="518" t="s">
        <v>107</v>
      </c>
      <c r="B13" s="28">
        <v>12</v>
      </c>
      <c r="C13" s="29" t="str">
        <f t="shared" si="0"/>
        <v>+1</v>
      </c>
      <c r="D13" s="26" t="s">
        <v>122</v>
      </c>
      <c r="E13" s="446">
        <f>ROUNDUP(((E3*8)*0.75)+((E4*8)*0.75)+((E5*10)*0.75)+(SUM(E3:E5)*(C13-1)),0)</f>
        <v>51</v>
      </c>
      <c r="F13" s="20"/>
      <c r="G13" s="16"/>
    </row>
    <row r="14" spans="1:7" ht="16.8" x14ac:dyDescent="0.3">
      <c r="A14" s="30" t="s">
        <v>109</v>
      </c>
      <c r="B14" s="28">
        <v>14</v>
      </c>
      <c r="C14" s="25" t="str">
        <f t="shared" si="0"/>
        <v>+2</v>
      </c>
      <c r="D14" s="31" t="s">
        <v>123</v>
      </c>
      <c r="E14" s="450">
        <f>10+C12+2</f>
        <v>16</v>
      </c>
      <c r="F14" s="11"/>
      <c r="G14" s="16"/>
    </row>
    <row r="15" spans="1:7" ht="16.8" x14ac:dyDescent="0.3">
      <c r="A15" s="32" t="s">
        <v>110</v>
      </c>
      <c r="B15" s="28">
        <v>14</v>
      </c>
      <c r="C15" s="25" t="str">
        <f t="shared" si="0"/>
        <v>+2</v>
      </c>
      <c r="D15" s="31" t="s">
        <v>124</v>
      </c>
      <c r="E15" s="451">
        <f>E16-C12</f>
        <v>12</v>
      </c>
      <c r="F15" s="20"/>
      <c r="G15" s="16"/>
    </row>
    <row r="16" spans="1:7" ht="17.399999999999999" thickBot="1" x14ac:dyDescent="0.35">
      <c r="A16" s="33" t="s">
        <v>108</v>
      </c>
      <c r="B16" s="448">
        <v>8</v>
      </c>
      <c r="C16" s="34">
        <f t="shared" si="0"/>
        <v>-1</v>
      </c>
      <c r="D16" s="35" t="s">
        <v>134</v>
      </c>
      <c r="E16" s="452">
        <f>E14+SUM(Martial!B24:B29)</f>
        <v>16</v>
      </c>
      <c r="F16" s="20"/>
      <c r="G16" s="16"/>
    </row>
    <row r="17" spans="1:7" ht="24" thickTop="1" thickBot="1" x14ac:dyDescent="0.35">
      <c r="A17" s="36" t="s">
        <v>18</v>
      </c>
      <c r="B17" s="37"/>
      <c r="C17" s="37"/>
      <c r="D17" s="38"/>
      <c r="E17" s="38"/>
      <c r="F17" s="38"/>
      <c r="G17" s="39"/>
    </row>
    <row r="18" spans="1:7" s="3" customFormat="1" ht="17.399999999999999" thickTop="1" x14ac:dyDescent="0.3">
      <c r="A18" s="40"/>
      <c r="B18" s="41"/>
      <c r="C18" s="41"/>
      <c r="D18" s="41"/>
      <c r="E18" s="41"/>
      <c r="F18" s="41"/>
      <c r="G18" s="42"/>
    </row>
    <row r="19" spans="1:7" s="3" customFormat="1" ht="16.8" x14ac:dyDescent="0.3">
      <c r="A19" s="43"/>
      <c r="B19" s="44"/>
      <c r="C19" s="44"/>
      <c r="D19" s="44"/>
      <c r="E19" s="44"/>
      <c r="F19" s="44"/>
      <c r="G19" s="45"/>
    </row>
    <row r="20" spans="1:7" s="3" customFormat="1" ht="16.8" x14ac:dyDescent="0.3">
      <c r="A20" s="43"/>
      <c r="B20" s="44"/>
      <c r="C20" s="44"/>
      <c r="D20" s="44"/>
      <c r="E20" s="44"/>
      <c r="F20" s="44"/>
      <c r="G20" s="45"/>
    </row>
    <row r="21" spans="1:7" s="3" customFormat="1" ht="16.8" x14ac:dyDescent="0.3">
      <c r="A21" s="43"/>
      <c r="B21" s="44"/>
      <c r="C21" s="44"/>
      <c r="D21" s="44"/>
      <c r="E21" s="44"/>
      <c r="F21" s="44"/>
      <c r="G21" s="45"/>
    </row>
    <row r="22" spans="1:7" s="3" customFormat="1" ht="16.8" x14ac:dyDescent="0.3">
      <c r="A22" s="43"/>
      <c r="B22" s="44"/>
      <c r="C22" s="44"/>
      <c r="D22" s="44"/>
      <c r="E22" s="44"/>
      <c r="F22" s="44"/>
      <c r="G22" s="45"/>
    </row>
    <row r="23" spans="1:7" s="3" customFormat="1" ht="16.8" x14ac:dyDescent="0.3">
      <c r="A23" s="43"/>
      <c r="B23" s="44"/>
      <c r="C23" s="44"/>
      <c r="D23" s="44"/>
      <c r="E23" s="44"/>
      <c r="F23" s="44"/>
      <c r="G23" s="45"/>
    </row>
    <row r="24" spans="1:7" s="3" customFormat="1" ht="16.8" x14ac:dyDescent="0.3">
      <c r="A24" s="43"/>
      <c r="B24" s="44"/>
      <c r="C24" s="44"/>
      <c r="D24" s="44"/>
      <c r="E24" s="44"/>
      <c r="F24" s="44"/>
      <c r="G24" s="45"/>
    </row>
    <row r="25" spans="1:7" s="3" customFormat="1" ht="16.8" x14ac:dyDescent="0.3">
      <c r="A25" s="43"/>
      <c r="B25" s="44"/>
      <c r="C25" s="44"/>
      <c r="D25" s="44"/>
      <c r="E25" s="44"/>
      <c r="F25" s="44"/>
      <c r="G25" s="45"/>
    </row>
    <row r="26" spans="1:7" s="3" customFormat="1" ht="16.8" x14ac:dyDescent="0.3">
      <c r="A26" s="43"/>
      <c r="B26" s="44"/>
      <c r="C26" s="44"/>
      <c r="D26" s="44"/>
      <c r="E26" s="44"/>
      <c r="F26" s="44"/>
      <c r="G26" s="45"/>
    </row>
    <row r="27" spans="1:7" s="3" customFormat="1" ht="16.8" x14ac:dyDescent="0.3">
      <c r="A27" s="43"/>
      <c r="B27" s="44"/>
      <c r="C27" s="44"/>
      <c r="D27" s="44"/>
      <c r="E27" s="44"/>
      <c r="F27" s="44"/>
      <c r="G27" s="45"/>
    </row>
    <row r="28" spans="1:7" s="3" customFormat="1" ht="16.8" x14ac:dyDescent="0.3">
      <c r="A28" s="43"/>
      <c r="B28" s="44"/>
      <c r="C28" s="44"/>
      <c r="D28" s="44"/>
      <c r="E28" s="44"/>
      <c r="F28" s="44"/>
      <c r="G28" s="45"/>
    </row>
    <row r="29" spans="1:7" s="3" customFormat="1" ht="16.8" x14ac:dyDescent="0.3">
      <c r="A29" s="43"/>
      <c r="B29" s="44"/>
      <c r="C29" s="44"/>
      <c r="D29" s="44"/>
      <c r="E29" s="44"/>
      <c r="F29" s="44"/>
      <c r="G29" s="45"/>
    </row>
    <row r="30" spans="1:7" s="3" customFormat="1" ht="16.8" x14ac:dyDescent="0.3">
      <c r="A30" s="43"/>
      <c r="B30" s="44"/>
      <c r="C30" s="44"/>
      <c r="D30" s="44"/>
      <c r="E30" s="44"/>
      <c r="F30" s="44"/>
      <c r="G30" s="45"/>
    </row>
    <row r="31" spans="1:7" s="3" customFormat="1" ht="16.8" x14ac:dyDescent="0.3">
      <c r="A31" s="43"/>
      <c r="B31" s="44"/>
      <c r="C31" s="44"/>
      <c r="D31" s="44"/>
      <c r="E31" s="44"/>
      <c r="F31" s="44"/>
      <c r="G31" s="45"/>
    </row>
    <row r="32" spans="1:7" s="3" customFormat="1" ht="16.8" x14ac:dyDescent="0.3">
      <c r="A32" s="43"/>
      <c r="B32" s="44"/>
      <c r="C32" s="44"/>
      <c r="D32" s="44"/>
      <c r="E32" s="44"/>
      <c r="F32" s="44"/>
      <c r="G32" s="45"/>
    </row>
    <row r="33" spans="1:7" s="3" customFormat="1" ht="16.8" x14ac:dyDescent="0.3">
      <c r="A33" s="43"/>
      <c r="B33" s="44"/>
      <c r="C33" s="44"/>
      <c r="D33" s="44"/>
      <c r="E33" s="44"/>
      <c r="F33" s="44"/>
      <c r="G33" s="45"/>
    </row>
    <row r="34" spans="1:7" s="3" customFormat="1" ht="16.8" x14ac:dyDescent="0.3">
      <c r="A34" s="43"/>
      <c r="B34" s="44"/>
      <c r="C34" s="44"/>
      <c r="D34" s="44"/>
      <c r="E34" s="44"/>
      <c r="F34" s="44"/>
      <c r="G34" s="45"/>
    </row>
    <row r="35" spans="1:7" s="3" customFormat="1" ht="16.8" x14ac:dyDescent="0.3">
      <c r="A35" s="43"/>
      <c r="B35" s="44"/>
      <c r="C35" s="44"/>
      <c r="D35" s="44"/>
      <c r="E35" s="44"/>
      <c r="F35" s="44"/>
      <c r="G35" s="45"/>
    </row>
    <row r="36" spans="1:7" s="3" customFormat="1" ht="16.8" x14ac:dyDescent="0.3">
      <c r="A36" s="43"/>
      <c r="B36" s="44"/>
      <c r="C36" s="44"/>
      <c r="D36" s="44"/>
      <c r="E36" s="44"/>
      <c r="F36" s="44"/>
      <c r="G36" s="45"/>
    </row>
    <row r="37" spans="1:7" s="3" customFormat="1" ht="16.8" x14ac:dyDescent="0.3">
      <c r="A37" s="43"/>
      <c r="B37" s="44"/>
      <c r="C37" s="44"/>
      <c r="D37" s="44"/>
      <c r="E37" s="44"/>
      <c r="F37" s="44"/>
      <c r="G37" s="45"/>
    </row>
    <row r="38" spans="1:7" s="3" customFormat="1" ht="16.8" x14ac:dyDescent="0.3">
      <c r="A38" s="43"/>
      <c r="B38" s="44"/>
      <c r="C38" s="44"/>
      <c r="D38" s="44"/>
      <c r="E38" s="44"/>
      <c r="F38" s="44"/>
      <c r="G38" s="45"/>
    </row>
    <row r="39" spans="1:7" s="3" customFormat="1" ht="16.8" x14ac:dyDescent="0.3">
      <c r="A39" s="43"/>
      <c r="B39" s="44"/>
      <c r="C39" s="44"/>
      <c r="D39" s="44"/>
      <c r="E39" s="44"/>
      <c r="F39" s="44"/>
      <c r="G39" s="45"/>
    </row>
    <row r="40" spans="1:7" s="3" customFormat="1" ht="16.8" x14ac:dyDescent="0.3">
      <c r="A40" s="43"/>
      <c r="B40" s="44"/>
      <c r="C40" s="44"/>
      <c r="D40" s="44"/>
      <c r="E40" s="44"/>
      <c r="F40" s="44"/>
      <c r="G40" s="45"/>
    </row>
    <row r="41" spans="1:7" s="3" customFormat="1" ht="16.8" x14ac:dyDescent="0.3">
      <c r="A41" s="43"/>
      <c r="B41" s="44"/>
      <c r="C41" s="44"/>
      <c r="D41" s="44"/>
      <c r="E41" s="44"/>
      <c r="F41" s="44"/>
      <c r="G41" s="45"/>
    </row>
    <row r="42" spans="1:7" s="3" customFormat="1" ht="16.8" x14ac:dyDescent="0.3">
      <c r="A42" s="43"/>
      <c r="B42" s="44"/>
      <c r="C42" s="44"/>
      <c r="D42" s="44"/>
      <c r="E42" s="44"/>
      <c r="F42" s="44"/>
      <c r="G42" s="45"/>
    </row>
    <row r="43" spans="1:7" s="3" customFormat="1" ht="16.8" x14ac:dyDescent="0.3">
      <c r="A43" s="43"/>
      <c r="B43" s="44"/>
      <c r="C43" s="44"/>
      <c r="D43" s="44"/>
      <c r="E43" s="44"/>
      <c r="F43" s="44"/>
      <c r="G43" s="45"/>
    </row>
    <row r="44" spans="1:7" s="3" customFormat="1" ht="16.8" x14ac:dyDescent="0.3">
      <c r="A44" s="43"/>
      <c r="B44" s="44"/>
      <c r="C44" s="44"/>
      <c r="D44" s="44"/>
      <c r="E44" s="44"/>
      <c r="F44" s="44"/>
      <c r="G44" s="45"/>
    </row>
    <row r="45" spans="1:7" s="3" customFormat="1" ht="16.8" x14ac:dyDescent="0.3">
      <c r="A45" s="43"/>
      <c r="B45" s="44"/>
      <c r="C45" s="44"/>
      <c r="D45" s="44"/>
      <c r="E45" s="44"/>
      <c r="F45" s="44"/>
      <c r="G45" s="45"/>
    </row>
    <row r="46" spans="1:7" s="3" customFormat="1" ht="16.8" x14ac:dyDescent="0.3">
      <c r="A46" s="43"/>
      <c r="B46" s="44"/>
      <c r="C46" s="44"/>
      <c r="D46" s="44"/>
      <c r="E46" s="44"/>
      <c r="F46" s="44"/>
      <c r="G46" s="45"/>
    </row>
    <row r="47" spans="1:7" s="3" customFormat="1" ht="16.8" x14ac:dyDescent="0.3">
      <c r="A47" s="43"/>
      <c r="B47" s="44"/>
      <c r="C47" s="44"/>
      <c r="D47" s="44"/>
      <c r="E47" s="44"/>
      <c r="F47" s="44"/>
      <c r="G47" s="45"/>
    </row>
    <row r="48" spans="1:7" s="3" customFormat="1" ht="16.8" x14ac:dyDescent="0.3">
      <c r="A48" s="43"/>
      <c r="B48" s="44"/>
      <c r="C48" s="44"/>
      <c r="D48" s="44"/>
      <c r="E48" s="44"/>
      <c r="F48" s="44"/>
      <c r="G48" s="45"/>
    </row>
    <row r="49" spans="1:7" s="3" customFormat="1" ht="16.8" x14ac:dyDescent="0.3">
      <c r="A49" s="43"/>
      <c r="B49" s="44"/>
      <c r="C49" s="44"/>
      <c r="D49" s="44"/>
      <c r="E49" s="44"/>
      <c r="F49" s="44"/>
      <c r="G49" s="45"/>
    </row>
    <row r="50" spans="1:7" s="3" customFormat="1" ht="16.8" x14ac:dyDescent="0.3">
      <c r="A50" s="43"/>
      <c r="B50" s="44"/>
      <c r="C50" s="44"/>
      <c r="D50" s="44"/>
      <c r="E50" s="44"/>
      <c r="F50" s="44"/>
      <c r="G50" s="45"/>
    </row>
    <row r="51" spans="1:7" s="3" customFormat="1" ht="16.8" x14ac:dyDescent="0.3">
      <c r="A51" s="43"/>
      <c r="B51" s="44"/>
      <c r="C51" s="44"/>
      <c r="D51" s="44"/>
      <c r="E51" s="44"/>
      <c r="F51" s="44"/>
      <c r="G51" s="45"/>
    </row>
    <row r="52" spans="1:7" s="3" customFormat="1" ht="16.8" x14ac:dyDescent="0.3">
      <c r="A52" s="43"/>
      <c r="B52" s="44"/>
      <c r="C52" s="44"/>
      <c r="D52" s="44"/>
      <c r="E52" s="44"/>
      <c r="F52" s="44"/>
      <c r="G52" s="45"/>
    </row>
    <row r="53" spans="1:7" s="3" customFormat="1" ht="16.8" x14ac:dyDescent="0.3">
      <c r="A53" s="43"/>
      <c r="B53" s="44"/>
      <c r="C53" s="44"/>
      <c r="D53" s="44"/>
      <c r="E53" s="44"/>
      <c r="F53" s="44"/>
      <c r="G53" s="45"/>
    </row>
    <row r="54" spans="1:7" s="3" customFormat="1" ht="16.8" x14ac:dyDescent="0.3">
      <c r="A54" s="43"/>
      <c r="B54" s="44"/>
      <c r="C54" s="44"/>
      <c r="D54" s="44"/>
      <c r="E54" s="44"/>
      <c r="F54" s="44"/>
      <c r="G54" s="45"/>
    </row>
    <row r="55" spans="1:7" s="3" customFormat="1" ht="16.8" x14ac:dyDescent="0.3">
      <c r="A55" s="43"/>
      <c r="B55" s="44"/>
      <c r="C55" s="44"/>
      <c r="D55" s="44"/>
      <c r="E55" s="44"/>
      <c r="F55" s="44"/>
      <c r="G55" s="45"/>
    </row>
    <row r="56" spans="1:7" s="3" customFormat="1" ht="16.8" x14ac:dyDescent="0.3">
      <c r="A56" s="43"/>
      <c r="B56" s="44"/>
      <c r="C56" s="44"/>
      <c r="D56" s="44"/>
      <c r="E56" s="44"/>
      <c r="F56" s="44"/>
      <c r="G56" s="45"/>
    </row>
    <row r="57" spans="1:7" s="3" customFormat="1" ht="16.8" x14ac:dyDescent="0.3">
      <c r="A57" s="43"/>
      <c r="B57" s="44"/>
      <c r="C57" s="44"/>
      <c r="D57" s="44"/>
      <c r="E57" s="44"/>
      <c r="F57" s="44"/>
      <c r="G57" s="45"/>
    </row>
    <row r="58" spans="1:7" s="3" customFormat="1" ht="16.8" x14ac:dyDescent="0.3">
      <c r="A58" s="43"/>
      <c r="B58" s="44"/>
      <c r="C58" s="44"/>
      <c r="D58" s="44"/>
      <c r="E58" s="44"/>
      <c r="F58" s="44"/>
      <c r="G58" s="45"/>
    </row>
    <row r="59" spans="1:7" s="3" customFormat="1" ht="16.8" x14ac:dyDescent="0.3">
      <c r="A59" s="43"/>
      <c r="B59" s="44"/>
      <c r="C59" s="44"/>
      <c r="D59" s="44"/>
      <c r="E59" s="44"/>
      <c r="F59" s="44"/>
      <c r="G59" s="45"/>
    </row>
    <row r="60" spans="1:7" s="3" customFormat="1" ht="16.8" x14ac:dyDescent="0.3">
      <c r="A60" s="43"/>
      <c r="B60" s="44"/>
      <c r="C60" s="44"/>
      <c r="D60" s="44"/>
      <c r="E60" s="44"/>
      <c r="F60" s="44"/>
      <c r="G60" s="45"/>
    </row>
    <row r="61" spans="1:7" s="3" customFormat="1" ht="16.8" x14ac:dyDescent="0.3">
      <c r="A61" s="43"/>
      <c r="B61" s="44"/>
      <c r="C61" s="44"/>
      <c r="D61" s="44"/>
      <c r="E61" s="44"/>
      <c r="F61" s="44"/>
      <c r="G61" s="45"/>
    </row>
    <row r="62" spans="1:7" s="3" customFormat="1" ht="16.8" x14ac:dyDescent="0.3">
      <c r="A62" s="43"/>
      <c r="B62" s="44"/>
      <c r="C62" s="44"/>
      <c r="D62" s="44"/>
      <c r="E62" s="44"/>
      <c r="F62" s="44"/>
      <c r="G62" s="45"/>
    </row>
    <row r="63" spans="1:7" s="3" customFormat="1" ht="16.8" x14ac:dyDescent="0.3">
      <c r="A63" s="43"/>
      <c r="B63" s="44"/>
      <c r="C63" s="44"/>
      <c r="D63" s="44"/>
      <c r="E63" s="44"/>
      <c r="F63" s="44"/>
      <c r="G63" s="45"/>
    </row>
    <row r="64" spans="1:7" ht="17.399999999999999" thickBot="1" x14ac:dyDescent="0.35">
      <c r="A64" s="46"/>
      <c r="B64" s="47"/>
      <c r="C64" s="47"/>
      <c r="D64" s="47"/>
      <c r="E64" s="47"/>
      <c r="F64" s="47"/>
      <c r="G64" s="48"/>
    </row>
    <row r="65" ht="16.2" thickTop="1" x14ac:dyDescent="0.3"/>
  </sheetData>
  <phoneticPr fontId="0" type="noConversion"/>
  <conditionalFormatting sqref="E12">
    <cfRule type="cellIs" dxfId="2" priority="1" operator="greaterThan">
      <formula>60</formula>
    </cfRule>
    <cfRule type="cellIs" dxfId="1" priority="2" operator="between">
      <formula>30</formula>
      <formula>60</formula>
    </cfRule>
  </conditionalFormatting>
  <hyperlinks>
    <hyperlink ref="G1" r:id="rId1" display="Played by Ernest Hakey"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49" bestFit="1" customWidth="1"/>
    <col min="2" max="2" width="5.8984375" style="49" bestFit="1" customWidth="1"/>
    <col min="3" max="3" width="11.59765625" style="50" hidden="1" customWidth="1"/>
    <col min="4" max="4" width="5.796875" style="50" hidden="1" customWidth="1"/>
    <col min="5" max="5" width="9.19921875" style="50" bestFit="1" customWidth="1"/>
    <col min="6" max="6" width="7.5" style="50" customWidth="1"/>
    <col min="7" max="7" width="5.8984375" style="58" bestFit="1" customWidth="1"/>
    <col min="8" max="8" width="4.69921875" style="58" bestFit="1" customWidth="1"/>
    <col min="9" max="9" width="6.8984375" style="58" bestFit="1" customWidth="1"/>
    <col min="10" max="10" width="21.59765625" style="49" bestFit="1" customWidth="1"/>
    <col min="11" max="16384" width="13" style="10"/>
  </cols>
  <sheetData>
    <row r="1" spans="1:10" ht="23.4" thickBot="1" x14ac:dyDescent="0.35">
      <c r="A1" s="174" t="s">
        <v>7</v>
      </c>
      <c r="B1" s="51"/>
      <c r="C1" s="51"/>
      <c r="D1" s="51"/>
      <c r="E1" s="51"/>
      <c r="F1" s="51"/>
      <c r="G1" s="52"/>
      <c r="H1" s="52"/>
      <c r="I1" s="52"/>
      <c r="J1" s="51"/>
    </row>
    <row r="2" spans="1:10" s="3" customFormat="1" ht="34.200000000000003" thickBot="1" x14ac:dyDescent="0.35">
      <c r="A2" s="175" t="s">
        <v>88</v>
      </c>
      <c r="B2" s="176" t="s">
        <v>23</v>
      </c>
      <c r="C2" s="176" t="s">
        <v>25</v>
      </c>
      <c r="D2" s="176" t="s">
        <v>22</v>
      </c>
      <c r="E2" s="2" t="s">
        <v>50</v>
      </c>
      <c r="F2" s="2" t="s">
        <v>26</v>
      </c>
      <c r="G2" s="177" t="s">
        <v>52</v>
      </c>
      <c r="H2" s="178" t="s">
        <v>87</v>
      </c>
      <c r="I2" s="177" t="s">
        <v>68</v>
      </c>
      <c r="J2" s="179" t="s">
        <v>66</v>
      </c>
    </row>
    <row r="3" spans="1:10" s="3" customFormat="1" ht="16.8" x14ac:dyDescent="0.3">
      <c r="A3" s="180" t="s">
        <v>55</v>
      </c>
      <c r="B3" s="181">
        <f>1+3+3</f>
        <v>7</v>
      </c>
      <c r="C3" s="182" t="s">
        <v>107</v>
      </c>
      <c r="D3" s="183" t="str">
        <f>VLOOKUP(C3,'Personal File'!$A$11:$C$16,3,FALSE)</f>
        <v>+1</v>
      </c>
      <c r="E3" s="184" t="str">
        <f t="shared" ref="E3:E46" si="0">CONCATENATE(LEFT(C3,3)," (",D3,")")</f>
        <v>Con (+1)</v>
      </c>
      <c r="F3" s="185">
        <v>-1</v>
      </c>
      <c r="G3" s="185">
        <f t="shared" ref="G3:G46" si="1">B3+D3+F3</f>
        <v>7</v>
      </c>
      <c r="H3" s="186">
        <f t="shared" ref="H3:H5" ca="1" si="2">RANDBETWEEN(1,20)</f>
        <v>16</v>
      </c>
      <c r="I3" s="185">
        <f ca="1">SUM(G3:H3)</f>
        <v>23</v>
      </c>
      <c r="J3" s="187"/>
    </row>
    <row r="4" spans="1:10" s="3" customFormat="1" ht="16.8" x14ac:dyDescent="0.3">
      <c r="A4" s="188" t="s">
        <v>56</v>
      </c>
      <c r="B4" s="181">
        <f>4+3+0</f>
        <v>7</v>
      </c>
      <c r="C4" s="189" t="s">
        <v>111</v>
      </c>
      <c r="D4" s="183" t="str">
        <f>VLOOKUP(C4,'Personal File'!$A$11:$C$16,3,FALSE)</f>
        <v>+4</v>
      </c>
      <c r="E4" s="190" t="str">
        <f t="shared" si="0"/>
        <v>Dex (+4)</v>
      </c>
      <c r="F4" s="185">
        <v>0</v>
      </c>
      <c r="G4" s="185">
        <f t="shared" si="1"/>
        <v>11</v>
      </c>
      <c r="H4" s="186">
        <f t="shared" ca="1" si="2"/>
        <v>9</v>
      </c>
      <c r="I4" s="185">
        <f ca="1">SUM(G4:H4)</f>
        <v>20</v>
      </c>
      <c r="J4" s="187" t="s">
        <v>207</v>
      </c>
    </row>
    <row r="5" spans="1:10" s="3" customFormat="1" ht="16.8" x14ac:dyDescent="0.3">
      <c r="A5" s="191" t="s">
        <v>57</v>
      </c>
      <c r="B5" s="192">
        <f>1+0+0</f>
        <v>1</v>
      </c>
      <c r="C5" s="193" t="s">
        <v>110</v>
      </c>
      <c r="D5" s="193" t="str">
        <f>VLOOKUP(C5,'Personal File'!$A$11:$C$16,3,FALSE)</f>
        <v>+2</v>
      </c>
      <c r="E5" s="194" t="str">
        <f t="shared" si="0"/>
        <v>Wis (+2)</v>
      </c>
      <c r="F5" s="195">
        <v>1</v>
      </c>
      <c r="G5" s="195">
        <f t="shared" si="1"/>
        <v>4</v>
      </c>
      <c r="H5" s="196">
        <f t="shared" ca="1" si="2"/>
        <v>11</v>
      </c>
      <c r="I5" s="195">
        <f ca="1">SUM(G5:H5)</f>
        <v>15</v>
      </c>
      <c r="J5" s="197" t="s">
        <v>238</v>
      </c>
    </row>
    <row r="6" spans="1:10" s="53" customFormat="1" ht="16.8" x14ac:dyDescent="0.3">
      <c r="A6" s="198" t="s">
        <v>27</v>
      </c>
      <c r="B6" s="199">
        <v>0</v>
      </c>
      <c r="C6" s="200" t="s">
        <v>109</v>
      </c>
      <c r="D6" s="201" t="str">
        <f>VLOOKUP(C6,'Personal File'!$A$11:$C$16,3,FALSE)</f>
        <v>+2</v>
      </c>
      <c r="E6" s="202" t="str">
        <f t="shared" si="0"/>
        <v>Int (+2)</v>
      </c>
      <c r="F6" s="203" t="s">
        <v>51</v>
      </c>
      <c r="G6" s="204">
        <f t="shared" si="1"/>
        <v>2</v>
      </c>
      <c r="H6" s="186">
        <f ca="1">RANDBETWEEN(1,20)</f>
        <v>10</v>
      </c>
      <c r="I6" s="204">
        <f t="shared" ref="I6:I46" ca="1" si="3">SUM(G6:H6)</f>
        <v>12</v>
      </c>
      <c r="J6" s="187"/>
    </row>
    <row r="7" spans="1:10" s="54" customFormat="1" ht="16.8" x14ac:dyDescent="0.3">
      <c r="A7" s="300" t="s">
        <v>28</v>
      </c>
      <c r="B7" s="207">
        <v>5</v>
      </c>
      <c r="C7" s="301" t="s">
        <v>111</v>
      </c>
      <c r="D7" s="302" t="str">
        <f>VLOOKUP(C7,'Personal File'!$A$11:$C$16,3,FALSE)</f>
        <v>+4</v>
      </c>
      <c r="E7" s="303" t="str">
        <f t="shared" si="0"/>
        <v>Dex (+4)</v>
      </c>
      <c r="F7" s="322">
        <f>SUM(Martial!$D$24:$D$29)+2</f>
        <v>2</v>
      </c>
      <c r="G7" s="208">
        <f t="shared" si="1"/>
        <v>11</v>
      </c>
      <c r="H7" s="186">
        <f t="shared" ref="H7:H46" ca="1" si="4">RANDBETWEEN(1,20)</f>
        <v>10</v>
      </c>
      <c r="I7" s="208">
        <f t="shared" ca="1" si="3"/>
        <v>21</v>
      </c>
      <c r="J7" s="209"/>
    </row>
    <row r="8" spans="1:10" s="55" customFormat="1" ht="16.8" x14ac:dyDescent="0.3">
      <c r="A8" s="224" t="s">
        <v>29</v>
      </c>
      <c r="B8" s="199">
        <v>0</v>
      </c>
      <c r="C8" s="225" t="s">
        <v>108</v>
      </c>
      <c r="D8" s="226">
        <f>VLOOKUP(C8,'Personal File'!$A$11:$C$16,3,FALSE)</f>
        <v>-1</v>
      </c>
      <c r="E8" s="227" t="str">
        <f t="shared" si="0"/>
        <v>Cha (-1)</v>
      </c>
      <c r="F8" s="204" t="s">
        <v>51</v>
      </c>
      <c r="G8" s="204">
        <f t="shared" si="1"/>
        <v>-1</v>
      </c>
      <c r="H8" s="186">
        <f t="shared" ca="1" si="4"/>
        <v>11</v>
      </c>
      <c r="I8" s="204">
        <f t="shared" ca="1" si="3"/>
        <v>10</v>
      </c>
      <c r="J8" s="187" t="s">
        <v>258</v>
      </c>
    </row>
    <row r="9" spans="1:10" s="56" customFormat="1" ht="16.8" x14ac:dyDescent="0.3">
      <c r="A9" s="280" t="s">
        <v>30</v>
      </c>
      <c r="B9" s="207">
        <v>11</v>
      </c>
      <c r="C9" s="281" t="s">
        <v>112</v>
      </c>
      <c r="D9" s="282">
        <f>VLOOKUP(C9,'Personal File'!$A$11:$C$16,3,FALSE)</f>
        <v>-1</v>
      </c>
      <c r="E9" s="283" t="str">
        <f t="shared" si="0"/>
        <v>Str (-1)</v>
      </c>
      <c r="F9" s="322">
        <f>SUM(Martial!$D$24:$D$29)+2</f>
        <v>2</v>
      </c>
      <c r="G9" s="208">
        <f t="shared" si="1"/>
        <v>12</v>
      </c>
      <c r="H9" s="186">
        <f t="shared" ca="1" si="4"/>
        <v>16</v>
      </c>
      <c r="I9" s="208">
        <f t="shared" ca="1" si="3"/>
        <v>28</v>
      </c>
      <c r="J9" s="209"/>
    </row>
    <row r="10" spans="1:10" s="56" customFormat="1" ht="16.8" x14ac:dyDescent="0.3">
      <c r="A10" s="503" t="s">
        <v>8</v>
      </c>
      <c r="B10" s="199">
        <v>0</v>
      </c>
      <c r="C10" s="504" t="s">
        <v>107</v>
      </c>
      <c r="D10" s="505" t="str">
        <f>VLOOKUP(C10,'Personal File'!$A$11:$C$16,3,FALSE)</f>
        <v>+1</v>
      </c>
      <c r="E10" s="506" t="str">
        <f t="shared" si="0"/>
        <v>Con (+1)</v>
      </c>
      <c r="F10" s="204" t="s">
        <v>51</v>
      </c>
      <c r="G10" s="204">
        <f t="shared" si="1"/>
        <v>1</v>
      </c>
      <c r="H10" s="186">
        <f t="shared" ca="1" si="4"/>
        <v>3</v>
      </c>
      <c r="I10" s="204">
        <f t="shared" ca="1" si="3"/>
        <v>4</v>
      </c>
      <c r="J10" s="187"/>
    </row>
    <row r="11" spans="1:10" s="53" customFormat="1" ht="16.8" x14ac:dyDescent="0.3">
      <c r="A11" s="482" t="s">
        <v>255</v>
      </c>
      <c r="B11" s="483">
        <v>0</v>
      </c>
      <c r="C11" s="484" t="s">
        <v>109</v>
      </c>
      <c r="D11" s="485" t="str">
        <f>VLOOKUP(C11,'Personal File'!$A$11:$C$16,3,FALSE)</f>
        <v>+2</v>
      </c>
      <c r="E11" s="486" t="str">
        <f t="shared" si="0"/>
        <v>Int (+2)</v>
      </c>
      <c r="F11" s="487" t="s">
        <v>51</v>
      </c>
      <c r="G11" s="487">
        <f t="shared" si="1"/>
        <v>2</v>
      </c>
      <c r="H11" s="186">
        <f t="shared" ca="1" si="4"/>
        <v>19</v>
      </c>
      <c r="I11" s="487">
        <f t="shared" ca="1" si="3"/>
        <v>21</v>
      </c>
      <c r="J11" s="488"/>
    </row>
    <row r="12" spans="1:10" s="57" customFormat="1" ht="16.8" x14ac:dyDescent="0.3">
      <c r="A12" s="217" t="s">
        <v>31</v>
      </c>
      <c r="B12" s="218">
        <v>0</v>
      </c>
      <c r="C12" s="219" t="s">
        <v>109</v>
      </c>
      <c r="D12" s="220" t="str">
        <f>VLOOKUP(C12,'Personal File'!$A$11:$C$16,3,FALSE)</f>
        <v>+2</v>
      </c>
      <c r="E12" s="221" t="str">
        <f t="shared" si="0"/>
        <v>Int (+2)</v>
      </c>
      <c r="F12" s="222" t="s">
        <v>51</v>
      </c>
      <c r="G12" s="222">
        <f t="shared" si="1"/>
        <v>2</v>
      </c>
      <c r="H12" s="186">
        <f t="shared" ca="1" si="4"/>
        <v>15</v>
      </c>
      <c r="I12" s="222">
        <f t="shared" ref="I12" ca="1" si="5">SUM(G12:H12)</f>
        <v>17</v>
      </c>
      <c r="J12" s="223"/>
    </row>
    <row r="13" spans="1:10" s="54" customFormat="1" ht="16.8" x14ac:dyDescent="0.3">
      <c r="A13" s="224" t="s">
        <v>32</v>
      </c>
      <c r="B13" s="199">
        <v>0</v>
      </c>
      <c r="C13" s="225" t="s">
        <v>108</v>
      </c>
      <c r="D13" s="226">
        <f>VLOOKUP(C13,'Personal File'!$A$11:$C$16,3,FALSE)</f>
        <v>-1</v>
      </c>
      <c r="E13" s="227" t="str">
        <f t="shared" si="0"/>
        <v>Cha (-1)</v>
      </c>
      <c r="F13" s="204" t="s">
        <v>51</v>
      </c>
      <c r="G13" s="204">
        <f t="shared" si="1"/>
        <v>-1</v>
      </c>
      <c r="H13" s="186">
        <f t="shared" ca="1" si="4"/>
        <v>20</v>
      </c>
      <c r="I13" s="204">
        <f t="shared" ca="1" si="3"/>
        <v>19</v>
      </c>
      <c r="J13" s="187"/>
    </row>
    <row r="14" spans="1:10" s="54" customFormat="1" ht="16.8" x14ac:dyDescent="0.3">
      <c r="A14" s="217" t="s">
        <v>33</v>
      </c>
      <c r="B14" s="218">
        <v>0</v>
      </c>
      <c r="C14" s="219" t="s">
        <v>109</v>
      </c>
      <c r="D14" s="220" t="str">
        <f>VLOOKUP(C14,'Personal File'!$A$11:$C$16,3,FALSE)</f>
        <v>+2</v>
      </c>
      <c r="E14" s="221" t="str">
        <f t="shared" si="0"/>
        <v>Int (+2)</v>
      </c>
      <c r="F14" s="222" t="s">
        <v>51</v>
      </c>
      <c r="G14" s="222">
        <f t="shared" si="1"/>
        <v>2</v>
      </c>
      <c r="H14" s="186">
        <f t="shared" ca="1" si="4"/>
        <v>9</v>
      </c>
      <c r="I14" s="222">
        <f t="shared" ref="I14" ca="1" si="6">SUM(G14:H14)</f>
        <v>11</v>
      </c>
      <c r="J14" s="223"/>
    </row>
    <row r="15" spans="1:10" s="54" customFormat="1" ht="16.8" x14ac:dyDescent="0.3">
      <c r="A15" s="224" t="s">
        <v>34</v>
      </c>
      <c r="B15" s="199">
        <v>0</v>
      </c>
      <c r="C15" s="225" t="s">
        <v>108</v>
      </c>
      <c r="D15" s="226">
        <f>VLOOKUP(C15,'Personal File'!$A$11:$C$16,3,FALSE)</f>
        <v>-1</v>
      </c>
      <c r="E15" s="227" t="str">
        <f t="shared" si="0"/>
        <v>Cha (-1)</v>
      </c>
      <c r="F15" s="204" t="s">
        <v>51</v>
      </c>
      <c r="G15" s="204">
        <f t="shared" si="1"/>
        <v>-1</v>
      </c>
      <c r="H15" s="186">
        <f t="shared" ca="1" si="4"/>
        <v>18</v>
      </c>
      <c r="I15" s="204">
        <f t="shared" ca="1" si="3"/>
        <v>17</v>
      </c>
      <c r="J15" s="187"/>
    </row>
    <row r="16" spans="1:10" s="54" customFormat="1" ht="16.8" x14ac:dyDescent="0.3">
      <c r="A16" s="300" t="s">
        <v>35</v>
      </c>
      <c r="B16" s="207">
        <v>5</v>
      </c>
      <c r="C16" s="301" t="s">
        <v>111</v>
      </c>
      <c r="D16" s="302" t="str">
        <f>VLOOKUP(C16,'Personal File'!$A$11:$C$16,3,FALSE)</f>
        <v>+4</v>
      </c>
      <c r="E16" s="303" t="str">
        <f t="shared" si="0"/>
        <v>Dex (+4)</v>
      </c>
      <c r="F16" s="322">
        <f>SUM(Martial!$D$24:$D$29)+2</f>
        <v>2</v>
      </c>
      <c r="G16" s="208">
        <f t="shared" si="1"/>
        <v>11</v>
      </c>
      <c r="H16" s="186">
        <f t="shared" ca="1" si="4"/>
        <v>20</v>
      </c>
      <c r="I16" s="208">
        <f t="shared" ca="1" si="3"/>
        <v>31</v>
      </c>
      <c r="J16" s="209"/>
    </row>
    <row r="17" spans="1:10" s="54" customFormat="1" ht="16.8" x14ac:dyDescent="0.3">
      <c r="A17" s="228" t="s">
        <v>36</v>
      </c>
      <c r="B17" s="229">
        <v>0</v>
      </c>
      <c r="C17" s="230" t="s">
        <v>109</v>
      </c>
      <c r="D17" s="231" t="str">
        <f>VLOOKUP(C17,'Personal File'!$A$11:$C$16,3,FALSE)</f>
        <v>+2</v>
      </c>
      <c r="E17" s="232" t="str">
        <f t="shared" si="0"/>
        <v>Int (+2)</v>
      </c>
      <c r="F17" s="233" t="s">
        <v>51</v>
      </c>
      <c r="G17" s="233">
        <f t="shared" si="1"/>
        <v>2</v>
      </c>
      <c r="H17" s="186">
        <f t="shared" ca="1" si="4"/>
        <v>16</v>
      </c>
      <c r="I17" s="233">
        <f t="shared" ca="1" si="3"/>
        <v>18</v>
      </c>
      <c r="J17" s="234"/>
    </row>
    <row r="18" spans="1:10" s="54" customFormat="1" ht="16.8" x14ac:dyDescent="0.3">
      <c r="A18" s="224" t="s">
        <v>37</v>
      </c>
      <c r="B18" s="199">
        <v>0</v>
      </c>
      <c r="C18" s="225" t="s">
        <v>108</v>
      </c>
      <c r="D18" s="226">
        <f>VLOOKUP(C18,'Personal File'!$A$11:$C$16,3,FALSE)</f>
        <v>-1</v>
      </c>
      <c r="E18" s="227" t="str">
        <f t="shared" si="0"/>
        <v>Cha (-1)</v>
      </c>
      <c r="F18" s="204" t="s">
        <v>51</v>
      </c>
      <c r="G18" s="204">
        <f t="shared" si="1"/>
        <v>-1</v>
      </c>
      <c r="H18" s="186">
        <f t="shared" ca="1" si="4"/>
        <v>14</v>
      </c>
      <c r="I18" s="204">
        <f t="shared" ca="1" si="3"/>
        <v>13</v>
      </c>
      <c r="J18" s="187"/>
    </row>
    <row r="19" spans="1:10" s="54" customFormat="1" ht="16.8" x14ac:dyDescent="0.3">
      <c r="A19" s="224" t="s">
        <v>10</v>
      </c>
      <c r="B19" s="199">
        <v>0</v>
      </c>
      <c r="C19" s="225" t="s">
        <v>108</v>
      </c>
      <c r="D19" s="226">
        <f>VLOOKUP(C19,'Personal File'!$A$11:$C$16,3,FALSE)</f>
        <v>-1</v>
      </c>
      <c r="E19" s="227" t="str">
        <f t="shared" si="0"/>
        <v>Cha (-1)</v>
      </c>
      <c r="F19" s="204" t="s">
        <v>51</v>
      </c>
      <c r="G19" s="204">
        <f t="shared" si="1"/>
        <v>-1</v>
      </c>
      <c r="H19" s="186">
        <f t="shared" ca="1" si="4"/>
        <v>8</v>
      </c>
      <c r="I19" s="204">
        <f t="shared" ca="1" si="3"/>
        <v>7</v>
      </c>
      <c r="J19" s="187"/>
    </row>
    <row r="20" spans="1:10" s="54" customFormat="1" ht="16.8" x14ac:dyDescent="0.3">
      <c r="A20" s="253" t="s">
        <v>38</v>
      </c>
      <c r="B20" s="207">
        <v>6</v>
      </c>
      <c r="C20" s="246" t="s">
        <v>110</v>
      </c>
      <c r="D20" s="247" t="str">
        <f>VLOOKUP(C20,'Personal File'!$A$11:$C$16,3,FALSE)</f>
        <v>+2</v>
      </c>
      <c r="E20" s="248" t="str">
        <f t="shared" si="0"/>
        <v>Wis (+2)</v>
      </c>
      <c r="F20" s="208" t="s">
        <v>157</v>
      </c>
      <c r="G20" s="208">
        <f t="shared" si="1"/>
        <v>10</v>
      </c>
      <c r="H20" s="186">
        <f t="shared" ca="1" si="4"/>
        <v>8</v>
      </c>
      <c r="I20" s="208">
        <f t="shared" ca="1" si="3"/>
        <v>18</v>
      </c>
      <c r="J20" s="209"/>
    </row>
    <row r="21" spans="1:10" s="54" customFormat="1" ht="16.8" x14ac:dyDescent="0.3">
      <c r="A21" s="300" t="s">
        <v>39</v>
      </c>
      <c r="B21" s="207">
        <v>6</v>
      </c>
      <c r="C21" s="301" t="s">
        <v>111</v>
      </c>
      <c r="D21" s="302" t="str">
        <f>VLOOKUP(C21,'Personal File'!$A$11:$C$16,3,FALSE)</f>
        <v>+4</v>
      </c>
      <c r="E21" s="303" t="str">
        <f t="shared" si="0"/>
        <v>Dex (+4)</v>
      </c>
      <c r="F21" s="208">
        <f>SUM(Martial!$D$24:$D$29)</f>
        <v>0</v>
      </c>
      <c r="G21" s="208">
        <f t="shared" si="1"/>
        <v>10</v>
      </c>
      <c r="H21" s="186">
        <f t="shared" ca="1" si="4"/>
        <v>12</v>
      </c>
      <c r="I21" s="208">
        <f t="shared" ca="1" si="3"/>
        <v>22</v>
      </c>
      <c r="J21" s="209"/>
    </row>
    <row r="22" spans="1:10" s="54" customFormat="1" ht="16.8" x14ac:dyDescent="0.3">
      <c r="A22" s="224" t="s">
        <v>40</v>
      </c>
      <c r="B22" s="199">
        <v>0</v>
      </c>
      <c r="C22" s="225" t="s">
        <v>108</v>
      </c>
      <c r="D22" s="226">
        <f>VLOOKUP(C22,'Personal File'!$A$11:$C$16,3,FALSE)</f>
        <v>-1</v>
      </c>
      <c r="E22" s="227" t="str">
        <f t="shared" si="0"/>
        <v>Cha (-1)</v>
      </c>
      <c r="F22" s="204" t="s">
        <v>51</v>
      </c>
      <c r="G22" s="204">
        <f t="shared" si="1"/>
        <v>-1</v>
      </c>
      <c r="H22" s="186">
        <f t="shared" ca="1" si="4"/>
        <v>3</v>
      </c>
      <c r="I22" s="204">
        <f t="shared" ca="1" si="3"/>
        <v>2</v>
      </c>
      <c r="J22" s="187"/>
    </row>
    <row r="23" spans="1:10" s="54" customFormat="1" ht="16.8" x14ac:dyDescent="0.3">
      <c r="A23" s="280" t="s">
        <v>41</v>
      </c>
      <c r="B23" s="207">
        <v>5</v>
      </c>
      <c r="C23" s="205" t="s">
        <v>111</v>
      </c>
      <c r="D23" s="206" t="str">
        <f>VLOOKUP(C23,'Personal File'!$A$11:$C$16,3,FALSE)</f>
        <v>+4</v>
      </c>
      <c r="E23" s="460" t="str">
        <f t="shared" ref="E23" si="7">CONCATENATE(LEFT(C23,3)," (",D23,")")</f>
        <v>Dex (+4)</v>
      </c>
      <c r="F23" s="322">
        <f>SUM(Martial!$D$24:$D$29)+2+8</f>
        <v>10</v>
      </c>
      <c r="G23" s="208">
        <f t="shared" si="1"/>
        <v>19</v>
      </c>
      <c r="H23" s="186">
        <f t="shared" ca="1" si="4"/>
        <v>2</v>
      </c>
      <c r="I23" s="208">
        <f t="shared" ca="1" si="3"/>
        <v>21</v>
      </c>
      <c r="J23" s="209" t="s">
        <v>234</v>
      </c>
    </row>
    <row r="24" spans="1:10" s="54" customFormat="1" ht="16.8" x14ac:dyDescent="0.3">
      <c r="A24" s="235" t="s">
        <v>216</v>
      </c>
      <c r="B24" s="214">
        <v>1</v>
      </c>
      <c r="C24" s="236" t="s">
        <v>109</v>
      </c>
      <c r="D24" s="237" t="str">
        <f>VLOOKUP(C24,'Personal File'!$A$11:$C$16,3,FALSE)</f>
        <v>+2</v>
      </c>
      <c r="E24" s="238" t="str">
        <f t="shared" ref="E24" si="8">CONCATENATE(LEFT(C24,3)," (",D24,")")</f>
        <v>Int (+2)</v>
      </c>
      <c r="F24" s="208" t="s">
        <v>51</v>
      </c>
      <c r="G24" s="215">
        <f t="shared" ref="G24" si="9">B24+D24+F24</f>
        <v>3</v>
      </c>
      <c r="H24" s="186">
        <f t="shared" ca="1" si="4"/>
        <v>4</v>
      </c>
      <c r="I24" s="215">
        <f t="shared" ref="I24" ca="1" si="10">SUM(G24:H24)</f>
        <v>7</v>
      </c>
      <c r="J24" s="216"/>
    </row>
    <row r="25" spans="1:10" s="54" customFormat="1" ht="16.8" x14ac:dyDescent="0.3">
      <c r="A25" s="235" t="s">
        <v>217</v>
      </c>
      <c r="B25" s="214">
        <v>5</v>
      </c>
      <c r="C25" s="236" t="s">
        <v>109</v>
      </c>
      <c r="D25" s="237" t="str">
        <f>VLOOKUP(C25,'Personal File'!$A$11:$C$16,3,FALSE)</f>
        <v>+2</v>
      </c>
      <c r="E25" s="238" t="str">
        <f t="shared" ref="E25" si="11">CONCATENATE(LEFT(C25,3)," (",D25,")")</f>
        <v>Int (+2)</v>
      </c>
      <c r="F25" s="208" t="s">
        <v>51</v>
      </c>
      <c r="G25" s="215">
        <f t="shared" ref="G25" si="12">B25+D25+F25</f>
        <v>7</v>
      </c>
      <c r="H25" s="186">
        <f t="shared" ca="1" si="4"/>
        <v>16</v>
      </c>
      <c r="I25" s="215">
        <f t="shared" ref="I25" ca="1" si="13">SUM(G25:H25)</f>
        <v>23</v>
      </c>
      <c r="J25" s="216"/>
    </row>
    <row r="26" spans="1:10" s="54" customFormat="1" ht="16.8" x14ac:dyDescent="0.3">
      <c r="A26" s="235" t="s">
        <v>214</v>
      </c>
      <c r="B26" s="214">
        <v>5</v>
      </c>
      <c r="C26" s="236" t="s">
        <v>109</v>
      </c>
      <c r="D26" s="237" t="str">
        <f>VLOOKUP(C26,'Personal File'!$A$11:$C$16,3,FALSE)</f>
        <v>+2</v>
      </c>
      <c r="E26" s="238" t="str">
        <f t="shared" ref="E26" si="14">CONCATENATE(LEFT(C26,3)," (",D26,")")</f>
        <v>Int (+2)</v>
      </c>
      <c r="F26" s="208" t="s">
        <v>51</v>
      </c>
      <c r="G26" s="215">
        <f t="shared" ref="G26" si="15">B26+D26+F26</f>
        <v>7</v>
      </c>
      <c r="H26" s="186">
        <f t="shared" ca="1" si="4"/>
        <v>9</v>
      </c>
      <c r="I26" s="215">
        <f t="shared" ref="I26" ca="1" si="16">SUM(G26:H26)</f>
        <v>16</v>
      </c>
      <c r="J26" s="216"/>
    </row>
    <row r="27" spans="1:10" s="54" customFormat="1" ht="16.8" x14ac:dyDescent="0.3">
      <c r="A27" s="253" t="s">
        <v>42</v>
      </c>
      <c r="B27" s="207">
        <v>5</v>
      </c>
      <c r="C27" s="246" t="s">
        <v>110</v>
      </c>
      <c r="D27" s="247" t="str">
        <f>VLOOKUP(C27,'Personal File'!$A$11:$C$16,3,FALSE)</f>
        <v>+2</v>
      </c>
      <c r="E27" s="248" t="str">
        <f t="shared" si="0"/>
        <v>Wis (+2)</v>
      </c>
      <c r="F27" s="208" t="s">
        <v>51</v>
      </c>
      <c r="G27" s="208">
        <f t="shared" si="1"/>
        <v>7</v>
      </c>
      <c r="H27" s="186">
        <f t="shared" ca="1" si="4"/>
        <v>9</v>
      </c>
      <c r="I27" s="208">
        <f t="shared" ca="1" si="3"/>
        <v>16</v>
      </c>
      <c r="J27" s="209" t="s">
        <v>258</v>
      </c>
    </row>
    <row r="28" spans="1:10" s="54" customFormat="1" ht="16.8" x14ac:dyDescent="0.3">
      <c r="A28" s="300" t="s">
        <v>11</v>
      </c>
      <c r="B28" s="207">
        <v>6</v>
      </c>
      <c r="C28" s="301" t="s">
        <v>111</v>
      </c>
      <c r="D28" s="302" t="str">
        <f>VLOOKUP(C28,'Personal File'!$A$11:$C$16,3,FALSE)</f>
        <v>+4</v>
      </c>
      <c r="E28" s="303" t="str">
        <f t="shared" si="0"/>
        <v>Dex (+4)</v>
      </c>
      <c r="F28" s="208">
        <f>SUM(Martial!$D$24:$D$29)</f>
        <v>0</v>
      </c>
      <c r="G28" s="208">
        <f t="shared" si="1"/>
        <v>10</v>
      </c>
      <c r="H28" s="186">
        <f t="shared" ca="1" si="4"/>
        <v>15</v>
      </c>
      <c r="I28" s="208">
        <f t="shared" ca="1" si="3"/>
        <v>25</v>
      </c>
      <c r="J28" s="209"/>
    </row>
    <row r="29" spans="1:10" s="54" customFormat="1" ht="16.8" x14ac:dyDescent="0.3">
      <c r="A29" s="242" t="s">
        <v>43</v>
      </c>
      <c r="B29" s="218">
        <v>0</v>
      </c>
      <c r="C29" s="243" t="s">
        <v>111</v>
      </c>
      <c r="D29" s="244" t="str">
        <f>VLOOKUP(C29,'Personal File'!$A$11:$C$16,3,FALSE)</f>
        <v>+4</v>
      </c>
      <c r="E29" s="245" t="str">
        <f t="shared" si="0"/>
        <v>Dex (+4)</v>
      </c>
      <c r="F29" s="222" t="s">
        <v>51</v>
      </c>
      <c r="G29" s="222">
        <f t="shared" si="1"/>
        <v>4</v>
      </c>
      <c r="H29" s="186">
        <f t="shared" ca="1" si="4"/>
        <v>19</v>
      </c>
      <c r="I29" s="222">
        <f t="shared" ca="1" si="3"/>
        <v>23</v>
      </c>
      <c r="J29" s="223"/>
    </row>
    <row r="30" spans="1:10" ht="16.8" x14ac:dyDescent="0.3">
      <c r="A30" s="224" t="s">
        <v>90</v>
      </c>
      <c r="B30" s="199">
        <v>0</v>
      </c>
      <c r="C30" s="225" t="s">
        <v>108</v>
      </c>
      <c r="D30" s="226">
        <f>VLOOKUP(C30,'Personal File'!$A$11:$C$16,3,FALSE)</f>
        <v>-1</v>
      </c>
      <c r="E30" s="227" t="str">
        <f t="shared" si="0"/>
        <v>Cha (-1)</v>
      </c>
      <c r="F30" s="204" t="s">
        <v>51</v>
      </c>
      <c r="G30" s="204">
        <f t="shared" si="1"/>
        <v>-1</v>
      </c>
      <c r="H30" s="186">
        <f t="shared" ca="1" si="4"/>
        <v>4</v>
      </c>
      <c r="I30" s="204">
        <f t="shared" ca="1" si="3"/>
        <v>3</v>
      </c>
      <c r="J30" s="187"/>
    </row>
    <row r="31" spans="1:10" ht="16.8" x14ac:dyDescent="0.3">
      <c r="A31" s="224" t="s">
        <v>133</v>
      </c>
      <c r="B31" s="199">
        <v>0</v>
      </c>
      <c r="C31" s="239" t="s">
        <v>110</v>
      </c>
      <c r="D31" s="240" t="str">
        <f>VLOOKUP(C31,'Personal File'!$A$11:$C$16,3,FALSE)</f>
        <v>+2</v>
      </c>
      <c r="E31" s="241" t="str">
        <f t="shared" si="0"/>
        <v>Wis (+2)</v>
      </c>
      <c r="F31" s="204" t="s">
        <v>51</v>
      </c>
      <c r="G31" s="204">
        <f t="shared" si="1"/>
        <v>2</v>
      </c>
      <c r="H31" s="186">
        <f t="shared" ca="1" si="4"/>
        <v>6</v>
      </c>
      <c r="I31" s="204">
        <f t="shared" ref="I31" ca="1" si="17">SUM(G31:H31)</f>
        <v>8</v>
      </c>
      <c r="J31" s="187"/>
    </row>
    <row r="32" spans="1:10" ht="16.8" x14ac:dyDescent="0.3">
      <c r="A32" s="300" t="s">
        <v>12</v>
      </c>
      <c r="B32" s="207">
        <v>2</v>
      </c>
      <c r="C32" s="301" t="s">
        <v>111</v>
      </c>
      <c r="D32" s="302" t="str">
        <f>VLOOKUP(C32,'Personal File'!$A$11:$C$16,3,FALSE)</f>
        <v>+4</v>
      </c>
      <c r="E32" s="303" t="str">
        <f t="shared" si="0"/>
        <v>Dex (+4)</v>
      </c>
      <c r="F32" s="208" t="s">
        <v>51</v>
      </c>
      <c r="G32" s="208">
        <f t="shared" si="1"/>
        <v>6</v>
      </c>
      <c r="H32" s="186">
        <f t="shared" ca="1" si="4"/>
        <v>9</v>
      </c>
      <c r="I32" s="208">
        <f t="shared" ca="1" si="3"/>
        <v>15</v>
      </c>
      <c r="J32" s="209"/>
    </row>
    <row r="33" spans="1:10" ht="16.8" x14ac:dyDescent="0.3">
      <c r="A33" s="249" t="s">
        <v>13</v>
      </c>
      <c r="B33" s="207">
        <v>5</v>
      </c>
      <c r="C33" s="250" t="s">
        <v>109</v>
      </c>
      <c r="D33" s="251" t="str">
        <f>VLOOKUP(C33,'Personal File'!$A$11:$C$16,3,FALSE)</f>
        <v>+2</v>
      </c>
      <c r="E33" s="252" t="str">
        <f t="shared" si="0"/>
        <v>Int (+2)</v>
      </c>
      <c r="F33" s="208" t="s">
        <v>51</v>
      </c>
      <c r="G33" s="208">
        <f t="shared" si="1"/>
        <v>7</v>
      </c>
      <c r="H33" s="186">
        <f t="shared" ca="1" si="4"/>
        <v>16</v>
      </c>
      <c r="I33" s="208">
        <f t="shared" ca="1" si="3"/>
        <v>23</v>
      </c>
      <c r="J33" s="209"/>
    </row>
    <row r="34" spans="1:10" ht="16.8" x14ac:dyDescent="0.3">
      <c r="A34" s="253" t="s">
        <v>44</v>
      </c>
      <c r="B34" s="207">
        <v>5</v>
      </c>
      <c r="C34" s="246" t="s">
        <v>110</v>
      </c>
      <c r="D34" s="247" t="str">
        <f>VLOOKUP(C34,'Personal File'!$A$11:$C$16,3,FALSE)</f>
        <v>+2</v>
      </c>
      <c r="E34" s="248" t="str">
        <f t="shared" si="0"/>
        <v>Wis (+2)</v>
      </c>
      <c r="F34" s="208" t="s">
        <v>51</v>
      </c>
      <c r="G34" s="208">
        <f t="shared" si="1"/>
        <v>7</v>
      </c>
      <c r="H34" s="186">
        <f t="shared" ca="1" si="4"/>
        <v>20</v>
      </c>
      <c r="I34" s="208">
        <f t="shared" ca="1" si="3"/>
        <v>27</v>
      </c>
      <c r="J34" s="209" t="s">
        <v>258</v>
      </c>
    </row>
    <row r="35" spans="1:10" ht="16.8" x14ac:dyDescent="0.3">
      <c r="A35" s="242" t="s">
        <v>71</v>
      </c>
      <c r="B35" s="218">
        <v>0</v>
      </c>
      <c r="C35" s="243" t="s">
        <v>111</v>
      </c>
      <c r="D35" s="244" t="str">
        <f>VLOOKUP(C35,'Personal File'!$A$11:$C$16,3,FALSE)</f>
        <v>+4</v>
      </c>
      <c r="E35" s="245" t="str">
        <f t="shared" si="0"/>
        <v>Dex (+4)</v>
      </c>
      <c r="F35" s="222">
        <f>SUM(Martial!$D$24:$D$29)</f>
        <v>0</v>
      </c>
      <c r="G35" s="222">
        <f t="shared" si="1"/>
        <v>4</v>
      </c>
      <c r="H35" s="186">
        <f t="shared" ca="1" si="4"/>
        <v>16</v>
      </c>
      <c r="I35" s="222">
        <f t="shared" ref="I35:I36" ca="1" si="18">SUM(G35:H35)</f>
        <v>20</v>
      </c>
      <c r="J35" s="223"/>
    </row>
    <row r="36" spans="1:10" ht="16.8" x14ac:dyDescent="0.3">
      <c r="A36" s="249" t="s">
        <v>167</v>
      </c>
      <c r="B36" s="207">
        <v>1</v>
      </c>
      <c r="C36" s="250" t="s">
        <v>109</v>
      </c>
      <c r="D36" s="251" t="str">
        <f>VLOOKUP(C36,'Personal File'!$A$11:$C$16,3,FALSE)</f>
        <v>+2</v>
      </c>
      <c r="E36" s="252" t="str">
        <f t="shared" si="0"/>
        <v>Int (+2)</v>
      </c>
      <c r="F36" s="208" t="s">
        <v>51</v>
      </c>
      <c r="G36" s="304">
        <f t="shared" si="1"/>
        <v>3</v>
      </c>
      <c r="H36" s="186">
        <f t="shared" ca="1" si="4"/>
        <v>16</v>
      </c>
      <c r="I36" s="304">
        <f t="shared" ca="1" si="18"/>
        <v>19</v>
      </c>
      <c r="J36" s="209"/>
    </row>
    <row r="37" spans="1:10" ht="16.8" x14ac:dyDescent="0.3">
      <c r="A37" s="249" t="s">
        <v>230</v>
      </c>
      <c r="B37" s="207">
        <v>1</v>
      </c>
      <c r="C37" s="250" t="s">
        <v>109</v>
      </c>
      <c r="D37" s="251" t="str">
        <f>VLOOKUP(C37,'Personal File'!$A$11:$C$16,3,FALSE)</f>
        <v>+2</v>
      </c>
      <c r="E37" s="252" t="str">
        <f t="shared" ref="E37:E39" si="19">CONCATENATE(LEFT(C37,3)," (",D37,")")</f>
        <v>Int (+2)</v>
      </c>
      <c r="F37" s="208" t="s">
        <v>51</v>
      </c>
      <c r="G37" s="304">
        <f t="shared" ref="G37:G39" si="20">B37+D37+F37</f>
        <v>3</v>
      </c>
      <c r="H37" s="186">
        <f t="shared" ca="1" si="4"/>
        <v>7</v>
      </c>
      <c r="I37" s="304">
        <f t="shared" ref="I37:I39" ca="1" si="21">SUM(G37:H37)</f>
        <v>10</v>
      </c>
      <c r="J37" s="209"/>
    </row>
    <row r="38" spans="1:10" ht="16.8" x14ac:dyDescent="0.3">
      <c r="A38" s="249" t="s">
        <v>231</v>
      </c>
      <c r="B38" s="207">
        <v>1</v>
      </c>
      <c r="C38" s="250" t="s">
        <v>109</v>
      </c>
      <c r="D38" s="251" t="str">
        <f>VLOOKUP(C38,'Personal File'!$A$11:$C$16,3,FALSE)</f>
        <v>+2</v>
      </c>
      <c r="E38" s="252" t="str">
        <f t="shared" si="19"/>
        <v>Int (+2)</v>
      </c>
      <c r="F38" s="208" t="s">
        <v>51</v>
      </c>
      <c r="G38" s="304">
        <f t="shared" si="20"/>
        <v>3</v>
      </c>
      <c r="H38" s="186">
        <f t="shared" ca="1" si="4"/>
        <v>17</v>
      </c>
      <c r="I38" s="304">
        <f t="shared" ca="1" si="21"/>
        <v>20</v>
      </c>
      <c r="J38" s="209"/>
    </row>
    <row r="39" spans="1:10" ht="16.8" x14ac:dyDescent="0.3">
      <c r="A39" s="249" t="s">
        <v>232</v>
      </c>
      <c r="B39" s="207">
        <v>1</v>
      </c>
      <c r="C39" s="250" t="s">
        <v>109</v>
      </c>
      <c r="D39" s="251" t="str">
        <f>VLOOKUP(C39,'Personal File'!$A$11:$C$16,3,FALSE)</f>
        <v>+2</v>
      </c>
      <c r="E39" s="252" t="str">
        <f t="shared" si="19"/>
        <v>Int (+2)</v>
      </c>
      <c r="F39" s="208" t="s">
        <v>51</v>
      </c>
      <c r="G39" s="304">
        <f t="shared" si="20"/>
        <v>3</v>
      </c>
      <c r="H39" s="186">
        <f t="shared" ca="1" si="4"/>
        <v>13</v>
      </c>
      <c r="I39" s="304">
        <f t="shared" ca="1" si="21"/>
        <v>16</v>
      </c>
      <c r="J39" s="209"/>
    </row>
    <row r="40" spans="1:10" ht="16.8" x14ac:dyDescent="0.3">
      <c r="A40" s="198" t="s">
        <v>45</v>
      </c>
      <c r="B40" s="199">
        <v>0</v>
      </c>
      <c r="C40" s="200" t="s">
        <v>109</v>
      </c>
      <c r="D40" s="201" t="str">
        <f>VLOOKUP(C40,'Personal File'!$A$11:$C$16,3,FALSE)</f>
        <v>+2</v>
      </c>
      <c r="E40" s="202" t="str">
        <f t="shared" si="0"/>
        <v>Int (+2)</v>
      </c>
      <c r="F40" s="204" t="s">
        <v>51</v>
      </c>
      <c r="G40" s="204">
        <f t="shared" si="1"/>
        <v>2</v>
      </c>
      <c r="H40" s="186">
        <f t="shared" ca="1" si="4"/>
        <v>18</v>
      </c>
      <c r="I40" s="204">
        <f t="shared" ca="1" si="3"/>
        <v>20</v>
      </c>
      <c r="J40" s="187"/>
    </row>
    <row r="41" spans="1:10" ht="16.8" x14ac:dyDescent="0.3">
      <c r="A41" s="253" t="s">
        <v>46</v>
      </c>
      <c r="B41" s="207">
        <v>5</v>
      </c>
      <c r="C41" s="246" t="s">
        <v>110</v>
      </c>
      <c r="D41" s="247" t="str">
        <f>VLOOKUP(C41,'Personal File'!$A$11:$C$16,3,FALSE)</f>
        <v>+2</v>
      </c>
      <c r="E41" s="248" t="str">
        <f t="shared" si="0"/>
        <v>Wis (+2)</v>
      </c>
      <c r="F41" s="208" t="s">
        <v>51</v>
      </c>
      <c r="G41" s="208">
        <f t="shared" si="1"/>
        <v>7</v>
      </c>
      <c r="H41" s="186">
        <f t="shared" ca="1" si="4"/>
        <v>2</v>
      </c>
      <c r="I41" s="208">
        <f t="shared" ca="1" si="3"/>
        <v>9</v>
      </c>
      <c r="J41" s="209" t="s">
        <v>258</v>
      </c>
    </row>
    <row r="42" spans="1:10" ht="16.8" x14ac:dyDescent="0.3">
      <c r="A42" s="253" t="s">
        <v>72</v>
      </c>
      <c r="B42" s="207">
        <v>11</v>
      </c>
      <c r="C42" s="246" t="s">
        <v>110</v>
      </c>
      <c r="D42" s="247" t="str">
        <f>VLOOKUP(C42,'Personal File'!$A$11:$C$16,3,FALSE)</f>
        <v>+2</v>
      </c>
      <c r="E42" s="248" t="str">
        <f t="shared" si="0"/>
        <v>Wis (+2)</v>
      </c>
      <c r="F42" s="208" t="s">
        <v>51</v>
      </c>
      <c r="G42" s="208">
        <f t="shared" si="1"/>
        <v>13</v>
      </c>
      <c r="H42" s="186">
        <f t="shared" ca="1" si="4"/>
        <v>16</v>
      </c>
      <c r="I42" s="208">
        <f t="shared" ca="1" si="3"/>
        <v>29</v>
      </c>
      <c r="J42" s="209" t="s">
        <v>258</v>
      </c>
    </row>
    <row r="43" spans="1:10" ht="16.8" x14ac:dyDescent="0.3">
      <c r="A43" s="210" t="s">
        <v>14</v>
      </c>
      <c r="B43" s="199">
        <v>0</v>
      </c>
      <c r="C43" s="211" t="s">
        <v>112</v>
      </c>
      <c r="D43" s="212">
        <f>VLOOKUP(C43,'Personal File'!$A$11:$C$16,3,FALSE)</f>
        <v>-1</v>
      </c>
      <c r="E43" s="213" t="str">
        <f t="shared" si="0"/>
        <v>Str (-1)</v>
      </c>
      <c r="F43" s="204" t="s">
        <v>51</v>
      </c>
      <c r="G43" s="204">
        <f t="shared" si="1"/>
        <v>-1</v>
      </c>
      <c r="H43" s="186">
        <f t="shared" ca="1" si="4"/>
        <v>2</v>
      </c>
      <c r="I43" s="204">
        <f t="shared" ca="1" si="3"/>
        <v>1</v>
      </c>
      <c r="J43" s="187"/>
    </row>
    <row r="44" spans="1:10" ht="16.8" x14ac:dyDescent="0.3">
      <c r="A44" s="300" t="s">
        <v>47</v>
      </c>
      <c r="B44" s="207">
        <v>8</v>
      </c>
      <c r="C44" s="301" t="s">
        <v>111</v>
      </c>
      <c r="D44" s="302" t="str">
        <f>VLOOKUP(C44,'Personal File'!$A$11:$C$16,3,FALSE)</f>
        <v>+4</v>
      </c>
      <c r="E44" s="303" t="str">
        <f t="shared" si="0"/>
        <v>Dex (+4)</v>
      </c>
      <c r="F44" s="307">
        <f>SUM(Martial!$D$24:$D$29)+2</f>
        <v>2</v>
      </c>
      <c r="G44" s="304">
        <f t="shared" si="1"/>
        <v>14</v>
      </c>
      <c r="H44" s="186">
        <f t="shared" ca="1" si="4"/>
        <v>15</v>
      </c>
      <c r="I44" s="304">
        <f t="shared" ref="I44:I45" ca="1" si="22">SUM(G44:H44)</f>
        <v>29</v>
      </c>
      <c r="J44" s="209"/>
    </row>
    <row r="45" spans="1:10" ht="16.8" x14ac:dyDescent="0.3">
      <c r="A45" s="489" t="s">
        <v>48</v>
      </c>
      <c r="B45" s="490">
        <v>0</v>
      </c>
      <c r="C45" s="491" t="s">
        <v>108</v>
      </c>
      <c r="D45" s="492">
        <f>VLOOKUP(C45,'Personal File'!$A$11:$C$16,3,FALSE)</f>
        <v>-1</v>
      </c>
      <c r="E45" s="493" t="str">
        <f t="shared" si="0"/>
        <v>Cha (-1)</v>
      </c>
      <c r="F45" s="494" t="s">
        <v>51</v>
      </c>
      <c r="G45" s="494">
        <f t="shared" si="1"/>
        <v>-1</v>
      </c>
      <c r="H45" s="186">
        <f t="shared" ca="1" si="4"/>
        <v>1</v>
      </c>
      <c r="I45" s="494">
        <f t="shared" ca="1" si="22"/>
        <v>0</v>
      </c>
      <c r="J45" s="495"/>
    </row>
    <row r="46" spans="1:10" ht="17.399999999999999" thickBot="1" x14ac:dyDescent="0.35">
      <c r="A46" s="496" t="s">
        <v>49</v>
      </c>
      <c r="B46" s="497">
        <v>5</v>
      </c>
      <c r="C46" s="498" t="s">
        <v>111</v>
      </c>
      <c r="D46" s="499" t="str">
        <f>VLOOKUP(C46,'Personal File'!$A$11:$C$16,3,FALSE)</f>
        <v>+4</v>
      </c>
      <c r="E46" s="500" t="str">
        <f t="shared" si="0"/>
        <v>Dex (+4)</v>
      </c>
      <c r="F46" s="501">
        <f>SUM(Martial!$D$24:$D$29)+2</f>
        <v>2</v>
      </c>
      <c r="G46" s="501">
        <f t="shared" si="1"/>
        <v>11</v>
      </c>
      <c r="H46" s="254">
        <f t="shared" ca="1" si="4"/>
        <v>2</v>
      </c>
      <c r="I46" s="501">
        <f t="shared" ca="1" si="3"/>
        <v>13</v>
      </c>
      <c r="J46" s="502"/>
    </row>
    <row r="47" spans="1:10" ht="16.2" thickTop="1" x14ac:dyDescent="0.3">
      <c r="B47" s="169">
        <f>SUM(B6:B46)</f>
        <v>105</v>
      </c>
      <c r="E47" s="169">
        <f>SUM(E48:E56)</f>
        <v>105</v>
      </c>
      <c r="F47" s="255" t="s">
        <v>52</v>
      </c>
    </row>
    <row r="48" spans="1:10" x14ac:dyDescent="0.3">
      <c r="A48" s="169"/>
      <c r="B48" s="169"/>
      <c r="E48" s="167">
        <f>4*(8+'Personal File'!$C$14)</f>
        <v>40</v>
      </c>
      <c r="F48" s="168" t="s">
        <v>224</v>
      </c>
    </row>
    <row r="49" spans="2:6" x14ac:dyDescent="0.3">
      <c r="B49" s="169"/>
      <c r="E49" s="167">
        <f>8+'Personal File'!$C$14</f>
        <v>10</v>
      </c>
      <c r="F49" s="168" t="s">
        <v>224</v>
      </c>
    </row>
    <row r="50" spans="2:6" x14ac:dyDescent="0.3">
      <c r="B50" s="169"/>
      <c r="E50" s="167">
        <f>8+'Personal File'!$C$14</f>
        <v>10</v>
      </c>
      <c r="F50" s="168" t="s">
        <v>224</v>
      </c>
    </row>
    <row r="51" spans="2:6" x14ac:dyDescent="0.3">
      <c r="B51" s="169"/>
      <c r="E51" s="167">
        <f>8+'Personal File'!$C$14</f>
        <v>10</v>
      </c>
      <c r="F51" s="168" t="s">
        <v>224</v>
      </c>
    </row>
    <row r="52" spans="2:6" x14ac:dyDescent="0.3">
      <c r="B52" s="169"/>
      <c r="E52" s="167">
        <f>6+'Personal File'!$C$14</f>
        <v>8</v>
      </c>
      <c r="F52" s="168" t="s">
        <v>225</v>
      </c>
    </row>
    <row r="53" spans="2:6" x14ac:dyDescent="0.3">
      <c r="B53" s="169"/>
      <c r="E53" s="167">
        <f>6+'Personal File'!$C$14</f>
        <v>8</v>
      </c>
      <c r="F53" s="168" t="s">
        <v>225</v>
      </c>
    </row>
    <row r="54" spans="2:6" x14ac:dyDescent="0.3">
      <c r="B54" s="169"/>
      <c r="E54" s="167">
        <f>2+'Personal File'!$C$14</f>
        <v>4</v>
      </c>
      <c r="F54" s="168" t="s">
        <v>226</v>
      </c>
    </row>
    <row r="55" spans="2:6" x14ac:dyDescent="0.3">
      <c r="B55" s="169"/>
      <c r="E55" s="167">
        <f>2+'Personal File'!$C$14</f>
        <v>4</v>
      </c>
      <c r="F55" s="168" t="s">
        <v>226</v>
      </c>
    </row>
    <row r="56" spans="2:6" x14ac:dyDescent="0.3">
      <c r="E56" s="169">
        <f>3+SUM('Personal File'!$E$3:$E$5)</f>
        <v>11</v>
      </c>
      <c r="F56" s="168" t="s">
        <v>89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19.09765625" style="49" bestFit="1" customWidth="1"/>
    <col min="2" max="2" width="6.19921875" style="49" bestFit="1" customWidth="1"/>
    <col min="3" max="3" width="13.59765625" style="50" bestFit="1" customWidth="1"/>
    <col min="4" max="4" width="12.69921875" style="58" bestFit="1" customWidth="1"/>
    <col min="5" max="5" width="8.09765625" style="50" bestFit="1" customWidth="1"/>
    <col min="6" max="6" width="12.59765625" style="50" bestFit="1" customWidth="1"/>
    <col min="7" max="7" width="9.796875" style="49" bestFit="1" customWidth="1"/>
    <col min="8" max="8" width="17.8984375" style="10" bestFit="1" customWidth="1"/>
    <col min="9" max="9" width="5.5" style="10" bestFit="1" customWidth="1"/>
    <col min="10" max="10" width="13" style="379"/>
    <col min="11" max="16384" width="13" style="10"/>
  </cols>
  <sheetData>
    <row r="1" spans="1:10" ht="23.4" thickBot="1" x14ac:dyDescent="0.35">
      <c r="A1" s="461" t="s">
        <v>125</v>
      </c>
      <c r="B1" s="51"/>
      <c r="C1" s="51"/>
      <c r="D1" s="52"/>
      <c r="E1" s="51"/>
      <c r="F1" s="51"/>
      <c r="G1" s="51"/>
      <c r="H1" s="51"/>
    </row>
    <row r="2" spans="1:10" s="3" customFormat="1" ht="16.8" x14ac:dyDescent="0.3">
      <c r="A2" s="464" t="s">
        <v>60</v>
      </c>
      <c r="B2" s="465" t="s">
        <v>0</v>
      </c>
      <c r="C2" s="466" t="s">
        <v>62</v>
      </c>
      <c r="D2" s="466" t="s">
        <v>75</v>
      </c>
      <c r="E2" s="467" t="s">
        <v>76</v>
      </c>
      <c r="F2" s="467" t="s">
        <v>54</v>
      </c>
      <c r="G2" s="467" t="s">
        <v>17</v>
      </c>
      <c r="H2" s="467" t="s">
        <v>100</v>
      </c>
      <c r="I2" s="468" t="s">
        <v>101</v>
      </c>
      <c r="J2" s="379"/>
    </row>
    <row r="3" spans="1:10" s="3" customFormat="1" ht="16.8" x14ac:dyDescent="0.3">
      <c r="A3" s="462" t="s">
        <v>235</v>
      </c>
      <c r="B3" s="59"/>
      <c r="C3" s="296"/>
      <c r="D3" s="297"/>
      <c r="E3" s="298"/>
      <c r="F3" s="298"/>
      <c r="G3" s="298"/>
      <c r="H3" s="298"/>
      <c r="I3" s="299"/>
      <c r="J3" s="379"/>
    </row>
    <row r="4" spans="1:10" s="3" customFormat="1" ht="16.8" x14ac:dyDescent="0.3">
      <c r="A4" s="462"/>
      <c r="B4" s="59"/>
      <c r="C4" s="5"/>
      <c r="D4" s="1"/>
      <c r="E4" s="130"/>
      <c r="F4" s="4"/>
      <c r="G4" s="4"/>
      <c r="H4" s="4"/>
      <c r="I4" s="60"/>
      <c r="J4" s="379"/>
    </row>
    <row r="5" spans="1:10" ht="16.8" x14ac:dyDescent="0.3">
      <c r="A5" s="462"/>
      <c r="B5" s="59"/>
      <c r="C5" s="5"/>
      <c r="D5" s="1"/>
      <c r="E5" s="130"/>
      <c r="F5" s="4"/>
      <c r="G5" s="4"/>
      <c r="H5" s="4"/>
      <c r="I5" s="131"/>
    </row>
    <row r="6" spans="1:10" ht="17.399999999999999" thickBot="1" x14ac:dyDescent="0.35">
      <c r="A6" s="463"/>
      <c r="B6" s="113"/>
      <c r="C6" s="114"/>
      <c r="D6" s="115"/>
      <c r="E6" s="132"/>
      <c r="F6" s="116"/>
      <c r="G6" s="116"/>
      <c r="H6" s="116"/>
      <c r="I6" s="308"/>
    </row>
    <row r="7" spans="1:10" ht="16.2" thickTop="1" x14ac:dyDescent="0.3"/>
  </sheetData>
  <sortState xmlns:xlrd2="http://schemas.microsoft.com/office/spreadsheetml/2017/richdata2" ref="A3:I6">
    <sortCondition ref="B3:B6"/>
    <sortCondition ref="A3:A6"/>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P26"/>
  <sheetViews>
    <sheetView showGridLines="0" workbookViewId="0"/>
  </sheetViews>
  <sheetFormatPr defaultColWidth="13" defaultRowHeight="16.8" x14ac:dyDescent="0.3"/>
  <cols>
    <col min="1" max="1" width="17.5" style="44" bestFit="1" customWidth="1"/>
    <col min="2" max="2" width="3.59765625" style="44" bestFit="1" customWidth="1"/>
    <col min="3" max="4" width="4.19921875" style="44" customWidth="1"/>
    <col min="5" max="5" width="3.69921875" style="44" bestFit="1" customWidth="1"/>
    <col min="6" max="8" width="3.59765625" style="44" bestFit="1" customWidth="1"/>
    <col min="9" max="10" width="3.59765625" style="44" customWidth="1"/>
    <col min="11" max="11" width="3.59765625" style="44" bestFit="1" customWidth="1"/>
    <col min="12" max="12" width="2.09765625" style="44" customWidth="1"/>
    <col min="13" max="13" width="23.59765625" style="44" bestFit="1" customWidth="1"/>
    <col min="14" max="14" width="6.19921875" style="44" bestFit="1" customWidth="1"/>
    <col min="15" max="15" width="4.09765625" style="44" bestFit="1" customWidth="1"/>
    <col min="16" max="16" width="6.296875" style="44" bestFit="1" customWidth="1"/>
    <col min="17" max="16384" width="13" style="44"/>
  </cols>
  <sheetData>
    <row r="1" spans="1:16" ht="24" thickTop="1" thickBot="1" x14ac:dyDescent="0.35">
      <c r="A1" s="469" t="s">
        <v>236</v>
      </c>
      <c r="B1" s="256"/>
      <c r="C1" s="51"/>
      <c r="D1" s="51"/>
      <c r="E1" s="257"/>
      <c r="F1" s="51"/>
      <c r="G1" s="51"/>
      <c r="H1" s="51"/>
      <c r="I1" s="51"/>
      <c r="J1" s="51"/>
      <c r="K1" s="257"/>
      <c r="M1" s="327" t="s">
        <v>256</v>
      </c>
      <c r="N1" s="328"/>
      <c r="O1" s="328"/>
      <c r="P1" s="329"/>
    </row>
    <row r="2" spans="1:16" ht="17.399999999999999" thickTop="1" x14ac:dyDescent="0.3">
      <c r="A2" s="122"/>
      <c r="B2" s="61" t="s">
        <v>83</v>
      </c>
      <c r="C2" s="258"/>
      <c r="D2" s="258"/>
      <c r="E2" s="258"/>
      <c r="F2" s="258"/>
      <c r="G2" s="258"/>
      <c r="H2" s="258"/>
      <c r="I2" s="258"/>
      <c r="J2" s="258"/>
      <c r="K2" s="259"/>
      <c r="M2" s="507" t="s">
        <v>60</v>
      </c>
      <c r="N2" s="508" t="s">
        <v>0</v>
      </c>
      <c r="O2" s="509" t="s">
        <v>131</v>
      </c>
      <c r="P2" s="510" t="s">
        <v>132</v>
      </c>
    </row>
    <row r="3" spans="1:16" ht="17.399999999999999" thickBot="1" x14ac:dyDescent="0.35">
      <c r="A3" s="122"/>
      <c r="B3" s="260" t="s">
        <v>84</v>
      </c>
      <c r="C3" s="261" t="s">
        <v>77</v>
      </c>
      <c r="D3" s="261" t="s">
        <v>78</v>
      </c>
      <c r="E3" s="261" t="s">
        <v>79</v>
      </c>
      <c r="F3" s="261" t="s">
        <v>80</v>
      </c>
      <c r="G3" s="261" t="s">
        <v>81</v>
      </c>
      <c r="H3" s="261" t="s">
        <v>82</v>
      </c>
      <c r="I3" s="261" t="s">
        <v>85</v>
      </c>
      <c r="J3" s="261" t="s">
        <v>129</v>
      </c>
      <c r="K3" s="262" t="s">
        <v>130</v>
      </c>
      <c r="M3" s="330"/>
      <c r="N3" s="331">
        <v>1</v>
      </c>
      <c r="O3" s="332">
        <f>10+N3+'Personal File'!$C$16</f>
        <v>10</v>
      </c>
      <c r="P3" s="333" t="s">
        <v>190</v>
      </c>
    </row>
    <row r="4" spans="1:16" ht="17.399999999999999" thickTop="1" x14ac:dyDescent="0.3">
      <c r="A4" s="263" t="s">
        <v>128</v>
      </c>
      <c r="B4" s="471">
        <v>0</v>
      </c>
      <c r="C4" s="267">
        <v>0</v>
      </c>
      <c r="D4" s="267">
        <v>0</v>
      </c>
      <c r="E4" s="267">
        <v>0</v>
      </c>
      <c r="F4" s="267">
        <v>0</v>
      </c>
      <c r="G4" s="267">
        <v>0</v>
      </c>
      <c r="H4" s="267">
        <v>0</v>
      </c>
      <c r="I4" s="267">
        <v>0</v>
      </c>
      <c r="J4" s="267">
        <v>0</v>
      </c>
      <c r="K4" s="268">
        <v>0</v>
      </c>
      <c r="M4" s="334"/>
      <c r="N4" s="335">
        <v>1</v>
      </c>
      <c r="O4" s="336">
        <f>10+N4+'Personal File'!$C$16</f>
        <v>10</v>
      </c>
      <c r="P4" s="337" t="s">
        <v>190</v>
      </c>
    </row>
    <row r="5" spans="1:16" ht="17.399999999999999" thickBot="1" x14ac:dyDescent="0.35">
      <c r="A5" s="264" t="s">
        <v>127</v>
      </c>
      <c r="B5" s="472">
        <v>0</v>
      </c>
      <c r="C5" s="269">
        <v>0</v>
      </c>
      <c r="D5" s="269">
        <v>0</v>
      </c>
      <c r="E5" s="269">
        <v>0</v>
      </c>
      <c r="F5" s="269">
        <v>0</v>
      </c>
      <c r="G5" s="269">
        <v>0</v>
      </c>
      <c r="H5" s="269">
        <v>0</v>
      </c>
      <c r="I5" s="269">
        <v>0</v>
      </c>
      <c r="J5" s="269">
        <v>0</v>
      </c>
      <c r="K5" s="270">
        <v>0</v>
      </c>
      <c r="M5" s="338"/>
      <c r="N5" s="339">
        <v>1</v>
      </c>
      <c r="O5" s="340">
        <f>10+N5+'Personal File'!$C$16</f>
        <v>10</v>
      </c>
      <c r="P5" s="341" t="s">
        <v>190</v>
      </c>
    </row>
    <row r="6" spans="1:16" ht="18" thickTop="1" thickBot="1" x14ac:dyDescent="0.35">
      <c r="A6" s="265" t="s">
        <v>193</v>
      </c>
      <c r="B6" s="473">
        <f t="shared" ref="B6:J6" si="0">SUM(B4:B5)</f>
        <v>0</v>
      </c>
      <c r="C6" s="272">
        <f t="shared" si="0"/>
        <v>0</v>
      </c>
      <c r="D6" s="272">
        <f t="shared" si="0"/>
        <v>0</v>
      </c>
      <c r="E6" s="272">
        <f t="shared" si="0"/>
        <v>0</v>
      </c>
      <c r="F6" s="272">
        <f t="shared" si="0"/>
        <v>0</v>
      </c>
      <c r="G6" s="272">
        <f t="shared" si="0"/>
        <v>0</v>
      </c>
      <c r="H6" s="272">
        <f t="shared" si="0"/>
        <v>0</v>
      </c>
      <c r="I6" s="272">
        <f t="shared" si="0"/>
        <v>0</v>
      </c>
      <c r="J6" s="272">
        <f t="shared" si="0"/>
        <v>0</v>
      </c>
      <c r="K6" s="271">
        <f>SUM(K5:K5)</f>
        <v>0</v>
      </c>
    </row>
    <row r="7" spans="1:16" ht="17.399999999999999" thickTop="1" x14ac:dyDescent="0.3">
      <c r="A7" s="275" t="s">
        <v>131</v>
      </c>
      <c r="B7" s="474">
        <f>10+LEFT(B3,1)+'Personal File'!$C$16</f>
        <v>9</v>
      </c>
      <c r="C7" s="474">
        <f>10+LEFT(C3,1)+'Personal File'!$C$16</f>
        <v>10</v>
      </c>
      <c r="D7" s="474">
        <f>10+LEFT(D3,1)+'Personal File'!$C$16</f>
        <v>11</v>
      </c>
      <c r="E7" s="277">
        <f>10+LEFT(E3,1)+'Personal File'!$C$16</f>
        <v>12</v>
      </c>
      <c r="F7" s="277">
        <f>10+LEFT(F3,1)+'Personal File'!$C$16</f>
        <v>13</v>
      </c>
      <c r="G7" s="277">
        <f>10+LEFT(G3,1)+'Personal File'!$C$16</f>
        <v>14</v>
      </c>
      <c r="H7" s="277">
        <f>10+LEFT(H3,1)+'Personal File'!$C$16</f>
        <v>15</v>
      </c>
      <c r="I7" s="277">
        <f>10+LEFT(I3,1)+'Personal File'!$C$16</f>
        <v>16</v>
      </c>
      <c r="J7" s="277">
        <f>10+LEFT(J3,1)+'Personal File'!$C$16</f>
        <v>17</v>
      </c>
      <c r="K7" s="278">
        <f>10+LEFT(K3,1)+'Personal File'!$C$16</f>
        <v>18</v>
      </c>
    </row>
    <row r="8" spans="1:16" ht="17.399999999999999" thickBot="1" x14ac:dyDescent="0.35">
      <c r="A8" s="265" t="s">
        <v>132</v>
      </c>
      <c r="B8" s="470" t="s">
        <v>94</v>
      </c>
      <c r="C8" s="470" t="s">
        <v>94</v>
      </c>
      <c r="D8" s="470" t="s">
        <v>94</v>
      </c>
      <c r="E8" s="279" t="s">
        <v>94</v>
      </c>
      <c r="F8" s="279" t="s">
        <v>94</v>
      </c>
      <c r="G8" s="279" t="s">
        <v>94</v>
      </c>
      <c r="H8" s="279" t="s">
        <v>94</v>
      </c>
      <c r="I8" s="279" t="s">
        <v>94</v>
      </c>
      <c r="J8" s="279" t="s">
        <v>94</v>
      </c>
      <c r="K8" s="276" t="s">
        <v>94</v>
      </c>
    </row>
    <row r="9" spans="1:16" ht="17.399999999999999" thickTop="1" x14ac:dyDescent="0.3"/>
    <row r="10" spans="1:16" x14ac:dyDescent="0.3">
      <c r="A10" s="20"/>
    </row>
    <row r="12" spans="1:16" x14ac:dyDescent="0.3">
      <c r="C12" s="13"/>
      <c r="D12" s="14"/>
    </row>
    <row r="24" spans="1:16" x14ac:dyDescent="0.3">
      <c r="M24" s="266"/>
      <c r="N24" s="266"/>
      <c r="O24" s="266"/>
      <c r="P24" s="266"/>
    </row>
    <row r="25" spans="1:16" s="266" customFormat="1" x14ac:dyDescent="0.3">
      <c r="A25" s="44"/>
      <c r="B25" s="44"/>
      <c r="C25" s="44"/>
      <c r="D25" s="44"/>
      <c r="E25" s="44"/>
      <c r="F25" s="44"/>
      <c r="G25" s="44"/>
      <c r="H25" s="44"/>
      <c r="I25" s="44"/>
      <c r="J25" s="44"/>
      <c r="K25" s="44"/>
      <c r="L25" s="44"/>
      <c r="M25" s="44"/>
      <c r="N25" s="44"/>
      <c r="O25" s="44"/>
      <c r="P25" s="44"/>
    </row>
    <row r="26" spans="1:16" x14ac:dyDescent="0.3">
      <c r="L26" s="266"/>
    </row>
  </sheetData>
  <conditionalFormatting sqref="P3:P5">
    <cfRule type="cellIs" dxfId="0" priority="2"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showGridLines="0" workbookViewId="0"/>
  </sheetViews>
  <sheetFormatPr defaultColWidth="13" defaultRowHeight="16.8" x14ac:dyDescent="0.3"/>
  <cols>
    <col min="1" max="1" width="37.09765625" style="44" bestFit="1" customWidth="1"/>
    <col min="2" max="2" width="2" style="14" bestFit="1" customWidth="1"/>
    <col min="3" max="3" width="32" style="44" bestFit="1" customWidth="1"/>
    <col min="4" max="16384" width="13" style="44"/>
  </cols>
  <sheetData>
    <row r="1" spans="1:3" ht="24" thickTop="1" thickBot="1" x14ac:dyDescent="0.35">
      <c r="A1" s="63" t="s">
        <v>86</v>
      </c>
      <c r="C1" s="475" t="s">
        <v>241</v>
      </c>
    </row>
    <row r="2" spans="1:3" x14ac:dyDescent="0.3">
      <c r="A2" s="64" t="s">
        <v>239</v>
      </c>
      <c r="C2" s="476" t="s">
        <v>242</v>
      </c>
    </row>
    <row r="3" spans="1:3" x14ac:dyDescent="0.3">
      <c r="A3" s="166" t="s">
        <v>237</v>
      </c>
      <c r="C3" s="476" t="s">
        <v>250</v>
      </c>
    </row>
    <row r="4" spans="1:3" x14ac:dyDescent="0.3">
      <c r="A4" s="65" t="s">
        <v>240</v>
      </c>
      <c r="C4" s="476" t="s">
        <v>249</v>
      </c>
    </row>
    <row r="5" spans="1:3" ht="17.399999999999999" thickBot="1" x14ac:dyDescent="0.35">
      <c r="A5" s="326" t="s">
        <v>243</v>
      </c>
      <c r="C5" s="477" t="s">
        <v>246</v>
      </c>
    </row>
    <row r="6" spans="1:3" ht="18" thickTop="1" thickBot="1" x14ac:dyDescent="0.35">
      <c r="A6" s="165" t="s">
        <v>259</v>
      </c>
    </row>
    <row r="7" spans="1:3" ht="24" thickTop="1" thickBot="1" x14ac:dyDescent="0.35">
      <c r="A7" s="20"/>
      <c r="C7" s="323" t="s">
        <v>244</v>
      </c>
    </row>
    <row r="8" spans="1:3" ht="24" thickTop="1" thickBot="1" x14ac:dyDescent="0.35">
      <c r="A8" s="148" t="s">
        <v>73</v>
      </c>
      <c r="C8" s="324" t="s">
        <v>268</v>
      </c>
    </row>
    <row r="9" spans="1:3" ht="17.399999999999999" thickBot="1" x14ac:dyDescent="0.35">
      <c r="A9" s="67" t="s">
        <v>245</v>
      </c>
      <c r="C9" s="324" t="s">
        <v>247</v>
      </c>
    </row>
    <row r="10" spans="1:3" ht="18" thickTop="1" thickBot="1" x14ac:dyDescent="0.35">
      <c r="A10" s="20"/>
      <c r="C10" s="480"/>
    </row>
    <row r="11" spans="1:3" ht="24" thickTop="1" thickBot="1" x14ac:dyDescent="0.35">
      <c r="A11" s="149" t="s">
        <v>61</v>
      </c>
    </row>
    <row r="12" spans="1:3" ht="24" thickTop="1" thickBot="1" x14ac:dyDescent="0.35">
      <c r="A12" s="66" t="s">
        <v>228</v>
      </c>
      <c r="B12" s="348">
        <v>1</v>
      </c>
      <c r="C12" s="478" t="s">
        <v>248</v>
      </c>
    </row>
    <row r="13" spans="1:3" ht="17.399999999999999" thickBot="1" x14ac:dyDescent="0.35">
      <c r="A13" s="67" t="s">
        <v>229</v>
      </c>
      <c r="B13" s="348">
        <v>2</v>
      </c>
      <c r="C13" s="515" t="s">
        <v>267</v>
      </c>
    </row>
    <row r="14" spans="1:3" ht="18" thickTop="1" thickBot="1" x14ac:dyDescent="0.35">
      <c r="B14" s="348">
        <v>3</v>
      </c>
      <c r="C14" s="516" t="s">
        <v>261</v>
      </c>
    </row>
    <row r="15" spans="1:3" ht="24" thickTop="1" thickBot="1" x14ac:dyDescent="0.35">
      <c r="A15" s="481" t="s">
        <v>251</v>
      </c>
      <c r="B15" s="348">
        <v>4</v>
      </c>
      <c r="C15" s="516" t="s">
        <v>262</v>
      </c>
    </row>
    <row r="16" spans="1:3" x14ac:dyDescent="0.3">
      <c r="A16" s="66" t="s">
        <v>252</v>
      </c>
      <c r="B16" s="348">
        <v>5</v>
      </c>
      <c r="C16" s="516" t="s">
        <v>265</v>
      </c>
    </row>
    <row r="17" spans="1:3" ht="17.399999999999999" thickBot="1" x14ac:dyDescent="0.35">
      <c r="A17" s="67" t="s">
        <v>253</v>
      </c>
      <c r="C17" s="516" t="s">
        <v>263</v>
      </c>
    </row>
    <row r="18" spans="1:3" ht="17.399999999999999" thickTop="1" x14ac:dyDescent="0.3">
      <c r="C18" s="516" t="s">
        <v>266</v>
      </c>
    </row>
    <row r="19" spans="1:3" ht="17.399999999999999" thickBot="1" x14ac:dyDescent="0.35">
      <c r="C19" s="479" t="s">
        <v>264</v>
      </c>
    </row>
    <row r="20" spans="1:3" ht="17.399999999999999" thickTop="1" x14ac:dyDescent="0.3"/>
    <row r="24" spans="1:3" x14ac:dyDescent="0.3">
      <c r="A24" s="266"/>
    </row>
    <row r="25" spans="1:3" s="266" customFormat="1" x14ac:dyDescent="0.3">
      <c r="A25" s="44"/>
      <c r="B25" s="347"/>
      <c r="C25" s="44"/>
    </row>
    <row r="34" spans="3:3" x14ac:dyDescent="0.3">
      <c r="C34" s="266"/>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
  <sheetViews>
    <sheetView showGridLines="0" workbookViewId="0"/>
  </sheetViews>
  <sheetFormatPr defaultColWidth="13" defaultRowHeight="15.6" x14ac:dyDescent="0.3"/>
  <cols>
    <col min="1" max="1" width="31.59765625" style="69" bestFit="1" customWidth="1"/>
    <col min="2" max="2" width="9.296875" style="69" bestFit="1" customWidth="1"/>
    <col min="3" max="3" width="4.296875" style="69" bestFit="1" customWidth="1"/>
    <col min="4" max="4" width="6.5" style="69" bestFit="1" customWidth="1"/>
    <col min="5" max="5" width="8.09765625" style="69" bestFit="1" customWidth="1"/>
    <col min="6" max="6" width="9.8984375" style="69" bestFit="1" customWidth="1"/>
    <col min="7" max="7" width="4.3984375" style="69" bestFit="1" customWidth="1"/>
    <col min="8" max="8" width="4.69921875" style="69" bestFit="1" customWidth="1"/>
    <col min="9" max="9" width="5.69921875" style="69" bestFit="1" customWidth="1"/>
    <col min="10" max="10" width="6.296875" style="69" bestFit="1" customWidth="1"/>
    <col min="11" max="11" width="15.296875" style="69" bestFit="1" customWidth="1"/>
    <col min="12" max="12" width="1.3984375" style="10" customWidth="1"/>
    <col min="13" max="13" width="5.796875" style="10" bestFit="1" customWidth="1"/>
    <col min="14" max="16384" width="13" style="10"/>
  </cols>
  <sheetData>
    <row r="1" spans="1:13" ht="23.4" thickBot="1" x14ac:dyDescent="0.35">
      <c r="A1" s="62" t="s">
        <v>15</v>
      </c>
      <c r="B1" s="62"/>
      <c r="C1" s="62"/>
      <c r="D1" s="62"/>
      <c r="E1" s="62"/>
      <c r="F1" s="62"/>
      <c r="G1" s="62"/>
      <c r="H1" s="62"/>
      <c r="I1" s="62"/>
      <c r="J1" s="62"/>
      <c r="K1" s="62"/>
    </row>
    <row r="2" spans="1:13" ht="16.8" thickTop="1" thickBot="1" x14ac:dyDescent="0.35">
      <c r="A2" s="90" t="s">
        <v>1</v>
      </c>
      <c r="B2" s="91" t="s">
        <v>2</v>
      </c>
      <c r="C2" s="91" t="s">
        <v>19</v>
      </c>
      <c r="D2" s="91" t="s">
        <v>20</v>
      </c>
      <c r="E2" s="92" t="s">
        <v>53</v>
      </c>
      <c r="F2" s="91" t="s">
        <v>16</v>
      </c>
      <c r="G2" s="91" t="s">
        <v>21</v>
      </c>
      <c r="H2" s="93" t="s">
        <v>74</v>
      </c>
      <c r="I2" s="94" t="s">
        <v>87</v>
      </c>
      <c r="J2" s="93" t="s">
        <v>68</v>
      </c>
      <c r="K2" s="95" t="s">
        <v>66</v>
      </c>
      <c r="M2" s="442" t="s">
        <v>91</v>
      </c>
    </row>
    <row r="3" spans="1:13" x14ac:dyDescent="0.3">
      <c r="A3" s="284"/>
      <c r="B3" s="306"/>
      <c r="C3" s="306"/>
      <c r="D3" s="306"/>
      <c r="E3" s="286"/>
      <c r="F3" s="285"/>
      <c r="G3" s="287"/>
      <c r="H3" s="285" t="str">
        <f>CONCATENATE("+",'Personal File'!$B$9+'Personal File'!$C$11+D3)</f>
        <v>+8</v>
      </c>
      <c r="I3" s="432">
        <f ca="1">RANDBETWEEN(1,20)</f>
        <v>4</v>
      </c>
      <c r="J3" s="288">
        <f ca="1">I3+H3</f>
        <v>12</v>
      </c>
      <c r="K3" s="289"/>
      <c r="M3" s="441"/>
    </row>
    <row r="4" spans="1:13" x14ac:dyDescent="0.3">
      <c r="A4" s="284"/>
      <c r="B4" s="285"/>
      <c r="C4" s="285"/>
      <c r="D4" s="285"/>
      <c r="E4" s="286"/>
      <c r="F4" s="285"/>
      <c r="G4" s="287"/>
      <c r="H4" s="285" t="str">
        <f>CONCATENATE("+",H3-5)</f>
        <v>+3</v>
      </c>
      <c r="I4" s="432">
        <f ca="1">RANDBETWEEN(1,20)</f>
        <v>4</v>
      </c>
      <c r="J4" s="288">
        <f ca="1">I4+H4</f>
        <v>7</v>
      </c>
      <c r="K4" s="289"/>
      <c r="M4" s="387"/>
    </row>
    <row r="5" spans="1:13" x14ac:dyDescent="0.3">
      <c r="A5" s="409"/>
      <c r="B5" s="410"/>
      <c r="C5" s="429"/>
      <c r="D5" s="429"/>
      <c r="E5" s="430"/>
      <c r="F5" s="430"/>
      <c r="G5" s="430"/>
      <c r="H5" s="430" t="s">
        <v>94</v>
      </c>
      <c r="I5" s="439" t="s">
        <v>94</v>
      </c>
      <c r="J5" s="430" t="s">
        <v>94</v>
      </c>
      <c r="K5" s="440"/>
      <c r="L5" s="431"/>
      <c r="M5" s="428"/>
    </row>
    <row r="6" spans="1:13" x14ac:dyDescent="0.3">
      <c r="A6" s="284"/>
      <c r="B6" s="306"/>
      <c r="C6" s="306"/>
      <c r="D6" s="306"/>
      <c r="E6" s="286"/>
      <c r="F6" s="285"/>
      <c r="G6" s="287"/>
      <c r="H6" s="285" t="str">
        <f>CONCATENATE("+",'Personal File'!$B$9+'Personal File'!$C$11+D6)</f>
        <v>+8</v>
      </c>
      <c r="I6" s="432">
        <f ca="1">RANDBETWEEN(1,20)</f>
        <v>9</v>
      </c>
      <c r="J6" s="288">
        <f ca="1">I6+H6</f>
        <v>17</v>
      </c>
      <c r="K6" s="289"/>
      <c r="M6" s="441"/>
    </row>
    <row r="7" spans="1:13" x14ac:dyDescent="0.3">
      <c r="A7" s="284"/>
      <c r="B7" s="285"/>
      <c r="C7" s="285"/>
      <c r="D7" s="285"/>
      <c r="E7" s="286"/>
      <c r="F7" s="285"/>
      <c r="G7" s="287"/>
      <c r="H7" s="285" t="str">
        <f>CONCATENATE("+",H6-5)</f>
        <v>+3</v>
      </c>
      <c r="I7" s="432">
        <f ca="1">RANDBETWEEN(1,20)</f>
        <v>2</v>
      </c>
      <c r="J7" s="288">
        <f ca="1">I7+H7</f>
        <v>5</v>
      </c>
      <c r="K7" s="289"/>
      <c r="M7" s="387"/>
    </row>
    <row r="8" spans="1:13" x14ac:dyDescent="0.3">
      <c r="A8" s="409"/>
      <c r="B8" s="410"/>
      <c r="C8" s="429"/>
      <c r="D8" s="429"/>
      <c r="E8" s="430"/>
      <c r="F8" s="430"/>
      <c r="G8" s="430"/>
      <c r="H8" s="430" t="s">
        <v>94</v>
      </c>
      <c r="I8" s="439" t="s">
        <v>94</v>
      </c>
      <c r="J8" s="430" t="s">
        <v>94</v>
      </c>
      <c r="K8" s="440"/>
      <c r="L8" s="447"/>
      <c r="M8" s="428"/>
    </row>
    <row r="9" spans="1:13" x14ac:dyDescent="0.3">
      <c r="A9" s="284"/>
      <c r="B9" s="285"/>
      <c r="C9" s="285"/>
      <c r="D9" s="285"/>
      <c r="E9" s="286"/>
      <c r="F9" s="285"/>
      <c r="G9" s="287"/>
      <c r="H9" s="285" t="str">
        <f>CONCATENATE("+",'Personal File'!$B$9+'Personal File'!$C$11+D9)</f>
        <v>+8</v>
      </c>
      <c r="I9" s="432">
        <f t="shared" ref="I9:I13" ca="1" si="0">RANDBETWEEN(1,20)</f>
        <v>14</v>
      </c>
      <c r="J9" s="288">
        <f t="shared" ref="J9:J13" ca="1" si="1">I9+H9</f>
        <v>22</v>
      </c>
      <c r="K9" s="289"/>
      <c r="M9" s="387"/>
    </row>
    <row r="10" spans="1:13" x14ac:dyDescent="0.3">
      <c r="A10" s="388"/>
      <c r="B10" s="390"/>
      <c r="C10" s="390"/>
      <c r="D10" s="390"/>
      <c r="E10" s="389"/>
      <c r="F10" s="390"/>
      <c r="G10" s="391"/>
      <c r="H10" s="390" t="str">
        <f>CONCATENATE("+",H9-5)</f>
        <v>+3</v>
      </c>
      <c r="I10" s="433">
        <f t="shared" ca="1" si="0"/>
        <v>14</v>
      </c>
      <c r="J10" s="392">
        <f t="shared" ca="1" si="1"/>
        <v>17</v>
      </c>
      <c r="K10" s="393"/>
      <c r="M10" s="394"/>
    </row>
    <row r="11" spans="1:13" x14ac:dyDescent="0.3">
      <c r="A11" s="395"/>
      <c r="B11" s="306"/>
      <c r="C11" s="396"/>
      <c r="D11" s="396"/>
      <c r="E11" s="397"/>
      <c r="F11" s="318"/>
      <c r="G11" s="398"/>
      <c r="H11" s="376" t="str">
        <f>CONCATENATE("+",'Personal File'!$B$9+'Personal File'!$C$11+D11)</f>
        <v>+8</v>
      </c>
      <c r="I11" s="432">
        <f t="shared" ca="1" si="0"/>
        <v>13</v>
      </c>
      <c r="J11" s="399">
        <f t="shared" ca="1" si="1"/>
        <v>21</v>
      </c>
      <c r="K11" s="400"/>
      <c r="M11" s="401" t="s">
        <v>94</v>
      </c>
    </row>
    <row r="12" spans="1:13" x14ac:dyDescent="0.3">
      <c r="A12" s="409"/>
      <c r="B12" s="410"/>
      <c r="C12" s="411"/>
      <c r="D12" s="411"/>
      <c r="E12" s="412"/>
      <c r="F12" s="413"/>
      <c r="G12" s="414"/>
      <c r="H12" s="415" t="str">
        <f>CONCATENATE("+",H11-5)</f>
        <v>+3</v>
      </c>
      <c r="I12" s="434">
        <f t="shared" ca="1" si="0"/>
        <v>18</v>
      </c>
      <c r="J12" s="416">
        <f t="shared" ca="1" si="1"/>
        <v>21</v>
      </c>
      <c r="K12" s="417"/>
      <c r="M12" s="418" t="s">
        <v>94</v>
      </c>
    </row>
    <row r="13" spans="1:13" ht="16.2" thickBot="1" x14ac:dyDescent="0.35">
      <c r="A13" s="402" t="s">
        <v>200</v>
      </c>
      <c r="B13" s="403" t="s">
        <v>94</v>
      </c>
      <c r="C13" s="403" t="s">
        <v>94</v>
      </c>
      <c r="D13" s="403">
        <v>0</v>
      </c>
      <c r="E13" s="404" t="s">
        <v>94</v>
      </c>
      <c r="F13" s="403" t="s">
        <v>94</v>
      </c>
      <c r="G13" s="405" t="s">
        <v>94</v>
      </c>
      <c r="H13" s="403" t="str">
        <f>CONCATENATE("+",'Personal File'!$B$9+'Personal File'!$C$12+D13)</f>
        <v>+13</v>
      </c>
      <c r="I13" s="435">
        <f t="shared" ca="1" si="0"/>
        <v>9</v>
      </c>
      <c r="J13" s="406">
        <f t="shared" ca="1" si="1"/>
        <v>22</v>
      </c>
      <c r="K13" s="407"/>
      <c r="M13" s="408" t="s">
        <v>94</v>
      </c>
    </row>
    <row r="14" spans="1:13" ht="6" customHeight="1" thickTop="1" thickBot="1" x14ac:dyDescent="0.35"/>
    <row r="15" spans="1:13" ht="16.8" thickTop="1" thickBot="1" x14ac:dyDescent="0.35">
      <c r="A15" s="90" t="s">
        <v>4</v>
      </c>
      <c r="B15" s="91" t="s">
        <v>5</v>
      </c>
      <c r="C15" s="91" t="s">
        <v>19</v>
      </c>
      <c r="D15" s="91" t="s">
        <v>20</v>
      </c>
      <c r="E15" s="92" t="s">
        <v>53</v>
      </c>
      <c r="F15" s="91" t="s">
        <v>6</v>
      </c>
      <c r="G15" s="91" t="s">
        <v>21</v>
      </c>
      <c r="H15" s="93" t="s">
        <v>74</v>
      </c>
      <c r="I15" s="436" t="s">
        <v>87</v>
      </c>
      <c r="J15" s="93" t="s">
        <v>68</v>
      </c>
      <c r="K15" s="95" t="s">
        <v>66</v>
      </c>
      <c r="L15" s="122"/>
      <c r="M15" s="107" t="s">
        <v>91</v>
      </c>
    </row>
    <row r="16" spans="1:13" x14ac:dyDescent="0.3">
      <c r="A16" s="133" t="s">
        <v>102</v>
      </c>
      <c r="B16" s="134" t="s">
        <v>94</v>
      </c>
      <c r="C16" s="134" t="s">
        <v>94</v>
      </c>
      <c r="D16" s="134">
        <v>0</v>
      </c>
      <c r="E16" s="135" t="s">
        <v>94</v>
      </c>
      <c r="F16" s="134" t="s">
        <v>94</v>
      </c>
      <c r="G16" s="134" t="s">
        <v>94</v>
      </c>
      <c r="H16" s="134" t="str">
        <f>CONCATENATE("+",Spellcasting!$D$10+D16)</f>
        <v>+0</v>
      </c>
      <c r="I16" s="437">
        <f t="shared" ref="I16:I21" ca="1" si="2">RANDBETWEEN(1,20)</f>
        <v>20</v>
      </c>
      <c r="J16" s="138">
        <f t="shared" ref="J16:J21" ca="1" si="3">I16+H16</f>
        <v>20</v>
      </c>
      <c r="K16" s="136"/>
      <c r="L16" s="122"/>
      <c r="M16" s="137" t="s">
        <v>94</v>
      </c>
    </row>
    <row r="17" spans="1:13" x14ac:dyDescent="0.3">
      <c r="A17" s="139" t="s">
        <v>269</v>
      </c>
      <c r="B17" s="109"/>
      <c r="C17" s="517">
        <f>ROUNDDOWN(0.5*'Personal File'!C12,0)</f>
        <v>2</v>
      </c>
      <c r="D17" s="140"/>
      <c r="E17" s="109"/>
      <c r="F17" s="140"/>
      <c r="G17" s="141"/>
      <c r="H17" s="110" t="str">
        <f>CONCATENATE("+",'Personal File'!$B$9+'Personal File'!$C$12+D17)</f>
        <v>+13</v>
      </c>
      <c r="I17" s="437">
        <f t="shared" ca="1" si="2"/>
        <v>15</v>
      </c>
      <c r="J17" s="112">
        <f t="shared" ca="1" si="3"/>
        <v>28</v>
      </c>
      <c r="K17" s="514" t="s">
        <v>260</v>
      </c>
      <c r="L17" s="122"/>
      <c r="M17" s="123"/>
    </row>
    <row r="18" spans="1:13" x14ac:dyDescent="0.3">
      <c r="A18" s="139"/>
      <c r="B18" s="419"/>
      <c r="C18" s="140"/>
      <c r="D18" s="140"/>
      <c r="E18" s="109"/>
      <c r="F18" s="140"/>
      <c r="G18" s="141"/>
      <c r="H18" s="110" t="str">
        <f>CONCATENATE("+",'Personal File'!$B$9+'Personal File'!$C$12+D18)</f>
        <v>+13</v>
      </c>
      <c r="I18" s="437">
        <f t="shared" ca="1" si="2"/>
        <v>4</v>
      </c>
      <c r="J18" s="112">
        <f t="shared" ca="1" si="3"/>
        <v>17</v>
      </c>
      <c r="K18" s="514" t="s">
        <v>260</v>
      </c>
      <c r="L18" s="122"/>
      <c r="M18" s="123"/>
    </row>
    <row r="19" spans="1:13" x14ac:dyDescent="0.3">
      <c r="A19" s="139"/>
      <c r="B19" s="309"/>
      <c r="C19" s="140"/>
      <c r="D19" s="140"/>
      <c r="E19" s="109"/>
      <c r="F19" s="140"/>
      <c r="G19" s="141"/>
      <c r="H19" s="110" t="str">
        <f>CONCATENATE("+",'Personal File'!$B$9+'Personal File'!$C$12+D19)</f>
        <v>+13</v>
      </c>
      <c r="I19" s="437">
        <f t="shared" ca="1" si="2"/>
        <v>20</v>
      </c>
      <c r="J19" s="112">
        <f t="shared" ca="1" si="3"/>
        <v>33</v>
      </c>
      <c r="K19" s="514" t="s">
        <v>260</v>
      </c>
      <c r="L19" s="122"/>
      <c r="M19" s="123"/>
    </row>
    <row r="20" spans="1:13" x14ac:dyDescent="0.3">
      <c r="A20" s="457"/>
      <c r="B20" s="458"/>
      <c r="C20" s="140"/>
      <c r="D20" s="140"/>
      <c r="E20" s="458"/>
      <c r="F20" s="140"/>
      <c r="G20" s="459"/>
      <c r="H20" s="110" t="str">
        <f>CONCATENATE("+",'Personal File'!$B$9+'Personal File'!$C$12+D20-5)</f>
        <v>+8</v>
      </c>
      <c r="I20" s="437">
        <f t="shared" ca="1" si="2"/>
        <v>16</v>
      </c>
      <c r="J20" s="112">
        <f t="shared" ref="J20" ca="1" si="4">I20+H20</f>
        <v>24</v>
      </c>
      <c r="K20" s="514" t="s">
        <v>260</v>
      </c>
      <c r="L20" s="122"/>
      <c r="M20" s="124"/>
    </row>
    <row r="21" spans="1:13" ht="16.2" thickBot="1" x14ac:dyDescent="0.35">
      <c r="A21" s="290" t="s">
        <v>103</v>
      </c>
      <c r="B21" s="142" t="s">
        <v>94</v>
      </c>
      <c r="C21" s="142" t="s">
        <v>94</v>
      </c>
      <c r="D21" s="142">
        <v>0</v>
      </c>
      <c r="E21" s="143" t="s">
        <v>94</v>
      </c>
      <c r="F21" s="142" t="s">
        <v>94</v>
      </c>
      <c r="G21" s="142" t="s">
        <v>94</v>
      </c>
      <c r="H21" s="142" t="str">
        <f>CONCATENATE("+",'Personal File'!$B$9+'Personal File'!$C$12+D21)</f>
        <v>+13</v>
      </c>
      <c r="I21" s="438">
        <f t="shared" ca="1" si="2"/>
        <v>4</v>
      </c>
      <c r="J21" s="144">
        <f t="shared" ca="1" si="3"/>
        <v>17</v>
      </c>
      <c r="K21" s="291"/>
      <c r="L21" s="122"/>
      <c r="M21" s="292" t="s">
        <v>94</v>
      </c>
    </row>
    <row r="22" spans="1:13" ht="6" customHeight="1" thickTop="1" thickBot="1" x14ac:dyDescent="0.35">
      <c r="D22" s="96"/>
      <c r="E22" s="96"/>
      <c r="G22" s="89"/>
      <c r="H22" s="89"/>
      <c r="I22" s="89"/>
      <c r="J22" s="89"/>
      <c r="L22" s="122"/>
    </row>
    <row r="23" spans="1:13" ht="16.8" thickTop="1" thickBot="1" x14ac:dyDescent="0.35">
      <c r="A23" s="90" t="s">
        <v>58</v>
      </c>
      <c r="B23" s="91" t="s">
        <v>9</v>
      </c>
      <c r="C23" s="91" t="s">
        <v>24</v>
      </c>
      <c r="D23" s="91" t="s">
        <v>68</v>
      </c>
      <c r="E23" s="91" t="s">
        <v>69</v>
      </c>
      <c r="F23" s="91" t="s">
        <v>70</v>
      </c>
      <c r="G23" s="91" t="s">
        <v>21</v>
      </c>
      <c r="H23" s="97" t="s">
        <v>66</v>
      </c>
      <c r="I23" s="98"/>
      <c r="J23" s="98"/>
      <c r="K23" s="99"/>
      <c r="L23" s="122"/>
      <c r="M23" s="107" t="s">
        <v>91</v>
      </c>
    </row>
    <row r="24" spans="1:13" x14ac:dyDescent="0.3">
      <c r="A24" s="74"/>
      <c r="B24" s="349"/>
      <c r="C24" s="350"/>
      <c r="D24" s="349"/>
      <c r="E24" s="423"/>
      <c r="F24" s="350"/>
      <c r="G24" s="351"/>
      <c r="H24" s="352"/>
      <c r="I24" s="353"/>
      <c r="J24" s="353"/>
      <c r="K24" s="354"/>
      <c r="L24" s="122"/>
      <c r="M24" s="123"/>
    </row>
    <row r="25" spans="1:13" x14ac:dyDescent="0.3">
      <c r="A25" s="284"/>
      <c r="B25" s="306"/>
      <c r="C25" s="375"/>
      <c r="D25" s="306"/>
      <c r="E25" s="380"/>
      <c r="F25" s="111"/>
      <c r="G25" s="376"/>
      <c r="H25" s="453"/>
      <c r="I25" s="377"/>
      <c r="J25" s="377"/>
      <c r="K25" s="378"/>
      <c r="L25" s="122"/>
      <c r="M25" s="124"/>
    </row>
    <row r="26" spans="1:13" x14ac:dyDescent="0.3">
      <c r="A26" s="355"/>
      <c r="B26" s="356"/>
      <c r="C26" s="356"/>
      <c r="D26" s="111"/>
      <c r="E26" s="380"/>
      <c r="F26" s="111"/>
      <c r="G26" s="110"/>
      <c r="H26" s="357"/>
      <c r="I26" s="358"/>
      <c r="J26" s="358"/>
      <c r="K26" s="157"/>
      <c r="L26" s="122"/>
      <c r="M26" s="123"/>
    </row>
    <row r="27" spans="1:13" x14ac:dyDescent="0.3">
      <c r="A27" s="355"/>
      <c r="B27" s="356"/>
      <c r="C27" s="356"/>
      <c r="D27" s="111"/>
      <c r="E27" s="380"/>
      <c r="F27" s="111"/>
      <c r="G27" s="110"/>
      <c r="H27" s="357"/>
      <c r="I27" s="358"/>
      <c r="J27" s="358"/>
      <c r="K27" s="157"/>
      <c r="L27" s="122"/>
      <c r="M27" s="123"/>
    </row>
    <row r="28" spans="1:13" x14ac:dyDescent="0.3">
      <c r="A28" s="421"/>
      <c r="B28" s="356"/>
      <c r="C28" s="422"/>
      <c r="D28" s="346"/>
      <c r="E28" s="423"/>
      <c r="F28" s="346"/>
      <c r="G28" s="424"/>
      <c r="H28" s="425"/>
      <c r="I28" s="426"/>
      <c r="J28" s="426"/>
      <c r="K28" s="146"/>
      <c r="L28" s="122"/>
      <c r="M28" s="124"/>
    </row>
    <row r="29" spans="1:13" ht="16.2" thickBot="1" x14ac:dyDescent="0.35">
      <c r="A29" s="79"/>
      <c r="B29" s="105"/>
      <c r="C29" s="145"/>
      <c r="D29" s="105"/>
      <c r="E29" s="511"/>
      <c r="F29" s="145"/>
      <c r="G29" s="106"/>
      <c r="H29" s="420"/>
      <c r="I29" s="100"/>
      <c r="J29" s="100"/>
      <c r="K29" s="147"/>
      <c r="M29" s="125"/>
    </row>
    <row r="30" spans="1:13" ht="6.75" customHeight="1" thickTop="1" thickBot="1" x14ac:dyDescent="0.35"/>
    <row r="31" spans="1:13" ht="16.8" thickTop="1" thickBot="1" x14ac:dyDescent="0.35">
      <c r="D31" s="101" t="s">
        <v>59</v>
      </c>
      <c r="E31" s="102"/>
      <c r="F31" s="97" t="s">
        <v>3</v>
      </c>
      <c r="G31" s="91" t="s">
        <v>21</v>
      </c>
      <c r="H31" s="93" t="s">
        <v>74</v>
      </c>
      <c r="I31" s="97" t="s">
        <v>66</v>
      </c>
      <c r="J31" s="98"/>
      <c r="K31" s="99"/>
      <c r="M31" s="107" t="s">
        <v>91</v>
      </c>
    </row>
    <row r="32" spans="1:13" x14ac:dyDescent="0.3">
      <c r="D32" s="367"/>
      <c r="E32" s="368"/>
      <c r="F32" s="369"/>
      <c r="G32" s="370"/>
      <c r="H32" s="370"/>
      <c r="I32" s="371"/>
      <c r="J32" s="372"/>
      <c r="K32" s="373"/>
      <c r="M32" s="374"/>
    </row>
    <row r="33" spans="4:13" ht="16.2" thickBot="1" x14ac:dyDescent="0.35">
      <c r="D33" s="359"/>
      <c r="E33" s="360"/>
      <c r="F33" s="361"/>
      <c r="G33" s="362"/>
      <c r="H33" s="363"/>
      <c r="I33" s="364"/>
      <c r="J33" s="103"/>
      <c r="K33" s="365"/>
      <c r="M33" s="366"/>
    </row>
    <row r="34" spans="4:13" ht="16.8" thickTop="1" thickBot="1" x14ac:dyDescent="0.35"/>
    <row r="35" spans="4:13" ht="16.8" thickTop="1" thickBot="1" x14ac:dyDescent="0.35">
      <c r="D35" s="101" t="s">
        <v>105</v>
      </c>
      <c r="E35" s="98"/>
      <c r="F35" s="98"/>
      <c r="G35" s="98"/>
      <c r="H35" s="150" t="s">
        <v>3</v>
      </c>
      <c r="I35" s="150" t="s">
        <v>0</v>
      </c>
      <c r="J35" s="150" t="s">
        <v>106</v>
      </c>
      <c r="K35" s="99" t="s">
        <v>66</v>
      </c>
      <c r="L35" s="122"/>
      <c r="M35" s="151" t="s">
        <v>91</v>
      </c>
    </row>
    <row r="36" spans="4:13" x14ac:dyDescent="0.3">
      <c r="D36" s="153"/>
      <c r="E36" s="154"/>
      <c r="F36" s="154"/>
      <c r="G36" s="155"/>
      <c r="H36" s="156"/>
      <c r="I36" s="111"/>
      <c r="J36" s="111"/>
      <c r="K36" s="157"/>
      <c r="L36" s="122"/>
      <c r="M36" s="152"/>
    </row>
    <row r="37" spans="4:13" x14ac:dyDescent="0.3">
      <c r="D37" s="342"/>
      <c r="E37" s="343"/>
      <c r="F37" s="343"/>
      <c r="G37" s="344"/>
      <c r="H37" s="345"/>
      <c r="I37" s="346"/>
      <c r="J37" s="346"/>
      <c r="K37" s="146"/>
      <c r="L37" s="122"/>
      <c r="M37" s="152"/>
    </row>
    <row r="38" spans="4:13" x14ac:dyDescent="0.3">
      <c r="D38" s="342"/>
      <c r="E38" s="343"/>
      <c r="F38" s="343"/>
      <c r="G38" s="344"/>
      <c r="H38" s="345"/>
      <c r="I38" s="346"/>
      <c r="J38" s="346"/>
      <c r="K38" s="146"/>
      <c r="L38" s="122"/>
      <c r="M38" s="152"/>
    </row>
    <row r="39" spans="4:13" x14ac:dyDescent="0.3">
      <c r="D39" s="342"/>
      <c r="E39" s="343"/>
      <c r="F39" s="343"/>
      <c r="G39" s="344"/>
      <c r="H39" s="345"/>
      <c r="I39" s="346"/>
      <c r="J39" s="346"/>
      <c r="K39" s="146"/>
      <c r="L39" s="122"/>
      <c r="M39" s="152"/>
    </row>
    <row r="40" spans="4:13" x14ac:dyDescent="0.3">
      <c r="D40" s="342"/>
      <c r="E40" s="343"/>
      <c r="F40" s="343"/>
      <c r="G40" s="344"/>
      <c r="H40" s="345"/>
      <c r="I40" s="346"/>
      <c r="J40" s="346"/>
      <c r="K40" s="146"/>
      <c r="L40" s="122"/>
      <c r="M40" s="152"/>
    </row>
    <row r="41" spans="4:13" x14ac:dyDescent="0.3">
      <c r="D41" s="342"/>
      <c r="E41" s="343"/>
      <c r="F41" s="343"/>
      <c r="G41" s="344"/>
      <c r="H41" s="345"/>
      <c r="I41" s="346"/>
      <c r="J41" s="346"/>
      <c r="K41" s="146"/>
      <c r="L41" s="122"/>
      <c r="M41" s="152"/>
    </row>
    <row r="42" spans="4:13" x14ac:dyDescent="0.3">
      <c r="D42" s="342"/>
      <c r="E42" s="343"/>
      <c r="F42" s="343"/>
      <c r="G42" s="344"/>
      <c r="H42" s="345"/>
      <c r="I42" s="346"/>
      <c r="J42" s="346"/>
      <c r="K42" s="146"/>
      <c r="L42" s="122"/>
      <c r="M42" s="152"/>
    </row>
    <row r="43" spans="4:13" x14ac:dyDescent="0.3">
      <c r="D43" s="342"/>
      <c r="E43" s="343"/>
      <c r="F43" s="343"/>
      <c r="G43" s="344"/>
      <c r="H43" s="345"/>
      <c r="I43" s="346"/>
      <c r="J43" s="346"/>
      <c r="K43" s="146"/>
      <c r="L43" s="122"/>
      <c r="M43" s="152"/>
    </row>
    <row r="44" spans="4:13" x14ac:dyDescent="0.3">
      <c r="D44" s="342"/>
      <c r="E44" s="343"/>
      <c r="F44" s="343"/>
      <c r="G44" s="344"/>
      <c r="H44" s="345"/>
      <c r="I44" s="346"/>
      <c r="J44" s="346"/>
      <c r="K44" s="146"/>
      <c r="L44" s="122"/>
      <c r="M44" s="152"/>
    </row>
    <row r="45" spans="4:13" ht="16.2" thickBot="1" x14ac:dyDescent="0.35">
      <c r="D45" s="158"/>
      <c r="E45" s="159"/>
      <c r="F45" s="159"/>
      <c r="G45" s="160"/>
      <c r="H45" s="161"/>
      <c r="I45" s="162"/>
      <c r="J45" s="162"/>
      <c r="K45" s="163"/>
      <c r="L45" s="122"/>
      <c r="M45" s="164"/>
    </row>
    <row r="46" spans="4:13" ht="16.2"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1"/>
  <sheetViews>
    <sheetView showGridLines="0" workbookViewId="0"/>
  </sheetViews>
  <sheetFormatPr defaultColWidth="7.8984375" defaultRowHeight="15.6" x14ac:dyDescent="0.3"/>
  <cols>
    <col min="1" max="1" width="28.796875" style="69" bestFit="1" customWidth="1"/>
    <col min="2" max="2" width="5.69921875" style="69" bestFit="1" customWidth="1"/>
    <col min="3" max="3" width="5.3984375" style="89" bestFit="1" customWidth="1"/>
    <col min="4" max="5" width="23.09765625" style="10" customWidth="1"/>
    <col min="6" max="6" width="1.19921875" style="69" customWidth="1"/>
    <col min="7" max="7" width="8.296875" style="10" bestFit="1" customWidth="1"/>
    <col min="8" max="16384" width="7.8984375" style="10"/>
  </cols>
  <sheetData>
    <row r="1" spans="1:8" ht="23.4" thickBot="1" x14ac:dyDescent="0.35">
      <c r="A1" s="62" t="s">
        <v>63</v>
      </c>
      <c r="B1" s="62"/>
      <c r="C1" s="68"/>
      <c r="D1" s="62"/>
      <c r="E1" s="62"/>
    </row>
    <row r="2" spans="1:8" s="69" customFormat="1" ht="16.8" thickTop="1" thickBot="1" x14ac:dyDescent="0.35">
      <c r="A2" s="70" t="s">
        <v>64</v>
      </c>
      <c r="B2" s="70" t="s">
        <v>3</v>
      </c>
      <c r="C2" s="71" t="s">
        <v>21</v>
      </c>
      <c r="D2" s="72" t="s">
        <v>65</v>
      </c>
      <c r="E2" s="73" t="s">
        <v>66</v>
      </c>
      <c r="G2" s="108" t="s">
        <v>91</v>
      </c>
    </row>
    <row r="3" spans="1:8" x14ac:dyDescent="0.3">
      <c r="A3" s="443" t="s">
        <v>215</v>
      </c>
      <c r="B3" s="310">
        <v>1</v>
      </c>
      <c r="C3" s="76">
        <v>1</v>
      </c>
      <c r="D3" s="444"/>
      <c r="E3" s="445"/>
      <c r="F3"/>
      <c r="G3" s="117">
        <v>1000</v>
      </c>
    </row>
    <row r="4" spans="1:8" x14ac:dyDescent="0.3">
      <c r="A4" s="75" t="s">
        <v>201</v>
      </c>
      <c r="B4" s="310">
        <v>1</v>
      </c>
      <c r="C4" s="76">
        <v>1</v>
      </c>
      <c r="D4" s="77"/>
      <c r="E4" s="78"/>
      <c r="G4" s="173">
        <v>750</v>
      </c>
      <c r="H4" s="122" t="s">
        <v>233</v>
      </c>
    </row>
    <row r="5" spans="1:8" x14ac:dyDescent="0.3">
      <c r="A5" s="75" t="s">
        <v>191</v>
      </c>
      <c r="B5" s="310">
        <v>1</v>
      </c>
      <c r="C5" s="76">
        <v>0</v>
      </c>
      <c r="D5" s="77"/>
      <c r="E5" s="78"/>
      <c r="G5" s="173">
        <v>1400</v>
      </c>
    </row>
    <row r="6" spans="1:8" x14ac:dyDescent="0.3">
      <c r="A6" s="170" t="s">
        <v>210</v>
      </c>
      <c r="B6" s="310">
        <v>1</v>
      </c>
      <c r="C6" s="76">
        <v>0</v>
      </c>
      <c r="D6" s="172"/>
      <c r="E6" s="121"/>
      <c r="F6"/>
      <c r="G6" s="173">
        <v>2300</v>
      </c>
    </row>
    <row r="7" spans="1:8" x14ac:dyDescent="0.3">
      <c r="A7" s="284" t="s">
        <v>180</v>
      </c>
      <c r="B7" s="318">
        <v>1</v>
      </c>
      <c r="C7" s="319">
        <v>0</v>
      </c>
      <c r="D7" s="321"/>
      <c r="E7" s="445"/>
      <c r="F7" s="295"/>
      <c r="G7" s="117">
        <v>500</v>
      </c>
    </row>
    <row r="8" spans="1:8" x14ac:dyDescent="0.3">
      <c r="A8" s="443" t="s">
        <v>212</v>
      </c>
      <c r="B8" s="310">
        <v>1</v>
      </c>
      <c r="C8" s="76">
        <v>0.5</v>
      </c>
      <c r="D8" s="444"/>
      <c r="E8" s="445"/>
      <c r="F8"/>
      <c r="G8" s="117">
        <v>1</v>
      </c>
    </row>
    <row r="9" spans="1:8" x14ac:dyDescent="0.3">
      <c r="A9" s="284" t="s">
        <v>187</v>
      </c>
      <c r="B9" s="310">
        <v>4</v>
      </c>
      <c r="C9" s="76">
        <v>0</v>
      </c>
      <c r="D9" s="321" t="s">
        <v>186</v>
      </c>
      <c r="E9" s="320"/>
      <c r="G9" s="117">
        <f>B9*8</f>
        <v>32</v>
      </c>
    </row>
    <row r="10" spans="1:8" x14ac:dyDescent="0.3">
      <c r="A10" s="75" t="s">
        <v>92</v>
      </c>
      <c r="B10" s="310">
        <v>1</v>
      </c>
      <c r="C10" s="76">
        <v>2</v>
      </c>
      <c r="D10" s="77"/>
      <c r="E10" s="78"/>
      <c r="G10" s="173">
        <v>5</v>
      </c>
    </row>
    <row r="11" spans="1:8" x14ac:dyDescent="0.3">
      <c r="A11" s="75" t="s">
        <v>151</v>
      </c>
      <c r="B11" s="310">
        <v>1</v>
      </c>
      <c r="C11" s="76" t="s">
        <v>152</v>
      </c>
      <c r="D11" s="77"/>
      <c r="E11" s="78"/>
      <c r="G11" s="173" t="s">
        <v>96</v>
      </c>
    </row>
    <row r="12" spans="1:8" ht="16.2" thickBot="1" x14ac:dyDescent="0.35">
      <c r="A12" s="79" t="s">
        <v>135</v>
      </c>
      <c r="B12" s="129">
        <v>1</v>
      </c>
      <c r="C12" s="81">
        <v>1</v>
      </c>
      <c r="D12" s="82"/>
      <c r="E12" s="83"/>
      <c r="G12" s="118">
        <v>25</v>
      </c>
    </row>
    <row r="13" spans="1:8" ht="24" thickTop="1" thickBot="1" x14ac:dyDescent="0.35">
      <c r="A13" s="62" t="s">
        <v>67</v>
      </c>
      <c r="B13" s="62"/>
      <c r="C13" s="84"/>
      <c r="D13" s="62"/>
      <c r="E13" s="85"/>
      <c r="G13" s="119"/>
    </row>
    <row r="14" spans="1:8" ht="16.8" thickTop="1" thickBot="1" x14ac:dyDescent="0.35">
      <c r="A14" s="70" t="s">
        <v>64</v>
      </c>
      <c r="B14" s="70" t="s">
        <v>3</v>
      </c>
      <c r="C14" s="71" t="s">
        <v>21</v>
      </c>
      <c r="D14" s="72" t="s">
        <v>65</v>
      </c>
      <c r="E14" s="73" t="s">
        <v>66</v>
      </c>
      <c r="G14" s="120" t="s">
        <v>91</v>
      </c>
    </row>
    <row r="15" spans="1:8" x14ac:dyDescent="0.3">
      <c r="A15" s="75" t="s">
        <v>137</v>
      </c>
      <c r="B15" s="86">
        <v>0</v>
      </c>
      <c r="C15" s="305">
        <f t="shared" ref="C15:C16" si="0">B15/100</f>
        <v>0</v>
      </c>
      <c r="D15" s="77"/>
      <c r="E15" s="78"/>
      <c r="G15" s="117">
        <f>B15</f>
        <v>0</v>
      </c>
    </row>
    <row r="16" spans="1:8" x14ac:dyDescent="0.3">
      <c r="A16" s="170" t="s">
        <v>194</v>
      </c>
      <c r="B16" s="86">
        <v>0</v>
      </c>
      <c r="C16" s="305">
        <f t="shared" si="0"/>
        <v>0</v>
      </c>
      <c r="D16" s="312"/>
      <c r="E16" s="78"/>
      <c r="G16" s="117">
        <f>B16*5</f>
        <v>0</v>
      </c>
    </row>
    <row r="17" spans="1:8" x14ac:dyDescent="0.3">
      <c r="A17" s="170" t="s">
        <v>159</v>
      </c>
      <c r="B17" s="171">
        <v>1</v>
      </c>
      <c r="C17" s="76">
        <v>1</v>
      </c>
      <c r="D17" s="172"/>
      <c r="E17" s="121"/>
      <c r="G17" s="173">
        <v>110</v>
      </c>
    </row>
    <row r="18" spans="1:8" x14ac:dyDescent="0.3">
      <c r="A18" s="427" t="s">
        <v>211</v>
      </c>
      <c r="B18" s="310">
        <v>1</v>
      </c>
      <c r="C18" s="76">
        <v>0</v>
      </c>
      <c r="D18" s="172"/>
      <c r="E18" s="121"/>
      <c r="F18"/>
      <c r="G18" s="173">
        <v>200</v>
      </c>
    </row>
    <row r="19" spans="1:8" x14ac:dyDescent="0.3">
      <c r="A19" s="170" t="s">
        <v>192</v>
      </c>
      <c r="B19" s="86" t="s">
        <v>168</v>
      </c>
      <c r="C19" s="76">
        <v>1</v>
      </c>
      <c r="D19" s="312"/>
      <c r="E19" s="78"/>
      <c r="G19" s="117">
        <v>50</v>
      </c>
    </row>
    <row r="20" spans="1:8" x14ac:dyDescent="0.3">
      <c r="A20" s="170" t="s">
        <v>169</v>
      </c>
      <c r="B20" s="171">
        <v>1</v>
      </c>
      <c r="C20" s="76">
        <v>5</v>
      </c>
      <c r="D20" s="172" t="s">
        <v>170</v>
      </c>
      <c r="E20" s="121"/>
      <c r="G20" s="173">
        <v>10</v>
      </c>
    </row>
    <row r="21" spans="1:8" x14ac:dyDescent="0.3">
      <c r="A21" s="170" t="s">
        <v>171</v>
      </c>
      <c r="B21" s="171">
        <v>1</v>
      </c>
      <c r="C21" s="76">
        <v>4</v>
      </c>
      <c r="D21" s="172" t="s">
        <v>172</v>
      </c>
      <c r="E21" s="121"/>
      <c r="G21" s="173">
        <v>1</v>
      </c>
    </row>
    <row r="22" spans="1:8" x14ac:dyDescent="0.3">
      <c r="A22" s="170" t="s">
        <v>143</v>
      </c>
      <c r="B22" s="171">
        <v>1</v>
      </c>
      <c r="C22" s="76">
        <v>4</v>
      </c>
      <c r="D22" s="172"/>
      <c r="E22" s="121"/>
      <c r="G22" s="173">
        <v>1</v>
      </c>
    </row>
    <row r="23" spans="1:8" x14ac:dyDescent="0.3">
      <c r="A23" s="170" t="s">
        <v>162</v>
      </c>
      <c r="B23" s="171">
        <v>5</v>
      </c>
      <c r="C23" s="76">
        <v>0</v>
      </c>
      <c r="D23" s="172"/>
      <c r="E23" s="121"/>
      <c r="G23" s="173">
        <f>B23</f>
        <v>5</v>
      </c>
    </row>
    <row r="24" spans="1:8" x14ac:dyDescent="0.3">
      <c r="A24" s="381" t="s">
        <v>181</v>
      </c>
      <c r="B24" s="382">
        <v>1</v>
      </c>
      <c r="C24" s="383">
        <v>20</v>
      </c>
      <c r="D24" s="384"/>
      <c r="E24" s="385"/>
      <c r="G24" s="386">
        <v>10</v>
      </c>
    </row>
    <row r="25" spans="1:8" ht="16.2" thickBot="1" x14ac:dyDescent="0.35">
      <c r="A25" s="79" t="s">
        <v>141</v>
      </c>
      <c r="B25" s="80">
        <v>1</v>
      </c>
      <c r="C25" s="88">
        <v>5</v>
      </c>
      <c r="D25" s="82"/>
      <c r="E25" s="83"/>
      <c r="G25" s="118">
        <v>1</v>
      </c>
      <c r="H25" s="122"/>
    </row>
    <row r="26" spans="1:8" ht="22.8" thickTop="1" thickBot="1" x14ac:dyDescent="0.35">
      <c r="A26" s="316" t="s">
        <v>178</v>
      </c>
      <c r="B26" s="315"/>
      <c r="C26" s="315"/>
      <c r="D26" s="316"/>
      <c r="E26" s="315"/>
      <c r="F26" s="295"/>
      <c r="G26" s="295">
        <v>2000</v>
      </c>
    </row>
    <row r="27" spans="1:8" ht="16.8" thickTop="1" thickBot="1" x14ac:dyDescent="0.35">
      <c r="A27" s="70" t="s">
        <v>64</v>
      </c>
      <c r="B27" s="70" t="s">
        <v>3</v>
      </c>
      <c r="C27" s="71" t="s">
        <v>21</v>
      </c>
      <c r="D27" s="72" t="s">
        <v>65</v>
      </c>
      <c r="E27" s="73" t="s">
        <v>66</v>
      </c>
      <c r="G27" s="120" t="s">
        <v>91</v>
      </c>
    </row>
    <row r="28" spans="1:8" x14ac:dyDescent="0.3">
      <c r="A28" s="170" t="s">
        <v>163</v>
      </c>
      <c r="B28" s="86">
        <v>1</v>
      </c>
      <c r="C28" s="87">
        <v>5</v>
      </c>
      <c r="D28" s="312"/>
      <c r="E28" s="78"/>
      <c r="G28" s="173">
        <v>10</v>
      </c>
    </row>
    <row r="29" spans="1:8" x14ac:dyDescent="0.3">
      <c r="A29" s="170" t="s">
        <v>195</v>
      </c>
      <c r="B29" s="86">
        <v>1</v>
      </c>
      <c r="C29" s="87">
        <v>1</v>
      </c>
      <c r="D29" s="172" t="s">
        <v>196</v>
      </c>
      <c r="E29" s="78"/>
      <c r="G29" s="173">
        <v>1</v>
      </c>
    </row>
    <row r="30" spans="1:8" x14ac:dyDescent="0.3">
      <c r="A30" s="170" t="s">
        <v>197</v>
      </c>
      <c r="B30" s="86">
        <v>1</v>
      </c>
      <c r="C30" s="87">
        <v>0.5</v>
      </c>
      <c r="D30" s="172"/>
      <c r="E30" s="78"/>
      <c r="G30" s="173">
        <v>1</v>
      </c>
    </row>
    <row r="31" spans="1:8" x14ac:dyDescent="0.3">
      <c r="A31" s="170" t="s">
        <v>198</v>
      </c>
      <c r="B31" s="86">
        <v>12</v>
      </c>
      <c r="C31" s="87">
        <f>B31/12</f>
        <v>1</v>
      </c>
      <c r="D31" s="172" t="s">
        <v>199</v>
      </c>
      <c r="E31" s="78"/>
      <c r="G31" s="173">
        <f>B31/12</f>
        <v>1</v>
      </c>
    </row>
    <row r="32" spans="1:8" x14ac:dyDescent="0.3">
      <c r="A32" s="170" t="s">
        <v>205</v>
      </c>
      <c r="B32" s="171">
        <v>1</v>
      </c>
      <c r="C32" s="76">
        <v>0</v>
      </c>
      <c r="D32" s="172" t="s">
        <v>206</v>
      </c>
      <c r="E32" s="121"/>
      <c r="F32"/>
      <c r="G32" s="313">
        <v>0</v>
      </c>
      <c r="H32" s="122"/>
    </row>
    <row r="33" spans="1:8" x14ac:dyDescent="0.3">
      <c r="A33" s="170" t="s">
        <v>140</v>
      </c>
      <c r="B33" s="171">
        <v>2</v>
      </c>
      <c r="C33" s="76">
        <f>B33/10</f>
        <v>0.2</v>
      </c>
      <c r="D33" s="172"/>
      <c r="E33" s="121"/>
      <c r="G33" s="173">
        <f>50*B33</f>
        <v>100</v>
      </c>
      <c r="H33" s="122"/>
    </row>
    <row r="34" spans="1:8" x14ac:dyDescent="0.3">
      <c r="A34" s="170" t="s">
        <v>213</v>
      </c>
      <c r="B34" s="171">
        <v>10</v>
      </c>
      <c r="C34" s="76">
        <f>B34*0.1</f>
        <v>1</v>
      </c>
      <c r="D34" s="172"/>
      <c r="E34" s="121"/>
      <c r="G34" s="173">
        <v>0</v>
      </c>
      <c r="H34" s="122"/>
    </row>
    <row r="35" spans="1:8" x14ac:dyDescent="0.3">
      <c r="A35" s="170" t="s">
        <v>139</v>
      </c>
      <c r="B35" s="171">
        <v>4</v>
      </c>
      <c r="C35" s="76">
        <v>0</v>
      </c>
      <c r="D35" s="172"/>
      <c r="E35" s="121"/>
      <c r="G35" s="173">
        <v>0</v>
      </c>
      <c r="H35" s="122"/>
    </row>
    <row r="36" spans="1:8" x14ac:dyDescent="0.3">
      <c r="A36" s="170" t="s">
        <v>208</v>
      </c>
      <c r="B36" s="171">
        <v>1</v>
      </c>
      <c r="C36" s="76">
        <v>3</v>
      </c>
      <c r="D36" s="172" t="s">
        <v>136</v>
      </c>
      <c r="E36" s="121"/>
      <c r="G36" s="173">
        <v>15</v>
      </c>
      <c r="H36" s="122"/>
    </row>
    <row r="37" spans="1:8" x14ac:dyDescent="0.3">
      <c r="A37" s="170" t="s">
        <v>209</v>
      </c>
      <c r="B37" s="171">
        <v>1</v>
      </c>
      <c r="C37" s="76">
        <v>3</v>
      </c>
      <c r="D37" s="172" t="s">
        <v>136</v>
      </c>
      <c r="E37" s="121"/>
      <c r="G37" s="173">
        <v>15</v>
      </c>
      <c r="H37" s="122"/>
    </row>
    <row r="38" spans="1:8" x14ac:dyDescent="0.3">
      <c r="A38" s="170" t="s">
        <v>161</v>
      </c>
      <c r="B38" s="171">
        <v>1</v>
      </c>
      <c r="C38" s="76">
        <v>1</v>
      </c>
      <c r="D38" s="172"/>
      <c r="E38" s="121"/>
      <c r="G38" s="173">
        <v>30</v>
      </c>
      <c r="H38" s="122"/>
    </row>
    <row r="39" spans="1:8" x14ac:dyDescent="0.3">
      <c r="A39" s="170" t="s">
        <v>160</v>
      </c>
      <c r="B39" s="171">
        <v>1</v>
      </c>
      <c r="C39" s="76">
        <v>4</v>
      </c>
      <c r="D39" s="172"/>
      <c r="E39" s="121"/>
      <c r="G39" s="173">
        <v>50</v>
      </c>
      <c r="H39" s="122"/>
    </row>
    <row r="40" spans="1:8" x14ac:dyDescent="0.3">
      <c r="A40" s="170" t="s">
        <v>175</v>
      </c>
      <c r="B40" s="171">
        <v>1</v>
      </c>
      <c r="C40" s="76">
        <v>5</v>
      </c>
      <c r="D40" s="172"/>
      <c r="E40" s="121"/>
      <c r="G40" s="173">
        <v>80</v>
      </c>
      <c r="H40" s="122"/>
    </row>
    <row r="41" spans="1:8" x14ac:dyDescent="0.3">
      <c r="A41" s="170" t="s">
        <v>176</v>
      </c>
      <c r="B41" s="171">
        <v>1</v>
      </c>
      <c r="C41" s="76">
        <v>1</v>
      </c>
      <c r="D41" s="172"/>
      <c r="E41" s="121"/>
      <c r="G41" s="173">
        <v>50</v>
      </c>
      <c r="H41" s="122"/>
    </row>
    <row r="42" spans="1:8" x14ac:dyDescent="0.3">
      <c r="A42" s="170" t="s">
        <v>173</v>
      </c>
      <c r="B42" s="171">
        <v>1</v>
      </c>
      <c r="C42" s="76">
        <v>1</v>
      </c>
      <c r="D42" s="172"/>
      <c r="E42" s="121"/>
      <c r="G42" s="173">
        <v>25</v>
      </c>
      <c r="H42" s="122"/>
    </row>
    <row r="43" spans="1:8" x14ac:dyDescent="0.3">
      <c r="A43" s="170" t="s">
        <v>174</v>
      </c>
      <c r="B43" s="171">
        <v>1</v>
      </c>
      <c r="C43" s="76">
        <v>2</v>
      </c>
      <c r="D43" s="172"/>
      <c r="E43" s="121"/>
      <c r="G43" s="173">
        <v>15</v>
      </c>
      <c r="H43" s="122"/>
    </row>
    <row r="44" spans="1:8" x14ac:dyDescent="0.3">
      <c r="A44" s="170" t="s">
        <v>188</v>
      </c>
      <c r="B44" s="171">
        <v>1</v>
      </c>
      <c r="C44" s="76">
        <v>0.5</v>
      </c>
      <c r="D44" s="172"/>
      <c r="E44" s="121"/>
      <c r="G44" s="173">
        <v>20</v>
      </c>
      <c r="H44" s="122"/>
    </row>
    <row r="45" spans="1:8" x14ac:dyDescent="0.3">
      <c r="A45" s="170" t="s">
        <v>185</v>
      </c>
      <c r="B45" s="171">
        <v>1</v>
      </c>
      <c r="C45" s="76">
        <v>0</v>
      </c>
      <c r="D45" s="172"/>
      <c r="E45" s="121"/>
      <c r="G45" s="173">
        <v>1</v>
      </c>
      <c r="H45" s="122"/>
    </row>
    <row r="46" spans="1:8" x14ac:dyDescent="0.3">
      <c r="A46" s="170" t="s">
        <v>189</v>
      </c>
      <c r="B46" s="171">
        <v>1</v>
      </c>
      <c r="C46" s="76">
        <v>0.5</v>
      </c>
      <c r="D46" s="172"/>
      <c r="E46" s="121"/>
      <c r="G46" s="311">
        <f>B46/10</f>
        <v>0.1</v>
      </c>
      <c r="H46" s="122"/>
    </row>
    <row r="47" spans="1:8" x14ac:dyDescent="0.3">
      <c r="A47" s="170" t="s">
        <v>158</v>
      </c>
      <c r="B47" s="171">
        <v>2</v>
      </c>
      <c r="C47" s="76">
        <f>B47</f>
        <v>2</v>
      </c>
      <c r="D47" s="172"/>
      <c r="E47" s="121"/>
      <c r="F47"/>
      <c r="G47" s="173">
        <f>25*B47</f>
        <v>50</v>
      </c>
      <c r="H47" s="122"/>
    </row>
    <row r="48" spans="1:8" x14ac:dyDescent="0.3">
      <c r="A48" s="170" t="s">
        <v>202</v>
      </c>
      <c r="B48" s="171">
        <v>1</v>
      </c>
      <c r="C48" s="76">
        <v>0</v>
      </c>
      <c r="D48" s="172" t="s">
        <v>203</v>
      </c>
      <c r="E48" s="121"/>
      <c r="F48"/>
      <c r="G48" s="313">
        <v>0</v>
      </c>
      <c r="H48" s="122"/>
    </row>
    <row r="49" spans="1:8" x14ac:dyDescent="0.3">
      <c r="A49" s="170" t="s">
        <v>204</v>
      </c>
      <c r="B49" s="171">
        <v>1</v>
      </c>
      <c r="C49" s="76">
        <v>0</v>
      </c>
      <c r="D49" s="172"/>
      <c r="E49" s="121"/>
      <c r="F49"/>
      <c r="G49" s="313">
        <v>0</v>
      </c>
      <c r="H49" s="122"/>
    </row>
    <row r="50" spans="1:8" x14ac:dyDescent="0.3">
      <c r="A50" s="170" t="s">
        <v>182</v>
      </c>
      <c r="B50" s="86">
        <v>1</v>
      </c>
      <c r="C50" s="87">
        <v>5</v>
      </c>
      <c r="D50" s="312"/>
      <c r="E50" s="78"/>
      <c r="G50" s="173">
        <v>4</v>
      </c>
    </row>
    <row r="51" spans="1:8" x14ac:dyDescent="0.3">
      <c r="A51" s="170" t="s">
        <v>183</v>
      </c>
      <c r="B51" s="86">
        <v>1</v>
      </c>
      <c r="C51" s="87">
        <v>5</v>
      </c>
      <c r="D51" s="312"/>
      <c r="E51" s="78"/>
      <c r="G51" s="173">
        <v>2</v>
      </c>
    </row>
    <row r="52" spans="1:8" x14ac:dyDescent="0.3">
      <c r="A52" s="170" t="s">
        <v>184</v>
      </c>
      <c r="B52" s="86">
        <v>1</v>
      </c>
      <c r="C52" s="87">
        <v>2</v>
      </c>
      <c r="D52" s="312"/>
      <c r="E52" s="78"/>
      <c r="G52" s="311">
        <v>0.5</v>
      </c>
    </row>
    <row r="53" spans="1:8" x14ac:dyDescent="0.3">
      <c r="A53" s="170" t="s">
        <v>164</v>
      </c>
      <c r="B53" s="86">
        <v>1</v>
      </c>
      <c r="C53" s="87">
        <v>1</v>
      </c>
      <c r="D53" s="312"/>
      <c r="E53" s="78"/>
      <c r="G53" s="173">
        <v>1</v>
      </c>
    </row>
    <row r="54" spans="1:8" x14ac:dyDescent="0.3">
      <c r="A54" s="170" t="s">
        <v>165</v>
      </c>
      <c r="B54" s="86">
        <v>1</v>
      </c>
      <c r="C54" s="87">
        <v>1</v>
      </c>
      <c r="D54" s="312"/>
      <c r="E54" s="78"/>
      <c r="G54" s="313">
        <f>6*0.05</f>
        <v>0.30000000000000004</v>
      </c>
    </row>
    <row r="55" spans="1:8" x14ac:dyDescent="0.3">
      <c r="A55" s="170" t="s">
        <v>138</v>
      </c>
      <c r="B55" s="171">
        <v>4</v>
      </c>
      <c r="C55" s="76">
        <f>B55/10</f>
        <v>0.4</v>
      </c>
      <c r="D55" s="172"/>
      <c r="E55" s="121"/>
      <c r="G55" s="173">
        <f>8*B55</f>
        <v>32</v>
      </c>
      <c r="H55" s="122"/>
    </row>
    <row r="56" spans="1:8" x14ac:dyDescent="0.3">
      <c r="A56" s="170" t="s">
        <v>166</v>
      </c>
      <c r="B56" s="86">
        <v>20</v>
      </c>
      <c r="C56" s="305">
        <f>B56/1000</f>
        <v>0.02</v>
      </c>
      <c r="D56" s="312"/>
      <c r="E56" s="78"/>
      <c r="G56" s="311">
        <f>0.5*B56</f>
        <v>10</v>
      </c>
    </row>
    <row r="57" spans="1:8" x14ac:dyDescent="0.3">
      <c r="A57" s="170" t="s">
        <v>142</v>
      </c>
      <c r="B57" s="86">
        <v>1</v>
      </c>
      <c r="C57" s="87">
        <v>3</v>
      </c>
      <c r="D57" s="312"/>
      <c r="E57" s="78"/>
      <c r="G57" s="173">
        <v>0.5</v>
      </c>
    </row>
    <row r="58" spans="1:8" x14ac:dyDescent="0.3">
      <c r="A58" s="170" t="s">
        <v>144</v>
      </c>
      <c r="B58" s="86">
        <v>1</v>
      </c>
      <c r="C58" s="87">
        <v>5</v>
      </c>
      <c r="D58" s="312"/>
      <c r="E58" s="78"/>
      <c r="G58" s="173">
        <v>55</v>
      </c>
    </row>
    <row r="59" spans="1:8" x14ac:dyDescent="0.3">
      <c r="A59" s="170" t="s">
        <v>145</v>
      </c>
      <c r="B59" s="86">
        <v>10</v>
      </c>
      <c r="C59" s="87">
        <f>B59</f>
        <v>10</v>
      </c>
      <c r="D59" s="312"/>
      <c r="E59" s="78"/>
      <c r="G59" s="173">
        <f>B59</f>
        <v>10</v>
      </c>
    </row>
    <row r="60" spans="1:8" x14ac:dyDescent="0.3">
      <c r="A60" s="170" t="s">
        <v>146</v>
      </c>
      <c r="B60" s="171">
        <v>5</v>
      </c>
      <c r="C60" s="76">
        <f>B60</f>
        <v>5</v>
      </c>
      <c r="D60" s="172"/>
      <c r="E60" s="121"/>
      <c r="G60" s="311">
        <f>B60/20</f>
        <v>0.25</v>
      </c>
    </row>
    <row r="61" spans="1:8" x14ac:dyDescent="0.3">
      <c r="A61" s="170" t="s">
        <v>147</v>
      </c>
      <c r="B61" s="86">
        <v>1</v>
      </c>
      <c r="C61" s="87">
        <v>0</v>
      </c>
      <c r="D61" s="312"/>
      <c r="E61" s="78"/>
      <c r="G61" s="311">
        <v>0.1</v>
      </c>
    </row>
    <row r="62" spans="1:8" x14ac:dyDescent="0.3">
      <c r="A62" s="170" t="s">
        <v>148</v>
      </c>
      <c r="B62" s="86">
        <v>1</v>
      </c>
      <c r="C62" s="87">
        <v>10</v>
      </c>
      <c r="D62" s="312"/>
      <c r="E62" s="78"/>
      <c r="G62" s="173">
        <v>5</v>
      </c>
    </row>
    <row r="63" spans="1:8" x14ac:dyDescent="0.3">
      <c r="A63" s="170" t="s">
        <v>149</v>
      </c>
      <c r="B63" s="171">
        <v>1</v>
      </c>
      <c r="C63" s="76">
        <v>10</v>
      </c>
      <c r="D63" s="172"/>
      <c r="E63" s="121"/>
      <c r="G63" s="173">
        <v>1</v>
      </c>
    </row>
    <row r="64" spans="1:8" x14ac:dyDescent="0.3">
      <c r="A64" s="170" t="s">
        <v>150</v>
      </c>
      <c r="B64" s="171">
        <v>1</v>
      </c>
      <c r="C64" s="76">
        <v>8</v>
      </c>
      <c r="D64" s="172"/>
      <c r="E64" s="121"/>
      <c r="G64" s="173">
        <v>2</v>
      </c>
    </row>
    <row r="65" spans="1:7" x14ac:dyDescent="0.3">
      <c r="A65" s="170" t="s">
        <v>153</v>
      </c>
      <c r="B65" s="171">
        <v>1</v>
      </c>
      <c r="C65" s="76">
        <v>4</v>
      </c>
      <c r="D65" s="172"/>
      <c r="E65" s="121"/>
      <c r="G65" s="173">
        <v>1</v>
      </c>
    </row>
    <row r="66" spans="1:7" x14ac:dyDescent="0.3">
      <c r="A66" s="170" t="s">
        <v>95</v>
      </c>
      <c r="B66" s="171">
        <v>1</v>
      </c>
      <c r="C66" s="76">
        <v>5</v>
      </c>
      <c r="D66" s="172" t="s">
        <v>154</v>
      </c>
      <c r="E66" s="121"/>
      <c r="G66" s="173">
        <v>2</v>
      </c>
    </row>
    <row r="67" spans="1:7" x14ac:dyDescent="0.3">
      <c r="A67" s="170" t="s">
        <v>95</v>
      </c>
      <c r="B67" s="171">
        <v>1</v>
      </c>
      <c r="C67" s="76">
        <v>5</v>
      </c>
      <c r="D67" s="172" t="s">
        <v>155</v>
      </c>
      <c r="E67" s="121"/>
      <c r="G67" s="173">
        <v>2</v>
      </c>
    </row>
    <row r="68" spans="1:7" ht="16.2" thickBot="1" x14ac:dyDescent="0.35">
      <c r="A68" s="79" t="s">
        <v>156</v>
      </c>
      <c r="B68" s="80">
        <v>5</v>
      </c>
      <c r="C68" s="88">
        <f>B68</f>
        <v>5</v>
      </c>
      <c r="D68" s="82"/>
      <c r="E68" s="83"/>
      <c r="G68" s="293">
        <f>B68/2</f>
        <v>2.5</v>
      </c>
    </row>
    <row r="69" spans="1:7" ht="16.8" thickTop="1" thickBot="1" x14ac:dyDescent="0.35">
      <c r="A69" s="294" t="s">
        <v>179</v>
      </c>
      <c r="B69" s="317">
        <f>C69/120</f>
        <v>0.96766666666666667</v>
      </c>
      <c r="C69" s="71">
        <f>SUM(C28:C68)</f>
        <v>116.12</v>
      </c>
    </row>
    <row r="70" spans="1:7" x14ac:dyDescent="0.3">
      <c r="E70" s="49" t="s">
        <v>93</v>
      </c>
      <c r="G70" s="314">
        <f>SUM(G3:G68,Martial!M3:M45)</f>
        <v>8996.25</v>
      </c>
    </row>
    <row r="71" spans="1:7" x14ac:dyDescent="0.3">
      <c r="E71" s="49" t="s">
        <v>177</v>
      </c>
      <c r="G71" s="325">
        <v>49000</v>
      </c>
    </row>
  </sheetData>
  <sortState xmlns:xlrd2="http://schemas.microsoft.com/office/spreadsheetml/2017/richdata2" ref="A13:G19">
    <sortCondition ref="A13:A19"/>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Spellcasting</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2022-03-06T12:37:10Z</dcterms:modified>
</cp:coreProperties>
</file>