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mc:AlternateContent xmlns:mc="http://schemas.openxmlformats.org/markup-compatibility/2006">
    <mc:Choice Requires="x15">
      <x15ac:absPath xmlns:x15ac="http://schemas.microsoft.com/office/spreadsheetml/2010/11/ac" url="C:\A\Juegos\FoL\NPCs\"/>
    </mc:Choice>
  </mc:AlternateContent>
  <xr:revisionPtr revIDLastSave="0" documentId="13_ncr:1_{5CF6D48A-189D-4F12-912C-4A2029D5EC88}" xr6:coauthVersionLast="47" xr6:coauthVersionMax="47" xr10:uidLastSave="{00000000-0000-0000-0000-000000000000}"/>
  <bookViews>
    <workbookView xWindow="-108" yWindow="-108" windowWidth="23256" windowHeight="13176" tabRatio="638" xr2:uid="{00000000-000D-0000-FFFF-FFFF00000000}"/>
  </bookViews>
  <sheets>
    <sheet name="Personal File" sheetId="4" r:id="rId1"/>
    <sheet name="Skills" sheetId="15" r:id="rId2"/>
    <sheet name="Spells" sheetId="18" r:id="rId3"/>
    <sheet name="Spellcasting" sheetId="30" r:id="rId4"/>
    <sheet name="Feats" sheetId="26" r:id="rId5"/>
    <sheet name="Martial" sheetId="6" r:id="rId6"/>
    <sheet name="Equipment" sheetId="19" r:id="rId7"/>
  </sheets>
  <externalReferences>
    <externalReference r:id="rId8"/>
  </externalReferences>
  <definedNames>
    <definedName name="NoShade">'[1]Spell Sheet'!$FH$1</definedName>
    <definedName name="OLE_LINK1" localSheetId="4">Feats!#REF!</definedName>
    <definedName name="OLE_LINK1" localSheetId="3">Spellcasting!#REF!</definedName>
    <definedName name="_xlnm.Print_Area" localSheetId="6">Equipment!#REF!</definedName>
    <definedName name="_xlnm.Print_Area" localSheetId="4">Feats!#REF!</definedName>
    <definedName name="_xlnm.Print_Area" localSheetId="5">Martial!#REF!</definedName>
    <definedName name="_xlnm.Print_Area" localSheetId="0">'Personal File'!$A$1:$H$64</definedName>
    <definedName name="_xlnm.Print_Area" localSheetId="1">Skills!$A$1:$K$29</definedName>
    <definedName name="_xlnm.Print_Area" localSheetId="3">Spellcasting!#REF!</definedName>
    <definedName name="_xlnm.Print_Area" localSheetId="2">Spells!$A$1:$H$4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3" i="15" l="1"/>
  <c r="C17" i="6"/>
  <c r="B5" i="15"/>
  <c r="B4" i="15"/>
  <c r="B3" i="15"/>
  <c r="B9" i="4"/>
  <c r="F46" i="15" l="1"/>
  <c r="F16" i="15"/>
  <c r="F9" i="15"/>
  <c r="K6" i="30"/>
  <c r="J6" i="30"/>
  <c r="I6" i="30"/>
  <c r="H6" i="30"/>
  <c r="G6" i="30"/>
  <c r="F6" i="30"/>
  <c r="E6" i="30"/>
  <c r="D6" i="30"/>
  <c r="C6" i="30"/>
  <c r="B6" i="30"/>
  <c r="H10" i="15"/>
  <c r="B47" i="15" l="1"/>
  <c r="H39" i="15"/>
  <c r="H38" i="15"/>
  <c r="H37" i="15"/>
  <c r="H41" i="15" l="1"/>
  <c r="H27" i="15"/>
  <c r="H24" i="15"/>
  <c r="I20" i="6" l="1"/>
  <c r="F44" i="15" l="1"/>
  <c r="F35" i="15"/>
  <c r="F28" i="15"/>
  <c r="F21" i="15"/>
  <c r="F7" i="15"/>
  <c r="E56" i="15"/>
  <c r="H45" i="15"/>
  <c r="H44" i="15"/>
  <c r="H43" i="15"/>
  <c r="H42" i="15"/>
  <c r="H40" i="15"/>
  <c r="H36" i="15"/>
  <c r="H35" i="15"/>
  <c r="H34" i="15"/>
  <c r="H33" i="15"/>
  <c r="H32" i="15"/>
  <c r="H31" i="15"/>
  <c r="H30" i="15"/>
  <c r="H29" i="15"/>
  <c r="H28" i="15"/>
  <c r="H26" i="15"/>
  <c r="H25" i="15"/>
  <c r="H23" i="15"/>
  <c r="H22" i="15"/>
  <c r="H21" i="15"/>
  <c r="H20" i="15"/>
  <c r="H19" i="15"/>
  <c r="H18" i="15"/>
  <c r="H17" i="15"/>
  <c r="H16" i="15"/>
  <c r="H15" i="15"/>
  <c r="H14" i="15"/>
  <c r="H13" i="15"/>
  <c r="H12" i="15"/>
  <c r="H11" i="15"/>
  <c r="H9" i="15"/>
  <c r="H8" i="15"/>
  <c r="C34" i="19" l="1"/>
  <c r="C47" i="19" l="1"/>
  <c r="G60" i="19"/>
  <c r="G47" i="19"/>
  <c r="I18" i="6"/>
  <c r="I12" i="6" l="1"/>
  <c r="I10" i="6"/>
  <c r="I9" i="6"/>
  <c r="I7" i="6"/>
  <c r="I4" i="6"/>
  <c r="I3" i="6" l="1"/>
  <c r="G31" i="19" l="1"/>
  <c r="C31" i="19" l="1"/>
  <c r="G16" i="19" l="1"/>
  <c r="C15" i="19"/>
  <c r="C16" i="19"/>
  <c r="H16" i="6" l="1"/>
  <c r="G9" i="19" l="1"/>
  <c r="G46" i="19"/>
  <c r="G56" i="19"/>
  <c r="C56" i="19"/>
  <c r="H7" i="15" l="1"/>
  <c r="C60" i="19" l="1"/>
  <c r="G54" i="19" l="1"/>
  <c r="I6" i="6"/>
  <c r="G23" i="19"/>
  <c r="G68" i="19" l="1"/>
  <c r="C68" i="19"/>
  <c r="G59" i="19"/>
  <c r="C59" i="19"/>
  <c r="G55" i="19"/>
  <c r="G33" i="19"/>
  <c r="G70" i="19" s="1"/>
  <c r="C33" i="19"/>
  <c r="C55" i="19"/>
  <c r="G15" i="19"/>
  <c r="I19" i="6"/>
  <c r="C69" i="19" l="1"/>
  <c r="B69" i="19" s="1"/>
  <c r="E12" i="4"/>
  <c r="H3" i="15"/>
  <c r="H4" i="15"/>
  <c r="H5" i="15"/>
  <c r="I17" i="6" l="1"/>
  <c r="I21" i="6" l="1"/>
  <c r="I16" i="6"/>
  <c r="I13" i="6"/>
  <c r="J16" i="6" l="1"/>
  <c r="I11" i="6" l="1"/>
  <c r="C16" i="4" l="1"/>
  <c r="C15" i="4"/>
  <c r="C14" i="4"/>
  <c r="C13" i="4"/>
  <c r="E13" i="4" s="1"/>
  <c r="C12" i="4"/>
  <c r="C11" i="4"/>
  <c r="O3" i="30" l="1"/>
  <c r="F7" i="30"/>
  <c r="C7" i="30"/>
  <c r="B7" i="30"/>
  <c r="O4" i="30"/>
  <c r="E7" i="30"/>
  <c r="O5" i="30"/>
  <c r="D7" i="30"/>
  <c r="K7" i="30"/>
  <c r="J7" i="30"/>
  <c r="I7" i="30"/>
  <c r="H7" i="30"/>
  <c r="G7" i="30"/>
  <c r="E53" i="15"/>
  <c r="E51" i="15"/>
  <c r="D38" i="15"/>
  <c r="E52" i="15"/>
  <c r="E55" i="15"/>
  <c r="D39" i="15"/>
  <c r="E50" i="15"/>
  <c r="E48" i="15"/>
  <c r="D37" i="15"/>
  <c r="E49" i="15"/>
  <c r="B10" i="4"/>
  <c r="D23" i="15"/>
  <c r="E23" i="15" s="1"/>
  <c r="D24" i="15"/>
  <c r="E14" i="4"/>
  <c r="H20" i="6"/>
  <c r="J20" i="6" s="1"/>
  <c r="D26" i="15"/>
  <c r="E54" i="15"/>
  <c r="H13" i="6"/>
  <c r="J13" i="6" s="1"/>
  <c r="E16" i="4"/>
  <c r="E15" i="4" s="1"/>
  <c r="H18" i="6"/>
  <c r="J18" i="6" s="1"/>
  <c r="H3" i="6"/>
  <c r="H6" i="6"/>
  <c r="H11" i="6"/>
  <c r="H9" i="6"/>
  <c r="H19" i="6"/>
  <c r="J19" i="6" s="1"/>
  <c r="D25" i="15"/>
  <c r="D3" i="15"/>
  <c r="D10" i="15"/>
  <c r="E10" i="15" s="1"/>
  <c r="D4" i="15"/>
  <c r="D21" i="15"/>
  <c r="E21" i="15" s="1"/>
  <c r="D35" i="15"/>
  <c r="E35" i="15" s="1"/>
  <c r="D7" i="15"/>
  <c r="E7" i="15" s="1"/>
  <c r="D28" i="15"/>
  <c r="E28" i="15" s="1"/>
  <c r="D44" i="15"/>
  <c r="E44" i="15" s="1"/>
  <c r="D29" i="15"/>
  <c r="E29" i="15" s="1"/>
  <c r="D46" i="15"/>
  <c r="E46" i="15" s="1"/>
  <c r="D16" i="15"/>
  <c r="E16" i="15" s="1"/>
  <c r="D32" i="15"/>
  <c r="E32" i="15" s="1"/>
  <c r="D8" i="15"/>
  <c r="E8" i="15" s="1"/>
  <c r="D22" i="15"/>
  <c r="E22" i="15" s="1"/>
  <c r="D18" i="15"/>
  <c r="E18" i="15" s="1"/>
  <c r="D15" i="15"/>
  <c r="E15" i="15" s="1"/>
  <c r="D13" i="15"/>
  <c r="E13" i="15" s="1"/>
  <c r="D19" i="15"/>
  <c r="E19" i="15" s="1"/>
  <c r="D30" i="15"/>
  <c r="E30" i="15" s="1"/>
  <c r="D45" i="15"/>
  <c r="E45" i="15" s="1"/>
  <c r="D34" i="15"/>
  <c r="E34" i="15" s="1"/>
  <c r="D5" i="15"/>
  <c r="D31" i="15"/>
  <c r="E31" i="15" s="1"/>
  <c r="D20" i="15"/>
  <c r="E20" i="15" s="1"/>
  <c r="D42" i="15"/>
  <c r="E42" i="15" s="1"/>
  <c r="D27" i="15"/>
  <c r="E27" i="15" s="1"/>
  <c r="D41" i="15"/>
  <c r="E41" i="15" s="1"/>
  <c r="D43" i="15"/>
  <c r="E43" i="15" s="1"/>
  <c r="D9" i="15"/>
  <c r="E9" i="15" s="1"/>
  <c r="D6" i="15"/>
  <c r="E6" i="15" s="1"/>
  <c r="D14" i="15"/>
  <c r="E14" i="15" s="1"/>
  <c r="D11" i="15"/>
  <c r="E11" i="15" s="1"/>
  <c r="D17" i="15"/>
  <c r="E17" i="15" s="1"/>
  <c r="D40" i="15"/>
  <c r="E40" i="15" s="1"/>
  <c r="D12" i="15"/>
  <c r="E12" i="15" s="1"/>
  <c r="D36" i="15"/>
  <c r="E36" i="15" s="1"/>
  <c r="D33" i="15"/>
  <c r="E33" i="15" s="1"/>
  <c r="H17" i="6"/>
  <c r="J17" i="6" s="1"/>
  <c r="H21" i="6"/>
  <c r="J21" i="6" s="1"/>
  <c r="H46" i="15"/>
  <c r="H6" i="15"/>
  <c r="E38" i="15" l="1"/>
  <c r="G38" i="15"/>
  <c r="I38" i="15" s="1"/>
  <c r="G37" i="15"/>
  <c r="I37" i="15" s="1"/>
  <c r="E37" i="15"/>
  <c r="G39" i="15"/>
  <c r="I39" i="15" s="1"/>
  <c r="E39" i="15"/>
  <c r="E24" i="15"/>
  <c r="G24" i="15"/>
  <c r="I24" i="15" s="1"/>
  <c r="E26" i="15"/>
  <c r="G26" i="15"/>
  <c r="I26" i="15" s="1"/>
  <c r="H12" i="6"/>
  <c r="J12" i="6" s="1"/>
  <c r="J11" i="6"/>
  <c r="H10" i="6"/>
  <c r="J10" i="6" s="1"/>
  <c r="J9" i="6"/>
  <c r="H7" i="6"/>
  <c r="J7" i="6" s="1"/>
  <c r="J6" i="6"/>
  <c r="H4" i="6"/>
  <c r="J4" i="6" s="1"/>
  <c r="J3" i="6"/>
  <c r="E25" i="15"/>
  <c r="G25" i="15"/>
  <c r="I25" i="15" s="1"/>
  <c r="E3" i="15"/>
  <c r="G3" i="15"/>
  <c r="I3" i="15" s="1"/>
  <c r="E4" i="15"/>
  <c r="G4" i="15"/>
  <c r="I4" i="15" s="1"/>
  <c r="E47" i="15"/>
  <c r="E5" i="15"/>
  <c r="G5" i="15"/>
  <c r="I5" i="15" s="1"/>
  <c r="G31" i="15" l="1"/>
  <c r="G8" i="15" l="1"/>
  <c r="G6" i="15"/>
  <c r="I6" i="15" s="1"/>
  <c r="G10" i="15"/>
  <c r="G16" i="15"/>
  <c r="G21" i="15"/>
  <c r="G28" i="15"/>
  <c r="I28" i="15" s="1"/>
  <c r="G46" i="15"/>
  <c r="G29" i="15"/>
  <c r="I29" i="15" s="1"/>
  <c r="G41" i="15"/>
  <c r="G19" i="15"/>
  <c r="G7" i="15"/>
  <c r="G17" i="15"/>
  <c r="G22" i="15"/>
  <c r="I31" i="15"/>
  <c r="G30" i="15"/>
  <c r="I30" i="15" s="1"/>
  <c r="G12" i="15"/>
  <c r="G45" i="15"/>
  <c r="G44" i="15"/>
  <c r="G40" i="15"/>
  <c r="G13" i="15"/>
  <c r="I13" i="15" s="1"/>
  <c r="G18" i="15"/>
  <c r="G23" i="15"/>
  <c r="G32" i="15"/>
  <c r="G14" i="15"/>
  <c r="G33" i="15"/>
  <c r="G36" i="15"/>
  <c r="G11" i="15"/>
  <c r="I11" i="15" s="1"/>
  <c r="G9" i="15"/>
  <c r="G15" i="15"/>
  <c r="G20" i="15"/>
  <c r="G27" i="15"/>
  <c r="G34" i="15"/>
  <c r="I34" i="15" s="1"/>
  <c r="G35" i="15"/>
  <c r="G43" i="15"/>
  <c r="I43" i="15" s="1"/>
  <c r="G42" i="15"/>
  <c r="I36" i="15" l="1"/>
  <c r="I12" i="15"/>
  <c r="I44" i="15"/>
  <c r="I9" i="15"/>
  <c r="I23" i="15"/>
  <c r="I7" i="15"/>
  <c r="I27" i="15"/>
  <c r="I15" i="15"/>
  <c r="I32" i="15"/>
  <c r="I18" i="15"/>
  <c r="I17" i="15"/>
  <c r="I19" i="15"/>
  <c r="I16" i="15"/>
  <c r="I42" i="15"/>
  <c r="I35" i="15"/>
  <c r="I14" i="15"/>
  <c r="I45" i="15"/>
  <c r="I46" i="15"/>
  <c r="I21" i="15"/>
  <c r="I33" i="15"/>
  <c r="I40" i="15"/>
  <c r="I20" i="15"/>
  <c r="I41" i="15"/>
  <c r="I22" i="15"/>
  <c r="I10" i="15"/>
  <c r="I8"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9" authorId="0" shapeId="0" xr:uid="{F9F071BE-64E9-4879-8C80-9D8FE6D282C5}">
      <text>
        <r>
          <rPr>
            <i/>
            <sz val="12"/>
            <color indexed="81"/>
            <rFont val="Times New Roman"/>
            <family val="1"/>
          </rPr>
          <t>divine favor +1
bane -1
haste +1</t>
        </r>
      </text>
    </comment>
    <comment ref="E9" authorId="0" shapeId="0" xr:uid="{81AC56B1-451D-49E3-AC58-FC737D4BB7C4}">
      <text>
        <r>
          <rPr>
            <b/>
            <sz val="12"/>
            <color indexed="81"/>
            <rFont val="Times New Roman"/>
            <family val="1"/>
          </rPr>
          <t>Extreme Leap (Skill Trick)</t>
        </r>
        <r>
          <rPr>
            <sz val="12"/>
            <color indexed="81"/>
            <rFont val="Times New Roman"/>
            <family val="1"/>
          </rPr>
          <t xml:space="preserve">
Your extraordinary leaping ability carries you over great distances.
</t>
        </r>
        <r>
          <rPr>
            <b/>
            <sz val="12"/>
            <color indexed="81"/>
            <rFont val="Times New Roman"/>
            <family val="1"/>
          </rPr>
          <t xml:space="preserve">Prerequisite:  </t>
        </r>
        <r>
          <rPr>
            <sz val="12"/>
            <color indexed="81"/>
            <rFont val="Times New Roman"/>
            <family val="1"/>
          </rPr>
          <t xml:space="preserve">Jump 5 ranks.
</t>
        </r>
        <r>
          <rPr>
            <b/>
            <sz val="12"/>
            <color indexed="81"/>
            <rFont val="Times New Roman"/>
            <family val="1"/>
          </rPr>
          <t xml:space="preserve">Benefit:  </t>
        </r>
        <r>
          <rPr>
            <sz val="12"/>
            <color indexed="81"/>
            <rFont val="Times New Roman"/>
            <family val="1"/>
          </rPr>
          <t>If you make a horizontal jump of at least 10 feet during your turn, you can spend a swift action to move an additional 10 feet on that turn.
Complete Scoundrel 86</t>
        </r>
      </text>
    </comment>
    <comment ref="B11" authorId="0" shapeId="0" xr:uid="{23F6553F-6567-4A45-A0E8-EDCC3FD3CB9C}">
      <text>
        <r>
          <rPr>
            <i/>
            <sz val="12"/>
            <color indexed="81"/>
            <rFont val="Times New Roman"/>
            <family val="1"/>
          </rPr>
          <t>bull’s strength +4
enlarge person +2
Brute Gauntlets +2, 3, or 4</t>
        </r>
      </text>
    </comment>
    <comment ref="E11" authorId="0" shapeId="0" xr:uid="{6A93A206-574E-4A9C-8CEA-F2D8D7023125}">
      <text>
        <r>
          <rPr>
            <sz val="12"/>
            <color indexed="81"/>
            <rFont val="Times New Roman"/>
            <family val="1"/>
          </rPr>
          <t>See PHB 162</t>
        </r>
      </text>
    </comment>
    <comment ref="B12" authorId="0" shapeId="0" xr:uid="{D5394AA1-02C5-43C0-8B4C-219D314E776F}">
      <text>
        <r>
          <rPr>
            <i/>
            <sz val="12"/>
            <color indexed="81"/>
            <rFont val="Times New Roman"/>
            <family val="1"/>
          </rPr>
          <t>enlarge person -2
Fatigue -2</t>
        </r>
      </text>
    </comment>
    <comment ref="E12" authorId="0" shapeId="0" xr:uid="{26CD1242-8118-49FE-A240-0D13C5069AD8}">
      <text>
        <r>
          <rPr>
            <sz val="12"/>
            <color indexed="81"/>
            <rFont val="Times New Roman"/>
            <family val="1"/>
          </rPr>
          <t>Haversack is 5 lbs.</t>
        </r>
      </text>
    </comment>
    <comment ref="E13" authorId="0" shapeId="0" xr:uid="{00000000-0006-0000-0000-000004000000}">
      <text>
        <r>
          <rPr>
            <sz val="12"/>
            <color indexed="81"/>
            <rFont val="Times New Roman"/>
            <family val="1"/>
          </rPr>
          <t>+[(4 * 8 Scout) * 75%]
+[(2 * 8 Ranger) * 75%]
+[(2 * 10 Fighter) * 75%]
+ (8 * 1 Con)
- (8 Quick)</t>
        </r>
      </text>
    </comment>
    <comment ref="E14" authorId="0" shapeId="0" xr:uid="{9400A056-C2BB-4FE5-823B-AEE1C062D298}">
      <text>
        <r>
          <rPr>
            <sz val="12"/>
            <color indexed="81"/>
            <rFont val="Times New Roman"/>
            <family val="1"/>
          </rPr>
          <t xml:space="preserve">Ring of Protection +2
</t>
        </r>
        <r>
          <rPr>
            <i/>
            <sz val="12"/>
            <color indexed="81"/>
            <rFont val="Times New Roman"/>
            <family val="1"/>
          </rPr>
          <t>haste +1
Enlarge Person -1</t>
        </r>
      </text>
    </comment>
    <comment ref="B16" authorId="0" shapeId="0" xr:uid="{DBF404F4-2ABD-4454-BB06-7FB1D56135CB}">
      <text>
        <r>
          <rPr>
            <sz val="12"/>
            <color indexed="81"/>
            <rFont val="Times New Roman"/>
            <family val="1"/>
          </rPr>
          <t>Cloak of Charisma +2</t>
        </r>
        <r>
          <rPr>
            <i/>
            <sz val="12"/>
            <color indexed="81"/>
            <rFont val="Times New Roman"/>
            <family val="1"/>
          </rPr>
          <t xml:space="preserve">
eagle’s splendor  +4</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3" authorId="0" shapeId="0" xr:uid="{9C797DDE-A4E0-49FE-BF06-AB22BB9B27F8}">
      <text>
        <r>
          <rPr>
            <sz val="12"/>
            <color indexed="81"/>
            <rFont val="Times New Roman"/>
            <family val="1"/>
          </rPr>
          <t>Plucky -1</t>
        </r>
      </text>
    </comment>
    <comment ref="F5" authorId="0" shapeId="0" xr:uid="{9AFC60A4-15E0-49C4-AB41-272E41F4CEBB}">
      <text>
        <r>
          <rPr>
            <sz val="12"/>
            <color indexed="81"/>
            <rFont val="Times New Roman"/>
            <family val="1"/>
          </rPr>
          <t>Plucky +1</t>
        </r>
      </text>
    </comment>
    <comment ref="F7" authorId="0" shapeId="0" xr:uid="{EEC338AA-01CF-4FC0-B86F-F8DF3D45F6DE}">
      <text>
        <r>
          <rPr>
            <sz val="12"/>
            <color indexed="81"/>
            <rFont val="Times New Roman"/>
            <family val="1"/>
          </rPr>
          <t>Tumble synergy +2
Armor penalty</t>
        </r>
      </text>
    </comment>
    <comment ref="F9" authorId="0" shapeId="0" xr:uid="{686101EC-6E1C-4E05-B080-675F438542E3}">
      <text>
        <r>
          <rPr>
            <sz val="12"/>
            <color indexed="81"/>
            <rFont val="Times New Roman"/>
            <family val="1"/>
          </rPr>
          <t>Armor penalty
Use Rope synergy +2</t>
        </r>
      </text>
    </comment>
    <comment ref="F16" authorId="0" shapeId="0" xr:uid="{189201B2-B933-4F74-8EFD-8BBE70E52F71}">
      <text>
        <r>
          <rPr>
            <sz val="12"/>
            <color indexed="81"/>
            <rFont val="Times New Roman"/>
            <family val="1"/>
          </rPr>
          <t>Armor penalty
Use Rope synergy +2</t>
        </r>
      </text>
    </comment>
    <comment ref="F20" authorId="0" shapeId="0" xr:uid="{9258D464-79FE-459C-B3AC-0C36D1D8220B}">
      <text>
        <r>
          <rPr>
            <sz val="12"/>
            <color indexed="81"/>
            <rFont val="Times New Roman"/>
            <family val="1"/>
          </rPr>
          <t>Healing Belt +2</t>
        </r>
      </text>
    </comment>
    <comment ref="F21" authorId="0" shapeId="0" xr:uid="{9BA237BF-295D-4B49-AC11-EFF3B517525F}">
      <text>
        <r>
          <rPr>
            <sz val="12"/>
            <color indexed="81"/>
            <rFont val="Times New Roman"/>
            <family val="1"/>
          </rPr>
          <t>Armor penalty</t>
        </r>
      </text>
    </comment>
    <comment ref="F23" authorId="0" shapeId="0" xr:uid="{9954535D-0B44-46E5-A949-8F12804A1892}">
      <text>
        <r>
          <rPr>
            <sz val="12"/>
            <color indexed="81"/>
            <rFont val="Times New Roman"/>
            <family val="1"/>
          </rPr>
          <t>Tumble synergy +2
Armor penalty
Speed bonus +8</t>
        </r>
      </text>
    </comment>
    <comment ref="F28" authorId="0" shapeId="0" xr:uid="{FEAABE47-FE22-4571-B027-838DB519F77D}">
      <text>
        <r>
          <rPr>
            <sz val="12"/>
            <color indexed="81"/>
            <rFont val="Times New Roman"/>
            <family val="1"/>
          </rPr>
          <t>Armor penalty</t>
        </r>
      </text>
    </comment>
    <comment ref="F35" authorId="0" shapeId="0" xr:uid="{590B8E20-33CF-45A1-9151-6E34B1F8BCD7}">
      <text>
        <r>
          <rPr>
            <sz val="12"/>
            <color indexed="81"/>
            <rFont val="Times New Roman"/>
            <family val="1"/>
          </rPr>
          <t>Armor penalty</t>
        </r>
      </text>
    </comment>
    <comment ref="F44" authorId="0" shapeId="0" xr:uid="{9B6B967C-7166-4A3D-A949-9124D3193379}">
      <text>
        <r>
          <rPr>
            <sz val="12"/>
            <color indexed="81"/>
            <rFont val="Times New Roman"/>
            <family val="1"/>
          </rPr>
          <t>Armor penalty
Jump synergy +2</t>
        </r>
      </text>
    </comment>
    <comment ref="F46" authorId="0" shapeId="0" xr:uid="{1BD0E9F5-4914-4E2B-9F86-75729A633CC0}">
      <text>
        <r>
          <rPr>
            <sz val="12"/>
            <color indexed="81"/>
            <rFont val="Times New Roman"/>
            <family val="1"/>
          </rPr>
          <t>Armor penalty
Escape Artist synergy +2</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2" authorId="0" shapeId="0" xr:uid="{21A4FBCD-C1DA-49E0-B8FA-8D3AA1CBE73D}">
      <text>
        <r>
          <rPr>
            <sz val="12"/>
            <color indexed="81"/>
            <rFont val="Times New Roman"/>
            <family val="1"/>
          </rPr>
          <t xml:space="preserve">You are skilled at making well-placed shots with ranged weapons at close range.
</t>
        </r>
        <r>
          <rPr>
            <b/>
            <sz val="12"/>
            <color indexed="81"/>
            <rFont val="Times New Roman"/>
            <family val="1"/>
          </rPr>
          <t xml:space="preserve">Benefit:  </t>
        </r>
        <r>
          <rPr>
            <sz val="12"/>
            <color indexed="81"/>
            <rFont val="Times New Roman"/>
            <family val="1"/>
          </rPr>
          <t xml:space="preserve">You get a +1 bonus on attack and damage rolls with ranged weapons at ranges of up to 30 feet.
</t>
        </r>
        <r>
          <rPr>
            <b/>
            <sz val="12"/>
            <color indexed="81"/>
            <rFont val="Times New Roman"/>
            <family val="1"/>
          </rPr>
          <t xml:space="preserve">Special:  </t>
        </r>
        <r>
          <rPr>
            <sz val="12"/>
            <color indexed="81"/>
            <rFont val="Times New Roman"/>
            <family val="1"/>
          </rPr>
          <t>A fighter may select Point Blank Shot as one of his fighter bonus feats (see page 38).
PHB 98</t>
        </r>
      </text>
    </comment>
    <comment ref="C2" authorId="0" shapeId="0" xr:uid="{C7A374A5-0C11-45C8-B925-F6653991624F}">
      <text>
        <r>
          <rPr>
            <sz val="12"/>
            <color indexed="81"/>
            <rFont val="Times New Roman"/>
            <family val="1"/>
          </rPr>
          <t xml:space="preserve">You can follow the trails of creatures and characters across most
types of terrain.
</t>
        </r>
        <r>
          <rPr>
            <b/>
            <sz val="12"/>
            <color indexed="81"/>
            <rFont val="Times New Roman"/>
            <family val="1"/>
          </rPr>
          <t xml:space="preserve">Benefit:  </t>
        </r>
        <r>
          <rPr>
            <sz val="12"/>
            <color indexed="81"/>
            <rFont val="Times New Roman"/>
            <family val="1"/>
          </rPr>
          <t xml:space="preserve">To find tracks or to follow them for 1 mile requires a successful Survival check.  You must make another Survival check every time the tracks become difficult to follow, such as when other tracks cross them or when the tracks backtrack and diverge.
You move at half your normal speed (or at your normal speed with a –5 penalty on the check, or at up to twice your normal speed with a –20 penalty on the check).
If you fail a Survival check, you can retry after 1 hour (outdoors) or 10 minutes (indoors) of searching.
</t>
        </r>
        <r>
          <rPr>
            <b/>
            <sz val="12"/>
            <color indexed="81"/>
            <rFont val="Times New Roman"/>
            <family val="1"/>
          </rPr>
          <t xml:space="preserve">Normal:  </t>
        </r>
        <r>
          <rPr>
            <sz val="12"/>
            <color indexed="81"/>
            <rFont val="Times New Roman"/>
            <family val="1"/>
          </rPr>
          <t xml:space="preserve">Without this feat, you can use the Survival skill to find tracks, but you can follow them only if the DC for the task is 10 or lower. Alternatively, you can use the Search skill to find a footprint or similar sign of a creature’s passage using the DCs given above, but you can’t use Search to follow tracks, even if someone else has already found them.
</t>
        </r>
        <r>
          <rPr>
            <b/>
            <sz val="12"/>
            <color indexed="81"/>
            <rFont val="Times New Roman"/>
            <family val="1"/>
          </rPr>
          <t xml:space="preserve">Special:  </t>
        </r>
        <r>
          <rPr>
            <sz val="12"/>
            <color indexed="81"/>
            <rFont val="Times New Roman"/>
            <family val="1"/>
          </rPr>
          <t>A ranger automatically has Track as a bonus feat. He
need not select it.  This feat does not allow you to find or follow the tracks made by a subject of a pass without trace spell.
PHB 101</t>
        </r>
      </text>
    </comment>
    <comment ref="A3" authorId="0" shapeId="0" xr:uid="{64A42BB0-E948-4696-95B5-4D77F3E644F9}">
      <text>
        <r>
          <rPr>
            <sz val="12"/>
            <color indexed="81"/>
            <rFont val="Times New Roman"/>
            <family val="1"/>
          </rPr>
          <t xml:space="preserve">You are a stranger to fear. Nothing can shake your courage.
</t>
        </r>
        <r>
          <rPr>
            <b/>
            <sz val="12"/>
            <color indexed="81"/>
            <rFont val="Times New Roman"/>
            <family val="1"/>
          </rPr>
          <t xml:space="preserve">Prerequisite: </t>
        </r>
        <r>
          <rPr>
            <sz val="12"/>
            <color indexed="81"/>
            <rFont val="Times New Roman"/>
            <family val="1"/>
          </rPr>
          <t xml:space="preserve">Aarakocra (the Stormhorns), elf (Elven Court or Snow Eagle Aerie), gloamingUND (Sphur Upra), gnome (Lantan), halfling (Channath Vale or the Western Heartlands), human (Anauroch or Impiltur), or orc (the Hordelands).
</t>
        </r>
        <r>
          <rPr>
            <b/>
            <sz val="12"/>
            <color indexed="81"/>
            <rFont val="Times New Roman"/>
            <family val="1"/>
          </rPr>
          <t xml:space="preserve">Benefit: </t>
        </r>
        <r>
          <rPr>
            <sz val="12"/>
            <color indexed="81"/>
            <rFont val="Times New Roman"/>
            <family val="1"/>
          </rPr>
          <t xml:space="preserve">You are immune to fear effects, magical or otherwise.
</t>
        </r>
        <r>
          <rPr>
            <b/>
            <sz val="12"/>
            <color indexed="81"/>
            <rFont val="Times New Roman"/>
            <family val="1"/>
          </rPr>
          <t xml:space="preserve">Special: </t>
        </r>
        <r>
          <rPr>
            <sz val="12"/>
            <color indexed="81"/>
            <rFont val="Times New Roman"/>
            <family val="1"/>
          </rPr>
          <t>You may select this feat only as a 1st-level character. You may have only one regional feat.
Player’s Guide to Faerûn 35</t>
        </r>
      </text>
    </comment>
    <comment ref="C3" authorId="0" shapeId="0" xr:uid="{BDE7841D-8769-4168-8A04-1EEDB7883885}">
      <text>
        <r>
          <rPr>
            <sz val="12"/>
            <color indexed="81"/>
            <rFont val="Times New Roman"/>
            <family val="1"/>
          </rPr>
          <t>At 1st level, a ranger may select a type of creature from among those given on Table 3–14: Ranger Favored Enemies. Due to his extensive study on his chosen type of foe and training in the proper techniques for combating such creatures, the ranger gains a +2 bonus on Bluff, Listen, Sense Motive, Spot, and Survival checks when using these skills against creatures of this type. Likewise, he gets a +2 bonus on weapon damage rolls against such creatures.
PHB 47</t>
        </r>
      </text>
    </comment>
    <comment ref="A4" authorId="0" shapeId="0" xr:uid="{0CFC1DBF-4B65-4BD4-994A-41B0951ED7B8}">
      <text>
        <r>
          <rPr>
            <sz val="12"/>
            <color indexed="81"/>
            <rFont val="Times New Roman"/>
            <family val="1"/>
          </rPr>
          <t xml:space="preserve">You exude an aura that protects you and those around you.
</t>
        </r>
        <r>
          <rPr>
            <b/>
            <sz val="12"/>
            <color indexed="81"/>
            <rFont val="Times New Roman"/>
            <family val="1"/>
          </rPr>
          <t xml:space="preserve">Benefit:  </t>
        </r>
        <r>
          <rPr>
            <sz val="12"/>
            <color indexed="81"/>
            <rFont val="Times New Roman"/>
            <family val="1"/>
          </rPr>
          <t xml:space="preserve">Once per day as an immediate action, you can activate a protective aura. While it is active, you gain a +2 sacred (if your deity is good or neutral) or profane (if your deity is evil) bonus to AC, as does every ally within  30 feet of you. This bonus increases by 1 for every four character levels you possess (maximum +7 at 20th level).   This effect lasts for 1 minute.
</t>
        </r>
        <r>
          <rPr>
            <b/>
            <sz val="12"/>
            <color indexed="81"/>
            <rFont val="Times New Roman"/>
            <family val="1"/>
          </rPr>
          <t xml:space="preserve">Special:  </t>
        </r>
        <r>
          <rPr>
            <sz val="12"/>
            <color indexed="81"/>
            <rFont val="Times New Roman"/>
            <family val="1"/>
          </rPr>
          <t xml:space="preserve">You can select this feat multiple times, gaining one additional daily use each time you take it.
</t>
        </r>
        <r>
          <rPr>
            <b/>
            <sz val="12"/>
            <color indexed="81"/>
            <rFont val="Times New Roman"/>
            <family val="1"/>
          </rPr>
          <t xml:space="preserve">Special:  </t>
        </r>
        <r>
          <rPr>
            <sz val="12"/>
            <color indexed="81"/>
            <rFont val="Times New Roman"/>
            <family val="1"/>
          </rPr>
          <t>If you have the ability to turn or rebuke undead, you gain one additional daily use of this feat for each three daily turn or rebuke uses you expend.
Complete Champion 61</t>
        </r>
      </text>
    </comment>
    <comment ref="C4" authorId="0" shapeId="0" xr:uid="{6B9F970F-4E5F-4EF1-B0C3-7EEA7F8729AB}">
      <text>
        <r>
          <rPr>
            <sz val="12"/>
            <color indexed="81"/>
            <rFont val="Times New Roman"/>
            <family val="1"/>
          </rPr>
          <t>At 1st level, a ranger may select a type of creature from among those given on Table 3–14: Ranger Favored Enemies. Due to his extensive study on his chosen type of foe and training in the proper techniques for combating such creatures, the ranger gains a +2 bonus on Bluff, Listen, Sense Motive, Spot, and Survival checks when using these skills against creatures of this type. Likewise, he gets a +2 bonus on weapon damage rolls against such creatures.
PHB 47</t>
        </r>
      </text>
    </comment>
    <comment ref="A5" authorId="0" shapeId="0" xr:uid="{4F40057C-2D9F-4F45-996A-A757D96565CA}">
      <text>
        <r>
          <rPr>
            <sz val="12"/>
            <color indexed="81"/>
            <rFont val="Times New Roman"/>
            <family val="1"/>
          </rPr>
          <t xml:space="preserve">Choose one type of weapon, such as greataxe. You can also choose unarmed strike or grapple (or ray, if you are a spellcaster) as your weapon for purposes of this feat. You are especially good at using this weapon. (If you have chosen ray, you are especially good with rays, such as the one produced by the ray of frost spell.)
</t>
        </r>
        <r>
          <rPr>
            <b/>
            <sz val="12"/>
            <color indexed="81"/>
            <rFont val="Times New Roman"/>
            <family val="1"/>
          </rPr>
          <t xml:space="preserve">Prerequisites:  </t>
        </r>
        <r>
          <rPr>
            <sz val="12"/>
            <color indexed="81"/>
            <rFont val="Times New Roman"/>
            <family val="1"/>
          </rPr>
          <t xml:space="preserve">Proficiency with selected weapon, base attack bonus +1.
</t>
        </r>
        <r>
          <rPr>
            <b/>
            <sz val="12"/>
            <color indexed="81"/>
            <rFont val="Times New Roman"/>
            <family val="1"/>
          </rPr>
          <t xml:space="preserve">Benefit:  </t>
        </r>
        <r>
          <rPr>
            <sz val="12"/>
            <color indexed="81"/>
            <rFont val="Times New Roman"/>
            <family val="1"/>
          </rPr>
          <t xml:space="preserve">You gain a +1 bonus on all attack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Focus as one of his fighter bonus feats (see page 38). He must have Weapon Focus with a weapon to gain the Weapon Specialization feat for that weapon.
PHB 102</t>
        </r>
      </text>
    </comment>
    <comment ref="C5" authorId="0" shapeId="0" xr:uid="{C2A1A791-507B-4F31-9A8A-E33E4463A7E7}">
      <text>
        <r>
          <rPr>
            <sz val="12"/>
            <color indexed="81"/>
            <rFont val="Times New Roman"/>
            <family val="1"/>
          </rPr>
          <t xml:space="preserve">You can use ranged weapons with exceptional speed.
</t>
        </r>
        <r>
          <rPr>
            <b/>
            <sz val="12"/>
            <color indexed="81"/>
            <rFont val="Times New Roman"/>
            <family val="1"/>
          </rPr>
          <t xml:space="preserve">Prerequisites:  </t>
        </r>
        <r>
          <rPr>
            <sz val="12"/>
            <color indexed="81"/>
            <rFont val="Times New Roman"/>
            <family val="1"/>
          </rPr>
          <t xml:space="preserve">Dex 13, Point Blank Shot.
</t>
        </r>
        <r>
          <rPr>
            <b/>
            <sz val="12"/>
            <color indexed="81"/>
            <rFont val="Times New Roman"/>
            <family val="1"/>
          </rPr>
          <t xml:space="preserve">Benefit:  </t>
        </r>
        <r>
          <rPr>
            <sz val="12"/>
            <color indexed="81"/>
            <rFont val="Times New Roman"/>
            <family val="1"/>
          </rPr>
          <t xml:space="preserve">You can get one extra attack per round with a ranged weapon.  The attack is at your highest base attack bonus, but each attack you make in that round (the extra one and the normal ones) takes a –2 penalty.  You must use the full attack action (see page 143) to use this feat.
</t>
        </r>
        <r>
          <rPr>
            <b/>
            <sz val="12"/>
            <color indexed="81"/>
            <rFont val="Times New Roman"/>
            <family val="1"/>
          </rPr>
          <t xml:space="preserve">Special:  </t>
        </r>
        <r>
          <rPr>
            <sz val="12"/>
            <color indexed="81"/>
            <rFont val="Times New Roman"/>
            <family val="1"/>
          </rPr>
          <t>A fighter may select Rapid Shot as one of his fighter bonus feats (see page 38).
A 2nd-level ranger who has chosen the archery combat style is treated as having Rapid Shot, even if he does not have the prerequisites for it, but only when he is wearing light or no armor (see page 48).
PHB 99</t>
        </r>
      </text>
    </comment>
    <comment ref="A6" authorId="0" shapeId="0" xr:uid="{1736E379-1F9F-4B19-A49B-6812EF74F626}">
      <text>
        <r>
          <rPr>
            <sz val="12"/>
            <color indexed="81"/>
            <rFont val="Times New Roman"/>
            <family val="1"/>
          </rPr>
          <t xml:space="preserve">You have applied the hit-and-run tactics learned from scouting to your strong hunting abilities.
</t>
        </r>
        <r>
          <rPr>
            <b/>
            <sz val="12"/>
            <color indexed="81"/>
            <rFont val="Times New Roman"/>
            <family val="1"/>
          </rPr>
          <t xml:space="preserve">Prerequisite: </t>
        </r>
        <r>
          <rPr>
            <sz val="12"/>
            <color indexed="81"/>
            <rFont val="Times New Roman"/>
            <family val="1"/>
          </rPr>
          <t xml:space="preserve">Favored enemy, skirmish +1d6/+1 AC.
</t>
        </r>
        <r>
          <rPr>
            <b/>
            <sz val="12"/>
            <color indexed="81"/>
            <rFont val="Times New Roman"/>
            <family val="1"/>
          </rPr>
          <t xml:space="preserve">Benefit: </t>
        </r>
        <r>
          <rPr>
            <sz val="12"/>
            <color indexed="81"/>
            <rFont val="Times New Roman"/>
            <family val="1"/>
          </rPr>
          <t xml:space="preserve">Your ranger and scout levels stack for the purpose of determining the extra damage and bonus to Armor Class granted when skirmishing.  For example, a 4th-level scout/1stlevel ranger would deal an extra 2d6 points of damage and gain a +1 competence bonus to AC when skirmishing, as if she were a 5th-level scout.
Your ranger and scout levels also stack for the purpose of determining when you select additional favored enemies, as well as the total bonus granted against your favored enemies.  For example, a 4th-level scout/1st-level ranger would have two favored enemies and could allocate an extra +2 bonus against one of those favored enemies, as if she were a 5th-level ranger.
In addition, your skirmish extra damage applies against any creature you have selected as a favored enemy, even if it is normally immune to extra damage from critical hits or skirmish attacks.
</t>
        </r>
        <r>
          <rPr>
            <b/>
            <sz val="12"/>
            <color indexed="81"/>
            <rFont val="Times New Roman"/>
            <family val="1"/>
          </rPr>
          <t xml:space="preserve">Special: </t>
        </r>
        <r>
          <rPr>
            <sz val="12"/>
            <color indexed="81"/>
            <rFont val="Times New Roman"/>
            <family val="1"/>
          </rPr>
          <t>A scout can select Swift Hunter as one of her scout bonus feats (Complete Adventurer 13).
Complete Scoundrel 81</t>
        </r>
      </text>
    </comment>
    <comment ref="C8" authorId="0" shapeId="0" xr:uid="{BDD4F96A-B18E-494E-BB57-3063FB62DD56}">
      <text>
        <r>
          <rPr>
            <sz val="12"/>
            <color indexed="81"/>
            <rFont val="Times New Roman"/>
            <family val="1"/>
          </rPr>
          <t xml:space="preserve">You are skilled in lining up accurate, deadly shots with your crossbow. Perhaps you add custom-made sights to your weapon, or you have learned to maximize the stability and precision the weapon offers.
</t>
        </r>
        <r>
          <rPr>
            <b/>
            <sz val="12"/>
            <color indexed="81"/>
            <rFont val="Times New Roman"/>
            <family val="1"/>
          </rPr>
          <t xml:space="preserve">Prerequisites: </t>
        </r>
        <r>
          <rPr>
            <sz val="12"/>
            <color indexed="81"/>
            <rFont val="Times New Roman"/>
            <family val="1"/>
          </rPr>
          <t xml:space="preserve">Proficiency with hand, heavy, or light crossbow, Weapon Focus with hand, heavy, or light crossbow, base attack bonus +1.
</t>
        </r>
        <r>
          <rPr>
            <b/>
            <sz val="12"/>
            <color indexed="81"/>
            <rFont val="Times New Roman"/>
            <family val="1"/>
          </rPr>
          <t xml:space="preserve">Benefit: </t>
        </r>
        <r>
          <rPr>
            <sz val="12"/>
            <color indexed="81"/>
            <rFont val="Times New Roman"/>
            <family val="1"/>
          </rPr>
          <t xml:space="preserve">When using a crossbow for which you have the Weapon Focus feat, you gain a bonus on damage rolls equal to 1/2 your Dexterity bonus.
If you have the skirmish or sneak attack ability, the maximum range at which you can make such attacks increases to 60 feet when you are using a crossbow for which you have the Weapon Focus feat.
</t>
        </r>
        <r>
          <rPr>
            <b/>
            <sz val="12"/>
            <color indexed="81"/>
            <rFont val="Times New Roman"/>
            <family val="1"/>
          </rPr>
          <t xml:space="preserve">Special: </t>
        </r>
        <r>
          <rPr>
            <sz val="12"/>
            <color indexed="81"/>
            <rFont val="Times New Roman"/>
            <family val="1"/>
          </rPr>
          <t>A fighter can select Crossbow Sniper as one of his fighter bonus feats.
PHB II 77</t>
        </r>
      </text>
    </comment>
    <comment ref="C9" authorId="0" shapeId="0" xr:uid="{49B54723-1194-4361-9994-8D5242C7A98E}">
      <text>
        <r>
          <rPr>
            <sz val="12"/>
            <color indexed="81"/>
            <rFont val="Times New Roman"/>
            <family val="1"/>
          </rPr>
          <t xml:space="preserve">You are skilled at timing and aiming ranged attacks.
</t>
        </r>
        <r>
          <rPr>
            <b/>
            <sz val="12"/>
            <color indexed="81"/>
            <rFont val="Times New Roman"/>
            <family val="1"/>
          </rPr>
          <t xml:space="preserve">Prerequisite:  </t>
        </r>
        <r>
          <rPr>
            <sz val="12"/>
            <color indexed="81"/>
            <rFont val="Times New Roman"/>
            <family val="1"/>
          </rPr>
          <t xml:space="preserve">Point Blank Shot.
</t>
        </r>
        <r>
          <rPr>
            <b/>
            <sz val="12"/>
            <color indexed="81"/>
            <rFont val="Times New Roman"/>
            <family val="1"/>
          </rPr>
          <t xml:space="preserve">Benefit:  </t>
        </r>
        <r>
          <rPr>
            <sz val="12"/>
            <color indexed="81"/>
            <rFont val="Times New Roman"/>
            <family val="1"/>
          </rPr>
          <t xml:space="preserve">You can shoot or throw ranged weapons at an opponent engaged in melee without taking the standard –4 penalty on your attack roll (see Shooting or Throwing into a Melee, page 140).
</t>
        </r>
        <r>
          <rPr>
            <b/>
            <sz val="12"/>
            <color indexed="81"/>
            <rFont val="Times New Roman"/>
            <family val="1"/>
          </rPr>
          <t xml:space="preserve">Special:  </t>
        </r>
        <r>
          <rPr>
            <sz val="12"/>
            <color indexed="81"/>
            <rFont val="Times New Roman"/>
            <family val="1"/>
          </rPr>
          <t>A fighter may select Precise Shot as one of his fighter bonus feats (see page 38).
PHB 98</t>
        </r>
      </text>
    </comment>
    <comment ref="C10" authorId="0" shapeId="0" xr:uid="{B84A58F2-8674-43A7-A24B-186B274438D4}">
      <text>
        <r>
          <rPr>
            <sz val="12"/>
            <color indexed="81"/>
            <rFont val="Times New Roman"/>
            <family val="1"/>
          </rPr>
          <t xml:space="preserve">You can channel the pain of your injuries into a boiling rage that lets you lash out at your enemies with renewed vigor and power.  Each attack that strikes you only pushes you onward to greater glory.
During your turn, you gain a bonus on attack rolls and damage rolls equal to the current value of your delayed damage pool (see steely resolve, above) divided by 5, and rounding down (minimum +1).  You can only gain a maximum bonus on attack rolls and damage rolls of +6 from furious counterstrike.  Use the table below to quickly determine the attack bonus and damage bonus from furious counterstrike, based on the amount of damage in your delayed damage pool.  This ability’s benefits last until the end of your turn.
</t>
        </r>
        <r>
          <rPr>
            <b/>
            <sz val="12"/>
            <color indexed="81"/>
            <rFont val="Times New Roman"/>
            <family val="1"/>
          </rPr>
          <t>Delayed Damage Pool Points         Furious Counterstrike Bonus</t>
        </r>
        <r>
          <rPr>
            <sz val="12"/>
            <color indexed="81"/>
            <rFont val="Times New Roman"/>
            <family val="1"/>
          </rPr>
          <t xml:space="preserve">
1–9                                                 +1
10–14                                             +2
15–19                                             +3
20–24                                             +4
25–29                                             +5
30+                                                 +6
Bo9S 10</t>
        </r>
      </text>
    </comment>
    <comment ref="C13" authorId="0" shapeId="0" xr:uid="{D391454A-3D3E-4182-90B9-432B0DC03408}">
      <text>
        <r>
          <rPr>
            <sz val="12"/>
            <color indexed="81"/>
            <rFont val="Times New Roman"/>
            <family val="1"/>
          </rPr>
          <t>A scout relies on mobility to deal extra damage and improve her defense.  She deals an extra 1d6 points of damage on all attacks she makes during any round in which she moves at least 10 feet.  The extra damage applies only to attacks taken during the scout’s turn.  This extra damage increases by 1d6 for every four levels gained above 1st (2d6 at 5th, 3d6 at 9th, 4d6 at 13th, and 5d6 at 17th level).
The extra damage only applies against living creatures that have a discernible anatomy.  Undead, constructs, oozes, plants, incorporeal creatures, and creatures immune to extra damage from critical hits are not vulnerable to this additional damage.  The scout must be able to see the target well eough to pick out a vital spot and must be able to reach such a spot.  Scouts can apply this extra damage to ranged attacks made while skirmishing, but only if the target is within 30 feet.
At 3rd level, a scout gains a +1 competence bonus to Armor Class during any round in which she moves at least 10 feet.  The bonus applies as soon as the scout has moved 10 feet, and lasts until the start of her next turn.  This bonus improves by 1 for every four levels gained above 3rd (+2 at 7th, +3 at 11th, +4 at 15th, and +5 at 19th level).
A scout loses this ability when wearing medium or heavy armor or when carrying a medium or heavy load.  If she gains the skirmish ability from another class, the bonuses stack.
Complete Adventurer 12</t>
        </r>
      </text>
    </comment>
    <comment ref="C14" authorId="0" shapeId="0" xr:uid="{5537F447-2A66-4622-AC3C-C1054352EE22}">
      <text>
        <r>
          <rPr>
            <sz val="12"/>
            <color indexed="81"/>
            <rFont val="Times New Roman"/>
            <family val="1"/>
          </rPr>
          <t xml:space="preserve">Your combat mobility improves.
</t>
        </r>
        <r>
          <rPr>
            <b/>
            <sz val="12"/>
            <color indexed="81"/>
            <rFont val="Times New Roman"/>
            <family val="1"/>
          </rPr>
          <t xml:space="preserve">Prerequisites:  </t>
        </r>
        <r>
          <rPr>
            <sz val="12"/>
            <color indexed="81"/>
            <rFont val="Times New Roman"/>
            <family val="1"/>
          </rPr>
          <t xml:space="preserve">Skirmish +4d6/+4 AC.
</t>
        </r>
        <r>
          <rPr>
            <b/>
            <sz val="12"/>
            <color indexed="81"/>
            <rFont val="Times New Roman"/>
            <family val="1"/>
          </rPr>
          <t xml:space="preserve">Benefit:  </t>
        </r>
        <r>
          <rPr>
            <sz val="12"/>
            <color indexed="81"/>
            <rFont val="Times New Roman"/>
            <family val="1"/>
          </rPr>
          <t xml:space="preserve">If the bonus to AC granted when you use your skirmish ability is equal to or higher than the number of dice of extra damage granted by your skirmish ability, your extra damage on skirmish attacks increases by 1d6.
If the bonus to AC granted by your skirmish ability is less than the number of dice of extra damage granted by your skirmish ability, the bonus to AC when skirmishing increases by 1 instead.
</t>
        </r>
        <r>
          <rPr>
            <b/>
            <sz val="12"/>
            <color indexed="81"/>
            <rFont val="Times New Roman"/>
            <family val="1"/>
          </rPr>
          <t xml:space="preserve">Special: </t>
        </r>
        <r>
          <rPr>
            <sz val="12"/>
            <color indexed="81"/>
            <rFont val="Times New Roman"/>
            <family val="1"/>
          </rPr>
          <t>This feat may be taken multiple times. Its effects stack.
PHB II</t>
        </r>
      </text>
    </comment>
    <comment ref="C15" authorId="0" shapeId="0" xr:uid="{19DE9AA0-E63C-41B5-8361-68134BB31ACD}">
      <text>
        <r>
          <rPr>
            <sz val="12"/>
            <color indexed="81"/>
            <rFont val="Times New Roman"/>
            <family val="1"/>
          </rPr>
          <t>Scouts (like rogues) can use the Search skill to locate traps when the task has a Difficulty Class higher than 20.
Finding a nonmagical trap has a DC of at least 20, or higher if it is well hidden.  Finding a magic trap has a DC of 25 + the level of the spell used to create it.
Scouts can use the Disable Device skill to disarm magic traps.  A magic trap generally has a DC of 25 + the level of the spell used to create it.  A rogue who beats a trap’s DC by 10 or more with a Disable Device check can study a trap, figure out how it works, and bypass it (with her party) without disarming it.
PHB 50</t>
        </r>
      </text>
    </comment>
    <comment ref="C16" authorId="0" shapeId="0" xr:uid="{E9061F9D-90C9-464C-BA7B-41DDEB8FFA05}">
      <text>
        <r>
          <rPr>
            <sz val="12"/>
            <color indexed="81"/>
            <rFont val="Times New Roman"/>
            <family val="1"/>
          </rPr>
          <t>At 2nd level, a scout gains a +1 competence bonus on Fortitude saves and Initiative checks. This bonus increases to +2 at 11th level and +3 at 20th level.  A scout loses this bonus when wearing medium or heavy armor or when carrying a medium or heavy load.
Complete Adventurer 13</t>
        </r>
      </text>
    </comment>
    <comment ref="C17" authorId="0" shapeId="0" xr:uid="{546D5777-CC9D-4A80-AB8A-C0492DCC2F11}">
      <text>
        <r>
          <rPr>
            <sz val="12"/>
            <color indexed="81"/>
            <rFont val="Times New Roman"/>
            <family val="1"/>
          </rPr>
          <t>Starting at 2nd level, a scout cannot be caught flat-footed and reacts to danger before her senses would normally allow her to do so.  See the barbarian class feature, page 26 of the Player’s Handbook.
Complete Adventurer 13</t>
        </r>
      </text>
    </comment>
    <comment ref="C18" authorId="0" shapeId="0" xr:uid="{8E288F47-1C58-483A-B732-7876586583B3}">
      <text>
        <r>
          <rPr>
            <sz val="12"/>
            <color indexed="81"/>
            <rFont val="Times New Roman"/>
            <family val="1"/>
          </rPr>
          <t>Starting at 3rd level, a scout’s gains a +10 foot enhancement bonus to her base land speed.  At 11th level, this bonus increases to +20 feet.
See the monk class feature, page 41 of the Player’s Handbook.
A scout loses this benefit when wearing medium or heavy armor or when carrying a medium or heavy load.
Complete Adventurer 13</t>
        </r>
      </text>
    </comment>
    <comment ref="C19" authorId="0" shapeId="0" xr:uid="{27503FA6-4EFE-46B8-AD24-42710A0CEC9C}">
      <text>
        <r>
          <rPr>
            <sz val="12"/>
            <color indexed="81"/>
            <rFont val="Times New Roman"/>
            <family val="1"/>
          </rPr>
          <t>Beginning at 3rd level, a scout cannot be tracked in natural surroundings.  See the druid class feature, page 36 of the Player’s Handbook.
Complete Adventurer 13</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17" authorId="0" shapeId="0" xr:uid="{B1C5A5D5-4AB7-4F2E-A5EA-06EF5DE8689B}">
      <text>
        <r>
          <rPr>
            <sz val="12"/>
            <color indexed="81"/>
            <rFont val="Times New Roman"/>
            <family val="1"/>
          </rPr>
          <t xml:space="preserve">You are skilled in lining up accurate, deadly shots with your crossbow. Perhaps you add custom-made sights to your weapon, or you have learned to maximize the stability and precision the weapon offers.
</t>
        </r>
        <r>
          <rPr>
            <b/>
            <sz val="12"/>
            <color indexed="81"/>
            <rFont val="Times New Roman"/>
            <family val="1"/>
          </rPr>
          <t xml:space="preserve">Prerequisites: </t>
        </r>
        <r>
          <rPr>
            <sz val="12"/>
            <color indexed="81"/>
            <rFont val="Times New Roman"/>
            <family val="1"/>
          </rPr>
          <t xml:space="preserve">Proficiency with hand, heavy, or light crossbow, Weapon Focus with hand, heavy, or light crossbow, base attack bonus +1.
</t>
        </r>
        <r>
          <rPr>
            <b/>
            <sz val="12"/>
            <color indexed="81"/>
            <rFont val="Times New Roman"/>
            <family val="1"/>
          </rPr>
          <t xml:space="preserve">Benefit: </t>
        </r>
        <r>
          <rPr>
            <sz val="12"/>
            <color indexed="81"/>
            <rFont val="Times New Roman"/>
            <family val="1"/>
          </rPr>
          <t xml:space="preserve">When using a crossbow for which you have the Weapon Focus feat, you gain a bonus on damage rolls equal to 1/2 your Dexterity bonus.
If you have the skirmish or sneak attack ability, the maximum range at which you can make such attacks increases to 60 feet when you are using a crossbow for which you have the Weapon Focus feat.
</t>
        </r>
        <r>
          <rPr>
            <b/>
            <sz val="12"/>
            <color indexed="81"/>
            <rFont val="Times New Roman"/>
            <family val="1"/>
          </rPr>
          <t xml:space="preserve">Special: </t>
        </r>
        <r>
          <rPr>
            <sz val="12"/>
            <color indexed="81"/>
            <rFont val="Times New Roman"/>
            <family val="1"/>
          </rPr>
          <t>A fighter can select Crossbow Sniper as one of his fighter bonus feats.
PHB II 77</t>
        </r>
      </text>
    </comment>
    <comment ref="D23" authorId="0" shapeId="0" xr:uid="{00000000-0006-0000-0500-000005000000}">
      <text>
        <r>
          <rPr>
            <sz val="12"/>
            <color indexed="81"/>
            <rFont val="Times New Roman"/>
            <family val="1"/>
          </rPr>
          <t>Balance, Climb, Escape Artist, Hide, Jump, Move Silently, Sleight of Hand, Tumble.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4" authorId="0" shapeId="0" xr:uid="{66BE915B-4E5C-4FA9-AB44-E8C31A69F386}">
      <text>
        <r>
          <rPr>
            <b/>
            <sz val="12"/>
            <color indexed="81"/>
            <rFont val="Times New Roman"/>
            <family val="1"/>
          </rPr>
          <t xml:space="preserve">Price (Item Level):  </t>
        </r>
        <r>
          <rPr>
            <sz val="12"/>
            <color indexed="81"/>
            <rFont val="Times New Roman"/>
            <family val="1"/>
          </rPr>
          <t xml:space="preserve">750 gp (3rd)
</t>
        </r>
        <r>
          <rPr>
            <b/>
            <sz val="12"/>
            <color indexed="81"/>
            <rFont val="Times New Roman"/>
            <family val="1"/>
          </rPr>
          <t xml:space="preserve">Body Slot:  </t>
        </r>
        <r>
          <rPr>
            <sz val="12"/>
            <color indexed="81"/>
            <rFont val="Times New Roman"/>
            <family val="1"/>
          </rPr>
          <t xml:space="preserve">Waist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conjuration
</t>
        </r>
        <r>
          <rPr>
            <b/>
            <sz val="12"/>
            <color indexed="81"/>
            <rFont val="Times New Roman"/>
            <family val="1"/>
          </rPr>
          <t xml:space="preserve">Activation:  </t>
        </r>
        <r>
          <rPr>
            <sz val="12"/>
            <color indexed="81"/>
            <rFont val="Times New Roman"/>
            <family val="1"/>
          </rPr>
          <t xml:space="preserve">— and standard (command)
</t>
        </r>
        <r>
          <rPr>
            <b/>
            <sz val="12"/>
            <color indexed="81"/>
            <rFont val="Times New Roman"/>
            <family val="1"/>
          </rPr>
          <t xml:space="preserve">Weight:  </t>
        </r>
        <r>
          <rPr>
            <sz val="12"/>
            <color indexed="81"/>
            <rFont val="Times New Roman"/>
            <family val="1"/>
          </rPr>
          <t xml:space="preserve">1 lb.
This broad leather belt is studded with three moonstones.
While wearing a healing belt, you gain a +2 competence bonus on Heal checks.
This is a continuous effect and requires no activation.
In addition, the belt has 3 charges, which are renewed each day at dawn.
Spending 1 or more charges allows you to channel positive energy and heal damage with a touch. (You can also use this ability to harm undead, dealing them an equivalent amount of damage instead.)
</t>
        </r>
        <r>
          <rPr>
            <b/>
            <sz val="12"/>
            <color indexed="81"/>
            <rFont val="Times New Roman"/>
            <family val="1"/>
          </rPr>
          <t xml:space="preserve">1 charge:  </t>
        </r>
        <r>
          <rPr>
            <sz val="12"/>
            <color indexed="81"/>
            <rFont val="Times New Roman"/>
            <family val="1"/>
          </rPr>
          <t xml:space="preserve">Heals 2d8 points of damage.
</t>
        </r>
        <r>
          <rPr>
            <b/>
            <sz val="12"/>
            <color indexed="81"/>
            <rFont val="Times New Roman"/>
            <family val="1"/>
          </rPr>
          <t xml:space="preserve">2 charges:  </t>
        </r>
        <r>
          <rPr>
            <sz val="12"/>
            <color indexed="81"/>
            <rFont val="Times New Roman"/>
            <family val="1"/>
          </rPr>
          <t xml:space="preserve">Heals 3d8 points of damage.
</t>
        </r>
        <r>
          <rPr>
            <b/>
            <sz val="12"/>
            <color indexed="81"/>
            <rFont val="Times New Roman"/>
            <family val="1"/>
          </rPr>
          <t xml:space="preserve">3 charges:  </t>
        </r>
        <r>
          <rPr>
            <sz val="12"/>
            <color indexed="81"/>
            <rFont val="Times New Roman"/>
            <family val="1"/>
          </rPr>
          <t xml:space="preserve">Heals 4d8 points of damage.
</t>
        </r>
        <r>
          <rPr>
            <b/>
            <sz val="12"/>
            <color indexed="81"/>
            <rFont val="Times New Roman"/>
            <family val="1"/>
          </rPr>
          <t xml:space="preserve">Prerequisites:  </t>
        </r>
        <r>
          <rPr>
            <sz val="12"/>
            <color indexed="81"/>
            <rFont val="Times New Roman"/>
            <family val="1"/>
          </rPr>
          <t>Craft Wondrous Item, cure moderate wounds.
MIC 110</t>
        </r>
      </text>
    </comment>
    <comment ref="A5" authorId="0" shapeId="0" xr:uid="{09D46464-A6D4-4BC3-84D7-79087BBC5F12}">
      <text>
        <r>
          <rPr>
            <b/>
            <sz val="12"/>
            <color indexed="81"/>
            <rFont val="Times New Roman"/>
            <family val="1"/>
          </rPr>
          <t xml:space="preserve">Price (Item Level):  </t>
        </r>
        <r>
          <rPr>
            <sz val="12"/>
            <color indexed="81"/>
            <rFont val="Times New Roman"/>
            <family val="1"/>
          </rPr>
          <t xml:space="preserve">1,400 gp (5th)
</t>
        </r>
        <r>
          <rPr>
            <b/>
            <sz val="12"/>
            <color indexed="81"/>
            <rFont val="Times New Roman"/>
            <family val="1"/>
          </rPr>
          <t xml:space="preserve">Body Slot:  </t>
        </r>
        <r>
          <rPr>
            <sz val="12"/>
            <color indexed="81"/>
            <rFont val="Times New Roman"/>
            <family val="1"/>
          </rPr>
          <t xml:space="preserve">Feet
</t>
        </r>
        <r>
          <rPr>
            <b/>
            <sz val="12"/>
            <color indexed="81"/>
            <rFont val="Times New Roman"/>
            <family val="1"/>
          </rPr>
          <t xml:space="preserve">Caster Level:  </t>
        </r>
        <r>
          <rPr>
            <sz val="12"/>
            <color indexed="81"/>
            <rFont val="Times New Roman"/>
            <family val="1"/>
          </rPr>
          <t xml:space="preserve">7th
</t>
        </r>
        <r>
          <rPr>
            <b/>
            <sz val="12"/>
            <color indexed="81"/>
            <rFont val="Times New Roman"/>
            <family val="1"/>
          </rPr>
          <t xml:space="preserve">Aura:  </t>
        </r>
        <r>
          <rPr>
            <sz val="12"/>
            <color indexed="81"/>
            <rFont val="Times New Roman"/>
            <family val="1"/>
          </rPr>
          <t xml:space="preserve">Moderate; (DC 18) conjuration
</t>
        </r>
        <r>
          <rPr>
            <b/>
            <sz val="12"/>
            <color indexed="81"/>
            <rFont val="Times New Roman"/>
            <family val="1"/>
          </rPr>
          <t xml:space="preserve">Activation:  </t>
        </r>
        <r>
          <rPr>
            <sz val="12"/>
            <color indexed="81"/>
            <rFont val="Times New Roman"/>
            <family val="1"/>
          </rPr>
          <t xml:space="preserve">Swift (command)
</t>
        </r>
        <r>
          <rPr>
            <b/>
            <sz val="12"/>
            <color indexed="81"/>
            <rFont val="Times New Roman"/>
            <family val="1"/>
          </rPr>
          <t xml:space="preserve">Weight:  </t>
        </r>
        <r>
          <rPr>
            <sz val="12"/>
            <color indexed="81"/>
            <rFont val="Times New Roman"/>
            <family val="1"/>
          </rPr>
          <t>—
A pewter chime hangs from this simple leather ankle-band.
An anklet of translocation allows you to make short dimensional hops.  When it is activated, you can instantly teleport (with no chance of error) up to 10 feet.  The new space must be within line of sight and line of effect.
You can’t use the anklet to move into a space occupied by another creature, nor can you teleport into a solid object; if you attempt to do so, the anklet’s activation is wasted.  You can bring along objects weighing up to your maximum load, but you can’t bring another creature with you.
An anklet of translocation functions two times per day.
MIC 71</t>
        </r>
      </text>
    </comment>
    <comment ref="A6" authorId="0" shapeId="0" xr:uid="{EF0C0A44-C164-40AC-AF6D-2AB9A6BDF00E}">
      <text>
        <r>
          <rPr>
            <b/>
            <sz val="12"/>
            <color indexed="81"/>
            <rFont val="Times New Roman"/>
            <family val="1"/>
          </rPr>
          <t xml:space="preserve">Price (Item Level):  </t>
        </r>
        <r>
          <rPr>
            <sz val="12"/>
            <color indexed="81"/>
            <rFont val="Times New Roman"/>
            <family val="1"/>
          </rPr>
          <t xml:space="preserve">2,300 gp (6th)
</t>
        </r>
        <r>
          <rPr>
            <b/>
            <sz val="12"/>
            <color indexed="81"/>
            <rFont val="Times New Roman"/>
            <family val="1"/>
          </rPr>
          <t xml:space="preserve">Body Slot:  </t>
        </r>
        <r>
          <rPr>
            <sz val="12"/>
            <color indexed="81"/>
            <rFont val="Times New Roman"/>
            <family val="1"/>
          </rPr>
          <t xml:space="preserve">Throat
</t>
        </r>
        <r>
          <rPr>
            <b/>
            <sz val="12"/>
            <color indexed="81"/>
            <rFont val="Times New Roman"/>
            <family val="1"/>
          </rPr>
          <t xml:space="preserve">Caster Level:  </t>
        </r>
        <r>
          <rPr>
            <sz val="12"/>
            <color indexed="81"/>
            <rFont val="Times New Roman"/>
            <family val="1"/>
          </rPr>
          <t xml:space="preserve">4th
</t>
        </r>
        <r>
          <rPr>
            <b/>
            <sz val="12"/>
            <color indexed="81"/>
            <rFont val="Times New Roman"/>
            <family val="1"/>
          </rPr>
          <t xml:space="preserve">Aura:  </t>
        </r>
        <r>
          <rPr>
            <sz val="12"/>
            <color indexed="81"/>
            <rFont val="Times New Roman"/>
            <family val="1"/>
          </rPr>
          <t xml:space="preserve">Faint; (DC 17) enchantment
</t>
        </r>
        <r>
          <rPr>
            <b/>
            <sz val="12"/>
            <color indexed="81"/>
            <rFont val="Times New Roman"/>
            <family val="1"/>
          </rPr>
          <t xml:space="preserve">Activation:  </t>
        </r>
        <r>
          <rPr>
            <sz val="12"/>
            <color indexed="81"/>
            <rFont val="Times New Roman"/>
            <family val="1"/>
          </rPr>
          <t xml:space="preserve">Swift (command)
</t>
        </r>
        <r>
          <rPr>
            <b/>
            <sz val="12"/>
            <color indexed="81"/>
            <rFont val="Times New Roman"/>
            <family val="1"/>
          </rPr>
          <t xml:space="preserve">Weight:  </t>
        </r>
        <r>
          <rPr>
            <sz val="12"/>
            <color indexed="81"/>
            <rFont val="Times New Roman"/>
            <family val="1"/>
          </rPr>
          <t xml:space="preserve">—
Adorning a glossy silver chain, a spiral of pearl teardrops circles a colorless crystal sphere.
An amulet of tears has 3 charges, which are renewed each day at dawn.  Spending 1 or more charges when you activate the amulet grants you temporary hit points, as described below.  These hit points last for up to 10 minutes; they don’t stack with any other temporary hit points.
</t>
        </r>
        <r>
          <rPr>
            <b/>
            <sz val="12"/>
            <color indexed="81"/>
            <rFont val="Times New Roman"/>
            <family val="1"/>
          </rPr>
          <t xml:space="preserve">1 charge:  </t>
        </r>
        <r>
          <rPr>
            <sz val="12"/>
            <color indexed="81"/>
            <rFont val="Times New Roman"/>
            <family val="1"/>
          </rPr>
          <t xml:space="preserve">12 temporary hit points.
</t>
        </r>
        <r>
          <rPr>
            <b/>
            <sz val="12"/>
            <color indexed="81"/>
            <rFont val="Times New Roman"/>
            <family val="1"/>
          </rPr>
          <t xml:space="preserve">2 charges:  </t>
        </r>
        <r>
          <rPr>
            <sz val="12"/>
            <color indexed="81"/>
            <rFont val="Times New Roman"/>
            <family val="1"/>
          </rPr>
          <t xml:space="preserve">18 temporary hit points.
</t>
        </r>
        <r>
          <rPr>
            <b/>
            <sz val="12"/>
            <color indexed="81"/>
            <rFont val="Times New Roman"/>
            <family val="1"/>
          </rPr>
          <t xml:space="preserve">3 charges:  </t>
        </r>
        <r>
          <rPr>
            <sz val="12"/>
            <color indexed="81"/>
            <rFont val="Times New Roman"/>
            <family val="1"/>
          </rPr>
          <t>24 temporary hit points.
MIC 70</t>
        </r>
      </text>
    </comment>
    <comment ref="A7" authorId="0" shapeId="0" xr:uid="{C9670EAC-08C0-43BD-9AB6-8AADE92F67B3}">
      <text>
        <r>
          <rPr>
            <b/>
            <sz val="12"/>
            <color indexed="81"/>
            <rFont val="Times New Roman"/>
            <family val="1"/>
          </rPr>
          <t xml:space="preserve">Price (Item Level):  </t>
        </r>
        <r>
          <rPr>
            <sz val="12"/>
            <color indexed="81"/>
            <rFont val="Times New Roman"/>
            <family val="1"/>
          </rPr>
          <t xml:space="preserve">500 gp (3rd)
</t>
        </r>
        <r>
          <rPr>
            <b/>
            <sz val="12"/>
            <color indexed="81"/>
            <rFont val="Times New Roman"/>
            <family val="1"/>
          </rPr>
          <t xml:space="preserve">Body Slot:  </t>
        </r>
        <r>
          <rPr>
            <sz val="12"/>
            <color indexed="81"/>
            <rFont val="Times New Roman"/>
            <family val="1"/>
          </rPr>
          <t xml:space="preserve">Hands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transmutation
</t>
        </r>
        <r>
          <rPr>
            <b/>
            <sz val="12"/>
            <color indexed="81"/>
            <rFont val="Times New Roman"/>
            <family val="1"/>
          </rPr>
          <t xml:space="preserve">Activation:  </t>
        </r>
        <r>
          <rPr>
            <sz val="12"/>
            <color indexed="81"/>
            <rFont val="Times New Roman"/>
            <family val="1"/>
          </rPr>
          <t xml:space="preserve">Swift (command)
</t>
        </r>
        <r>
          <rPr>
            <b/>
            <sz val="12"/>
            <color indexed="81"/>
            <rFont val="Times New Roman"/>
            <family val="1"/>
          </rPr>
          <t xml:space="preserve">Weight:  </t>
        </r>
        <r>
          <rPr>
            <sz val="12"/>
            <color indexed="81"/>
            <rFont val="Times New Roman"/>
            <family val="1"/>
          </rPr>
          <t xml:space="preserve">—
This pair of heavy black leather gauntlets is set with metal studs.
Brute gauntlets allow you to temporarily increase your physical might.  These gauntlets have 3 charges, which are renewed each day at dawn.  Spending 1 or more charges grants you a morale bonus on Strength checks, Strength-based skill checks, and melee weapon damage for 1 round.
</t>
        </r>
        <r>
          <rPr>
            <b/>
            <sz val="12"/>
            <color indexed="81"/>
            <rFont val="Times New Roman"/>
            <family val="1"/>
          </rPr>
          <t xml:space="preserve">1 charge:  </t>
        </r>
        <r>
          <rPr>
            <sz val="12"/>
            <color indexed="81"/>
            <rFont val="Times New Roman"/>
            <family val="1"/>
          </rPr>
          <t xml:space="preserve">+2 morale bonus.
</t>
        </r>
        <r>
          <rPr>
            <b/>
            <sz val="12"/>
            <color indexed="81"/>
            <rFont val="Times New Roman"/>
            <family val="1"/>
          </rPr>
          <t xml:space="preserve">2 charges:  </t>
        </r>
        <r>
          <rPr>
            <sz val="12"/>
            <color indexed="81"/>
            <rFont val="Times New Roman"/>
            <family val="1"/>
          </rPr>
          <t xml:space="preserve">+3 morale bonus.
</t>
        </r>
        <r>
          <rPr>
            <b/>
            <sz val="12"/>
            <color indexed="81"/>
            <rFont val="Times New Roman"/>
            <family val="1"/>
          </rPr>
          <t xml:space="preserve">3 charges:  </t>
        </r>
        <r>
          <rPr>
            <sz val="12"/>
            <color indexed="81"/>
            <rFont val="Times New Roman"/>
            <family val="1"/>
          </rPr>
          <t>+4 morale bonus.
MIC 83</t>
        </r>
      </text>
    </comment>
    <comment ref="A18" authorId="0" shapeId="0" xr:uid="{67B52D3C-38E9-4AF6-9421-4AD91CC0ADC3}">
      <text>
        <r>
          <rPr>
            <b/>
            <sz val="12"/>
            <color indexed="81"/>
            <rFont val="Times New Roman"/>
            <family val="1"/>
          </rPr>
          <t xml:space="preserve">Price (Item Level):  </t>
        </r>
        <r>
          <rPr>
            <sz val="12"/>
            <color indexed="81"/>
            <rFont val="Times New Roman"/>
            <family val="1"/>
          </rPr>
          <t xml:space="preserve">200 gp (2nd)
</t>
        </r>
        <r>
          <rPr>
            <b/>
            <sz val="12"/>
            <color indexed="81"/>
            <rFont val="Times New Roman"/>
            <family val="1"/>
          </rPr>
          <t xml:space="preserve">Body Slot:  </t>
        </r>
        <r>
          <rPr>
            <sz val="12"/>
            <color indexed="81"/>
            <rFont val="Times New Roman"/>
            <family val="1"/>
          </rPr>
          <t xml:space="preserve">— (held)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conjuration
</t>
        </r>
        <r>
          <rPr>
            <b/>
            <sz val="12"/>
            <color indexed="81"/>
            <rFont val="Times New Roman"/>
            <family val="1"/>
          </rPr>
          <t xml:space="preserve">Activation:  </t>
        </r>
        <r>
          <rPr>
            <sz val="12"/>
            <color indexed="81"/>
            <rFont val="Times New Roman"/>
            <family val="1"/>
          </rPr>
          <t xml:space="preserve">Standard (command)
</t>
        </r>
        <r>
          <rPr>
            <b/>
            <sz val="12"/>
            <color indexed="81"/>
            <rFont val="Times New Roman"/>
            <family val="1"/>
          </rPr>
          <t xml:space="preserve">Weight:  </t>
        </r>
        <r>
          <rPr>
            <sz val="12"/>
            <color indexed="81"/>
            <rFont val="Times New Roman"/>
            <family val="1"/>
          </rPr>
          <t xml:space="preserve">—
This common-looking brown clay mug has persistent stains just under the rim.
Three times per day, when you recite the command word, this mug fills with 12 ounces of water, cheap ale, or watery wine (your choice).
</t>
        </r>
        <r>
          <rPr>
            <b/>
            <sz val="12"/>
            <color indexed="81"/>
            <rFont val="Times New Roman"/>
            <family val="1"/>
          </rPr>
          <t xml:space="preserve">Prerequisites:  </t>
        </r>
        <r>
          <rPr>
            <sz val="12"/>
            <color indexed="81"/>
            <rFont val="Times New Roman"/>
            <family val="1"/>
          </rPr>
          <t xml:space="preserve">Craft Wondrous Item, create water.
</t>
        </r>
        <r>
          <rPr>
            <b/>
            <sz val="12"/>
            <color indexed="81"/>
            <rFont val="Times New Roman"/>
            <family val="1"/>
          </rPr>
          <t xml:space="preserve">Cost to Create:  </t>
        </r>
        <r>
          <rPr>
            <sz val="12"/>
            <color indexed="81"/>
            <rFont val="Times New Roman"/>
            <family val="1"/>
          </rPr>
          <t>100 gp, 8 XP, 1 day.
MIC 160</t>
        </r>
      </text>
    </comment>
    <comment ref="A26" authorId="0" shapeId="0" xr:uid="{9BF94E10-ABF2-4DFE-907A-6234120BABFA}">
      <text>
        <r>
          <rPr>
            <sz val="12"/>
            <color indexed="81"/>
            <rFont val="Times New Roman"/>
            <family val="1"/>
          </rPr>
          <t>A backpack of this sort appears to be well made, well used, and quite ordinary.  It is constructed of finely tanned leather, and the straps have brass hardware and buckles.  It has two side pouches, each of which appears large enough to hold about a quart of material.  In fact, each is like a bag of holding and can actually hold material of as much as 2 cubic feet in volume or 20 pounds in weight. The large central portion of the pack can contain up to 8 cubic feet or 80 pounds of material.  Even when so filled, the backpack always weighs only 5 pounds.
While such storage is useful enough, the pack has an even greater power in addition. When the wearer reaches into it for a specific item, that item is always on top.  Thus, no digging around and fumbling is ever necessary to find what a haversack contains.  Retrieving any specific item from a haversack is a move action, but it does not provoke the attacks of opportunity that retrieving a stored item usually does.
DMG 259</t>
        </r>
      </text>
    </comment>
  </commentList>
</comments>
</file>

<file path=xl/sharedStrings.xml><?xml version="1.0" encoding="utf-8"?>
<sst xmlns="http://schemas.openxmlformats.org/spreadsheetml/2006/main" count="451" uniqueCount="270">
  <si>
    <t>Level</t>
  </si>
  <si>
    <t>Melee Weapon</t>
  </si>
  <si>
    <t>Dmg</t>
  </si>
  <si>
    <t>Qty.</t>
  </si>
  <si>
    <t>Ranged Weapon</t>
  </si>
  <si>
    <t>Dmg.</t>
  </si>
  <si>
    <t>Rng.</t>
  </si>
  <si>
    <t>Skills</t>
  </si>
  <si>
    <t>Concentration</t>
  </si>
  <si>
    <t>AC Mod.</t>
  </si>
  <si>
    <t>Handle Animal</t>
  </si>
  <si>
    <t>Move Silently</t>
  </si>
  <si>
    <t>Ride</t>
  </si>
  <si>
    <t>Search</t>
  </si>
  <si>
    <t>Swim</t>
  </si>
  <si>
    <t>Weapons and Armor</t>
  </si>
  <si>
    <t>Type</t>
  </si>
  <si>
    <t>Duration</t>
  </si>
  <si>
    <t>Personality, History, and Notes</t>
  </si>
  <si>
    <t>D+</t>
  </si>
  <si>
    <t>TH+</t>
  </si>
  <si>
    <t>Wt.</t>
  </si>
  <si>
    <t>Mod.</t>
  </si>
  <si>
    <t>Rank</t>
  </si>
  <si>
    <t>Dex</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</si>
  <si>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</si>
  <si>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</si>
  <si>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</si>
  <si>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</si>
  <si>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</si>
  <si>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</si>
  <si>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</si>
  <si>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</si>
  <si>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</si>
  <si>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</si>
  <si>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</si>
  <si>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</si>
  <si>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</si>
  <si>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</si>
  <si>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</si>
  <si>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</si>
  <si>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</si>
  <si>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</si>
  <si>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</si>
  <si>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</si>
  <si>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</si>
  <si>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</si>
  <si>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</si>
  <si>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</si>
  <si>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</si>
  <si>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</si>
  <si>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</si>
  <si>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Total</t>
  </si>
  <si>
    <t>Critical</t>
  </si>
  <si>
    <t>Range</t>
  </si>
  <si>
    <t>Fortitude</t>
  </si>
  <si>
    <t>Reflex</t>
  </si>
  <si>
    <t>Will</t>
  </si>
  <si>
    <t>Armor &amp; Shield</t>
  </si>
  <si>
    <t>Missiles</t>
  </si>
  <si>
    <t>Spell</t>
  </si>
  <si>
    <t>Languages</t>
  </si>
  <si>
    <t>School</t>
  </si>
  <si>
    <t>Equipment Worn</t>
  </si>
  <si>
    <t>Item</t>
  </si>
  <si>
    <t>Effects/</t>
  </si>
  <si>
    <t>Notes</t>
  </si>
  <si>
    <t>Equipment Carried</t>
  </si>
  <si>
    <t>Check</t>
  </si>
  <si>
    <t>Arcane</t>
  </si>
  <si>
    <t>Speed</t>
  </si>
  <si>
    <t>Sleight of Hand</t>
  </si>
  <si>
    <t>Survival</t>
  </si>
  <si>
    <t>Weapon Proficiencies</t>
  </si>
  <si>
    <t>Atk</t>
  </si>
  <si>
    <t>Components</t>
  </si>
  <si>
    <t>Casting</t>
  </si>
  <si>
    <t>1st</t>
  </si>
  <si>
    <t>2nd</t>
  </si>
  <si>
    <t>3rd</t>
  </si>
  <si>
    <t>4th</t>
  </si>
  <si>
    <t>5th</t>
  </si>
  <si>
    <t>6th</t>
  </si>
  <si>
    <t>Spell Level</t>
  </si>
  <si>
    <t>0th</t>
  </si>
  <si>
    <t>7th</t>
  </si>
  <si>
    <t>Feats</t>
  </si>
  <si>
    <t>Roll</t>
  </si>
  <si>
    <t>Skill/Save</t>
  </si>
  <si>
    <t>Human</t>
  </si>
  <si>
    <t>Perform:  [type]</t>
  </si>
  <si>
    <t>Value</t>
  </si>
  <si>
    <t>Spell Component Pouch</t>
  </si>
  <si>
    <t>Total Equity:</t>
  </si>
  <si>
    <t>-</t>
  </si>
  <si>
    <t>Traveler’s Outfit</t>
  </si>
  <si>
    <t>eight</t>
  </si>
  <si>
    <t>Race</t>
  </si>
  <si>
    <t>Class</t>
  </si>
  <si>
    <t>Sex</t>
  </si>
  <si>
    <t>Reference</t>
  </si>
  <si>
    <t>Page</t>
  </si>
  <si>
    <t>Bypass Spell Resistance</t>
  </si>
  <si>
    <t>Ranged Touch Attack</t>
  </si>
  <si>
    <t>Age</t>
  </si>
  <si>
    <t>Scrolls and Potions</t>
  </si>
  <si>
    <t>CLev</t>
  </si>
  <si>
    <t>Constitution</t>
  </si>
  <si>
    <t>Charisma</t>
  </si>
  <si>
    <t>Intelligence</t>
  </si>
  <si>
    <t>Wisdom</t>
  </si>
  <si>
    <t>Dexterity</t>
  </si>
  <si>
    <t>Strength</t>
  </si>
  <si>
    <t>Region</t>
  </si>
  <si>
    <t>Deity</t>
  </si>
  <si>
    <t>Alignment</t>
  </si>
  <si>
    <t>Attack Bonus</t>
  </si>
  <si>
    <t>Initiative</t>
  </si>
  <si>
    <t>Height</t>
  </si>
  <si>
    <t>Weight</t>
  </si>
  <si>
    <t>Lb. Capacity</t>
  </si>
  <si>
    <t>Lb. Carried</t>
  </si>
  <si>
    <t>Hit Points</t>
  </si>
  <si>
    <t>Touch AC</t>
  </si>
  <si>
    <t>FF AC</t>
  </si>
  <si>
    <t>Spells Granted by Mayaheine</t>
  </si>
  <si>
    <t>Neutral Good</t>
  </si>
  <si>
    <t>Charisma Bonus</t>
  </si>
  <si>
    <t>Favored Soul Spells</t>
  </si>
  <si>
    <t>8th</t>
  </si>
  <si>
    <t>9th</t>
  </si>
  <si>
    <t>DC</t>
  </si>
  <si>
    <t>Cast?</t>
  </si>
  <si>
    <t>Profession:  [type]</t>
  </si>
  <si>
    <t>AC</t>
  </si>
  <si>
    <t xml:space="preserve">Silver Holy Symbol of Mayaheine </t>
  </si>
  <si>
    <t>Used as a journal</t>
  </si>
  <si>
    <t>Gold Coins</t>
  </si>
  <si>
    <t>Vials of Ink</t>
  </si>
  <si>
    <t>Quills</t>
  </si>
  <si>
    <t>Vials of Antitoxin</t>
  </si>
  <si>
    <t>Bedroll</t>
  </si>
  <si>
    <t>Winter Blanket</t>
  </si>
  <si>
    <t>Waterskin</t>
  </si>
  <si>
    <t>Masterwork Weaponsmith’s Tools</t>
  </si>
  <si>
    <t>Trail Rations, Day’s Supply</t>
  </si>
  <si>
    <t>Torches</t>
  </si>
  <si>
    <t>Flint &amp; Steel</t>
  </si>
  <si>
    <t>Iron Pot</t>
  </si>
  <si>
    <t>Sledge</t>
  </si>
  <si>
    <t>Spade</t>
  </si>
  <si>
    <t>Cold Weather Outfit</t>
  </si>
  <si>
    <t>seven</t>
  </si>
  <si>
    <t>Weaponsmith’s (Artisan’s) Outfit</t>
  </si>
  <si>
    <t>Brown &amp; Green</t>
  </si>
  <si>
    <t>Red &amp; Blue</t>
  </si>
  <si>
    <t>Soap</t>
  </si>
  <si>
    <t>2</t>
  </si>
  <si>
    <t>Holy Water, Flask</t>
  </si>
  <si>
    <t>Everburning Torch</t>
  </si>
  <si>
    <t>Tanglefoot Bag</t>
  </si>
  <si>
    <t>Thunderstone</t>
  </si>
  <si>
    <t>Tindertwigs</t>
  </si>
  <si>
    <t>Ice Axe</t>
  </si>
  <si>
    <t>Percolator</t>
  </si>
  <si>
    <t>Mess Kit</t>
  </si>
  <si>
    <t>Zakharan Tea</t>
  </si>
  <si>
    <t>Speak Language:  Giant</t>
  </si>
  <si>
    <t>*</t>
  </si>
  <si>
    <t>Silk Rope</t>
  </si>
  <si>
    <t>50’</t>
  </si>
  <si>
    <t>Grappling Hook</t>
  </si>
  <si>
    <t>Attached to Silk Rope</t>
  </si>
  <si>
    <t>Hourglass</t>
  </si>
  <si>
    <t>Manacles</t>
  </si>
  <si>
    <t>Climber’s Kit</t>
  </si>
  <si>
    <t>Healer’s Kit</t>
  </si>
  <si>
    <t>Soft Equity Ceiling:</t>
  </si>
  <si>
    <t>Heward’s Handy Haversack</t>
  </si>
  <si>
    <t>% Full:</t>
  </si>
  <si>
    <t>Brute Gauntlets</t>
  </si>
  <si>
    <t>Tent</t>
  </si>
  <si>
    <t>Fishing Net</t>
  </si>
  <si>
    <t>Crowbar</t>
  </si>
  <si>
    <t>Hammer</t>
  </si>
  <si>
    <t>Bell</t>
  </si>
  <si>
    <t>4 different tones</t>
  </si>
  <si>
    <t>Signal Whistles, Engraved</t>
  </si>
  <si>
    <t>Smokestick</t>
  </si>
  <si>
    <t>Piton</t>
  </si>
  <si>
    <t>q</t>
  </si>
  <si>
    <t>Anklet of Translocation</t>
  </si>
  <si>
    <t>Small Mammal Treats</t>
  </si>
  <si>
    <t>Total Spells</t>
  </si>
  <si>
    <t>Platinum Coins</t>
  </si>
  <si>
    <t>Shawl</t>
  </si>
  <si>
    <t>Mintary weaving</t>
  </si>
  <si>
    <t>Birdseed Bowl</t>
  </si>
  <si>
    <t>MW Candles</t>
  </si>
  <si>
    <t>Last twice as long</t>
  </si>
  <si>
    <t>Touch Attack</t>
  </si>
  <si>
    <t>Healing Belt</t>
  </si>
  <si>
    <t>List of Culprits at Large</t>
  </si>
  <si>
    <t>Updated Highsun, 6 Tarsakh, 2 fugitives left</t>
  </si>
  <si>
    <t>Copy of Arrest Papers for Kid</t>
  </si>
  <si>
    <t>Parchment</t>
  </si>
  <si>
    <t>Copy of contract to kill the members of the Fist of Light</t>
  </si>
  <si>
    <r>
      <t xml:space="preserve">+1 </t>
    </r>
    <r>
      <rPr>
        <i/>
        <sz val="13"/>
        <rFont val="Times New Roman"/>
        <family val="1"/>
      </rPr>
      <t>haste</t>
    </r>
  </si>
  <si>
    <t>Wizard’s Spellbook 1</t>
  </si>
  <si>
    <t>Wizard’s Spellbook 2</t>
  </si>
  <si>
    <t>Amulet of Tears</t>
  </si>
  <si>
    <t>Everfull Mug</t>
  </si>
  <si>
    <t>Scroll Case</t>
  </si>
  <si>
    <t>Candles</t>
  </si>
  <si>
    <t>Knowledge:  Nature</t>
  </si>
  <si>
    <t>Vest of Resistance +1</t>
  </si>
  <si>
    <t>Knowledge:  Dungeoneering</t>
  </si>
  <si>
    <t>Knowledge:  Geography</t>
  </si>
  <si>
    <t>Karlon</t>
  </si>
  <si>
    <t>Holt</t>
  </si>
  <si>
    <t>Played by Ernest S. Hakey III</t>
  </si>
  <si>
    <t>Male</t>
  </si>
  <si>
    <t>5’ 8”</t>
  </si>
  <si>
    <t>160 lbs.</t>
  </si>
  <si>
    <t>Scout</t>
  </si>
  <si>
    <t>Ranger</t>
  </si>
  <si>
    <t>Fighter</t>
  </si>
  <si>
    <t>Impiltur</t>
  </si>
  <si>
    <t>Common, Damaran, Goblin, Giant (1),</t>
  </si>
  <si>
    <t>Gnoll (1), Orc (1), Sylvan (1)</t>
  </si>
  <si>
    <t>Speak Language:  Gnoll</t>
  </si>
  <si>
    <t>Speak Language:  Orc</t>
  </si>
  <si>
    <t>Speak Language:  Sylvan</t>
  </si>
  <si>
    <t>X</t>
  </si>
  <si>
    <t>Boots of Agile Leaping</t>
  </si>
  <si>
    <t>None yet</t>
  </si>
  <si>
    <t>Ranger Spells per Day</t>
  </si>
  <si>
    <t>Regional:  Fearless</t>
  </si>
  <si>
    <t>Immune to Fear</t>
  </si>
  <si>
    <t>Human:  Point Blank Shot</t>
  </si>
  <si>
    <t>1st:  Rapid Reload</t>
  </si>
  <si>
    <t>Ranger Features</t>
  </si>
  <si>
    <t>Track</t>
  </si>
  <si>
    <t>3rd:  Weapon Focus:  Light Crossbow</t>
  </si>
  <si>
    <t>Fighter Features</t>
  </si>
  <si>
    <t>All Armor, Shields, and Weapons</t>
  </si>
  <si>
    <t>Archery:  Rapid Shot</t>
  </si>
  <si>
    <t>Precise Shot</t>
  </si>
  <si>
    <t>Scout Features</t>
  </si>
  <si>
    <t>Favored Enemy: Undead +4</t>
  </si>
  <si>
    <t>Favored Enemy: Evil Outsiders +2</t>
  </si>
  <si>
    <t>Traits</t>
  </si>
  <si>
    <t>Plucky: +1 to Will, -1 to Fort</t>
  </si>
  <si>
    <t>Quick: +10’ to base speed, -1 hp/HD</t>
  </si>
  <si>
    <r>
      <t>30</t>
    </r>
    <r>
      <rPr>
        <sz val="13"/>
        <rFont val="Times New Roman"/>
        <family val="1"/>
      </rPr>
      <t>/</t>
    </r>
    <r>
      <rPr>
        <sz val="13"/>
        <color indexed="51"/>
        <rFont val="Times New Roman"/>
        <family val="1"/>
      </rPr>
      <t>60</t>
    </r>
    <r>
      <rPr>
        <sz val="13"/>
        <rFont val="Times New Roman"/>
        <family val="1"/>
      </rPr>
      <t>/</t>
    </r>
    <r>
      <rPr>
        <sz val="13"/>
        <color indexed="10"/>
        <rFont val="Times New Roman"/>
        <family val="1"/>
      </rPr>
      <t>90</t>
    </r>
  </si>
  <si>
    <t>Craft:  [type]</t>
  </si>
  <si>
    <t>Ranger Spells Prepared</t>
  </si>
  <si>
    <t>Lurue</t>
  </si>
  <si>
    <t>FE</t>
  </si>
  <si>
    <t>6th:  Swift Hunter</t>
  </si>
  <si>
    <t>+1 within 30’</t>
  </si>
  <si>
    <t>Feat: Improved Skirmish</t>
  </si>
  <si>
    <t>Trapfinding</t>
  </si>
  <si>
    <t>Uncanny Dodge</t>
  </si>
  <si>
    <t>Trackless Step</t>
  </si>
  <si>
    <t>Battle Fortitude +2</t>
  </si>
  <si>
    <t>Fast Movement +20’</t>
  </si>
  <si>
    <t>Skirmish +2d6 +1 AC</t>
  </si>
  <si>
    <t>Crossbow Sniper</t>
  </si>
  <si>
    <t>Light Crossbow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</si>
</sst>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 [$₲-474]"/>
  </numFmts>
  <fonts count="68" x14ac:knownFonts="1">
    <font>
      <sz val="12"/>
      <name val="Times New Roman"/>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i/>
      <sz val="12"/>
      <color indexed="42"/>
      <name val="Times New Roman"/>
      <family val="1"/>
    </font>
    <font>
      <sz val="10"/>
      <name val="Arial"/>
      <family val="2"/>
    </font>
    <font>
      <i/>
      <sz val="18"/>
      <color indexed="12"/>
      <name val="Times New Roman"/>
      <family val="1"/>
    </font>
    <font>
      <sz val="12"/>
      <name val="Times New Roman"/>
      <family val="1"/>
      <charset val="1"/>
    </font>
    <font>
      <b/>
      <sz val="13"/>
      <color rgb="FF00CC00"/>
      <name val="Times New Roman"/>
      <family val="1"/>
    </font>
    <font>
      <sz val="13"/>
      <color rgb="FFFFC000"/>
      <name val="Times New Roman"/>
      <family val="1"/>
    </font>
    <font>
      <b/>
      <sz val="13"/>
      <color rgb="FFFF0000"/>
      <name val="Times New Roman"/>
      <family val="1"/>
    </font>
    <font>
      <b/>
      <sz val="13"/>
      <color rgb="FF0000FF"/>
      <name val="Times New Roman"/>
      <family val="1"/>
    </font>
    <font>
      <b/>
      <sz val="13"/>
      <color rgb="FFFFC000"/>
      <name val="Times New Roman"/>
      <family val="1"/>
    </font>
    <font>
      <b/>
      <sz val="12"/>
      <color rgb="FFFFC000"/>
      <name val="Times New Roman"/>
      <family val="1"/>
    </font>
    <font>
      <sz val="12"/>
      <color rgb="FFFFC000"/>
      <name val="Times New Roman"/>
      <family val="1"/>
    </font>
    <font>
      <i/>
      <sz val="18"/>
      <color indexed="53"/>
      <name val="Times New Roman"/>
      <family val="1"/>
    </font>
    <font>
      <i/>
      <sz val="18"/>
      <color indexed="10"/>
      <name val="Times New Roman"/>
      <family val="1"/>
    </font>
    <font>
      <i/>
      <sz val="18"/>
      <color indexed="57"/>
      <name val="Times New Roman"/>
      <family val="1"/>
    </font>
    <font>
      <i/>
      <sz val="18"/>
      <color rgb="FF0000FF"/>
      <name val="Times New Roman"/>
      <family val="1"/>
    </font>
    <font>
      <sz val="13"/>
      <color rgb="FF0000FF"/>
      <name val="Times New Roman"/>
      <family val="1"/>
    </font>
    <font>
      <i/>
      <sz val="13"/>
      <name val="Times New Roman"/>
      <family val="1"/>
    </font>
    <font>
      <sz val="13"/>
      <color rgb="FF9999FF"/>
      <name val="Times New Roman"/>
      <family val="1"/>
    </font>
    <font>
      <b/>
      <sz val="13"/>
      <color rgb="FF9999FF"/>
      <name val="Times New Roman"/>
      <family val="1"/>
    </font>
    <font>
      <b/>
      <sz val="12"/>
      <color indexed="81"/>
      <name val="Times New Roman"/>
      <family val="1"/>
    </font>
    <font>
      <i/>
      <sz val="12"/>
      <color indexed="81"/>
      <name val="Times New Roman"/>
      <family val="1"/>
    </font>
    <font>
      <i/>
      <sz val="17"/>
      <name val="Times New Roman"/>
      <family val="1"/>
    </font>
    <font>
      <i/>
      <sz val="18"/>
      <color theme="0"/>
      <name val="Times New Roman"/>
      <family val="1"/>
    </font>
    <font>
      <sz val="13"/>
      <color theme="0"/>
      <name val="Times New Roman"/>
      <family val="1"/>
    </font>
    <font>
      <i/>
      <sz val="16"/>
      <name val="Times New Roman"/>
      <family val="1"/>
    </font>
    <font>
      <b/>
      <sz val="13"/>
      <color theme="0"/>
      <name val="Times New Roman"/>
      <family val="1"/>
    </font>
    <font>
      <sz val="13"/>
      <name val="Wingdings"/>
      <charset val="2"/>
    </font>
    <font>
      <sz val="12"/>
      <name val="Wingdings"/>
      <charset val="2"/>
    </font>
    <font>
      <b/>
      <sz val="12"/>
      <color rgb="FF33CC33"/>
      <name val="Times New Roman"/>
      <family val="1"/>
    </font>
    <font>
      <i/>
      <sz val="18"/>
      <color rgb="FF008000"/>
      <name val="Times New Roman"/>
      <family val="1"/>
    </font>
    <font>
      <sz val="13"/>
      <color rgb="FF008000"/>
      <name val="Times New Roman"/>
      <family val="1"/>
    </font>
    <font>
      <i/>
      <sz val="18"/>
      <color rgb="FF9900FF"/>
      <name val="Times New Roman"/>
      <family val="1"/>
    </font>
    <font>
      <i/>
      <sz val="22"/>
      <color rgb="FF9900FF"/>
      <name val="Times New Roman"/>
      <family val="1"/>
    </font>
    <font>
      <b/>
      <sz val="13"/>
      <color rgb="FF00B0F0"/>
      <name val="Times New Roman"/>
      <family val="1"/>
    </font>
  </fonts>
  <fills count="24">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42"/>
        <bgColor indexed="64"/>
      </patternFill>
    </fill>
    <fill>
      <patternFill patternType="solid">
        <fgColor indexed="11"/>
        <bgColor indexed="64"/>
      </patternFill>
    </fill>
    <fill>
      <patternFill patternType="solid">
        <fgColor rgb="FFCCFFCC"/>
        <bgColor indexed="64"/>
      </patternFill>
    </fill>
    <fill>
      <patternFill patternType="solid">
        <fgColor theme="0" tint="-0.249977111117893"/>
        <bgColor indexed="64"/>
      </patternFill>
    </fill>
    <fill>
      <patternFill patternType="solid">
        <fgColor rgb="FFFF0000"/>
        <bgColor indexed="64"/>
      </patternFill>
    </fill>
    <fill>
      <patternFill patternType="solid">
        <fgColor rgb="FF7030A0"/>
        <bgColor indexed="64"/>
      </patternFill>
    </fill>
    <fill>
      <patternFill patternType="solid">
        <fgColor rgb="FF9966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CCFFCC"/>
        <bgColor indexed="55"/>
      </patternFill>
    </fill>
    <fill>
      <patternFill patternType="solid">
        <fgColor rgb="FFCC66FF"/>
        <bgColor indexed="64"/>
      </patternFill>
    </fill>
    <fill>
      <patternFill patternType="solid">
        <fgColor rgb="FF9900FF"/>
        <bgColor indexed="64"/>
      </patternFill>
    </fill>
    <fill>
      <patternFill patternType="solid">
        <fgColor rgb="FF33CC33"/>
        <bgColor indexed="64"/>
      </patternFill>
    </fill>
    <fill>
      <patternFill patternType="solid">
        <fgColor rgb="FF009900"/>
        <bgColor indexed="64"/>
      </patternFill>
    </fill>
    <fill>
      <patternFill patternType="solid">
        <fgColor rgb="FFFFFF00"/>
        <bgColor indexed="64"/>
      </patternFill>
    </fill>
    <fill>
      <patternFill patternType="solid">
        <fgColor rgb="FF008000"/>
        <bgColor indexed="64"/>
      </patternFill>
    </fill>
    <fill>
      <patternFill patternType="solid">
        <fgColor theme="0" tint="-0.249977111117893"/>
        <bgColor indexed="55"/>
      </patternFill>
    </fill>
  </fills>
  <borders count="138">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double">
        <color indexed="64"/>
      </right>
      <top/>
      <bottom style="hair">
        <color indexed="64"/>
      </bottom>
      <diagonal/>
    </border>
    <border>
      <left/>
      <right style="hair">
        <color indexed="64"/>
      </right>
      <top style="hair">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indexed="64"/>
      </left>
      <right style="double">
        <color indexed="64"/>
      </right>
      <top style="double">
        <color indexed="64"/>
      </top>
      <bottom style="hair">
        <color indexed="64"/>
      </bottom>
      <diagonal/>
    </border>
    <border>
      <left/>
      <right style="hair">
        <color indexed="64"/>
      </right>
      <top style="hair">
        <color indexed="64"/>
      </top>
      <bottom style="double">
        <color indexed="64"/>
      </bottom>
      <diagonal/>
    </border>
    <border>
      <left style="double">
        <color indexed="64"/>
      </left>
      <right/>
      <top style="double">
        <color indexed="64"/>
      </top>
      <bottom style="thick">
        <color theme="9" tint="-0.499984740745262"/>
      </bottom>
      <diagonal/>
    </border>
    <border>
      <left/>
      <right/>
      <top style="double">
        <color indexed="64"/>
      </top>
      <bottom style="thick">
        <color theme="9" tint="-0.499984740745262"/>
      </bottom>
      <diagonal/>
    </border>
    <border>
      <left/>
      <right style="double">
        <color indexed="64"/>
      </right>
      <top style="double">
        <color indexed="64"/>
      </top>
      <bottom style="thick">
        <color theme="9" tint="-0.499984740745262"/>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top style="double">
        <color indexed="64"/>
      </top>
      <bottom style="medium">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style="double">
        <color indexed="64"/>
      </right>
      <top style="hair">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double">
        <color indexed="64"/>
      </bottom>
      <diagonal/>
    </border>
    <border>
      <left style="medium">
        <color auto="1"/>
      </left>
      <right style="thin">
        <color auto="1"/>
      </right>
      <top style="double">
        <color auto="1"/>
      </top>
      <bottom style="thin">
        <color indexed="64"/>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style="hair">
        <color indexed="64"/>
      </left>
      <right/>
      <top style="hair">
        <color indexed="64"/>
      </top>
      <bottom style="double">
        <color indexed="64"/>
      </bottom>
      <diagonal/>
    </border>
    <border>
      <left/>
      <right/>
      <top style="hair">
        <color indexed="64"/>
      </top>
      <bottom/>
      <diagonal/>
    </border>
    <border>
      <left/>
      <right style="double">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thin">
        <color indexed="64"/>
      </left>
      <right/>
      <top style="thin">
        <color indexed="64"/>
      </top>
      <bottom style="double">
        <color indexed="64"/>
      </bottom>
      <diagonal/>
    </border>
    <border>
      <left/>
      <right style="medium">
        <color auto="1"/>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right style="hair">
        <color indexed="64"/>
      </right>
      <top/>
      <bottom style="hair">
        <color indexed="64"/>
      </bottom>
      <diagonal/>
    </border>
    <border>
      <left style="double">
        <color indexed="64"/>
      </left>
      <right style="hair">
        <color indexed="64"/>
      </right>
      <top/>
      <bottom style="hair">
        <color indexed="64"/>
      </bottom>
      <diagonal/>
    </border>
    <border>
      <left/>
      <right style="hair">
        <color indexed="64"/>
      </right>
      <top style="hair">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double">
        <color indexed="64"/>
      </top>
      <bottom style="thin">
        <color indexed="64"/>
      </bottom>
      <diagonal/>
    </border>
    <border>
      <left style="medium">
        <color indexed="64"/>
      </left>
      <right style="medium">
        <color indexed="64"/>
      </right>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double">
        <color indexed="64"/>
      </right>
      <top style="thin">
        <color indexed="64"/>
      </top>
      <bottom/>
      <diagonal/>
    </border>
    <border>
      <left style="double">
        <color indexed="64"/>
      </left>
      <right style="double">
        <color indexed="64"/>
      </right>
      <top/>
      <bottom/>
      <diagonal/>
    </border>
    <border>
      <left style="double">
        <color indexed="64"/>
      </left>
      <right/>
      <top style="hair">
        <color indexed="64"/>
      </top>
      <bottom/>
      <diagonal/>
    </border>
    <border>
      <left style="hair">
        <color indexed="64"/>
      </left>
      <right/>
      <top style="hair">
        <color indexed="64"/>
      </top>
      <bottom/>
      <diagonal/>
    </border>
    <border>
      <left style="double">
        <color indexed="64"/>
      </left>
      <right style="hair">
        <color indexed="64"/>
      </right>
      <top style="hair">
        <color indexed="64"/>
      </top>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top/>
      <bottom style="double">
        <color indexed="64"/>
      </bottom>
      <diagonal/>
    </border>
    <border>
      <left style="double">
        <color indexed="64"/>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double">
        <color indexed="64"/>
      </right>
      <top/>
      <bottom style="thin">
        <color indexed="64"/>
      </bottom>
      <diagonal/>
    </border>
    <border>
      <left style="double">
        <color indexed="64"/>
      </left>
      <right style="double">
        <color indexed="64"/>
      </right>
      <top style="hair">
        <color indexed="64"/>
      </top>
      <bottom style="thin">
        <color indexed="64"/>
      </bottom>
      <diagonal/>
    </border>
    <border>
      <left style="double">
        <color indexed="64"/>
      </left>
      <right style="hair">
        <color indexed="64"/>
      </right>
      <top/>
      <bottom style="double">
        <color indexed="64"/>
      </bottom>
      <diagonal/>
    </border>
    <border>
      <left style="hair">
        <color indexed="64"/>
      </left>
      <right style="double">
        <color indexed="64"/>
      </right>
      <top/>
      <bottom style="double">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double">
        <color indexed="64"/>
      </right>
      <top style="hair">
        <color indexed="64"/>
      </top>
      <bottom style="thin">
        <color indexed="64"/>
      </bottom>
      <diagonal/>
    </border>
    <border>
      <left style="hair">
        <color indexed="64"/>
      </left>
      <right style="hair">
        <color indexed="64"/>
      </right>
      <top/>
      <bottom/>
      <diagonal/>
    </border>
    <border>
      <left style="hair">
        <color indexed="64"/>
      </left>
      <right style="double">
        <color indexed="64"/>
      </right>
      <top/>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double">
        <color indexed="64"/>
      </top>
      <bottom/>
      <diagonal/>
    </border>
    <border>
      <left style="double">
        <color indexed="64"/>
      </left>
      <right/>
      <top/>
      <bottom style="hair">
        <color indexed="64"/>
      </bottom>
      <diagonal/>
    </border>
  </borders>
  <cellStyleXfs count="14">
    <xf numFmtId="0" fontId="0" fillId="0" borderId="0"/>
    <xf numFmtId="0" fontId="32" fillId="0" borderId="0" applyNumberFormat="0" applyFill="0" applyBorder="0" applyAlignment="0" applyProtection="0">
      <alignment vertical="top"/>
      <protection locked="0"/>
    </xf>
    <xf numFmtId="9" fontId="2" fillId="0" borderId="0" applyFont="0" applyFill="0" applyBorder="0" applyAlignment="0" applyProtection="0"/>
    <xf numFmtId="9" fontId="5" fillId="0" borderId="0" applyFont="0" applyFill="0" applyBorder="0" applyAlignment="0" applyProtection="0"/>
    <xf numFmtId="0" fontId="35" fillId="0" borderId="0"/>
    <xf numFmtId="0" fontId="2" fillId="0" borderId="0"/>
    <xf numFmtId="0" fontId="37" fillId="0" borderId="0"/>
    <xf numFmtId="0" fontId="2" fillId="0" borderId="0"/>
    <xf numFmtId="0" fontId="2" fillId="0" borderId="0"/>
    <xf numFmtId="0" fontId="1" fillId="0" borderId="0"/>
    <xf numFmtId="9" fontId="2" fillId="0" borderId="0" applyFont="0" applyFill="0" applyBorder="0" applyAlignment="0" applyProtection="0"/>
    <xf numFmtId="0" fontId="2" fillId="0" borderId="0"/>
    <xf numFmtId="0" fontId="2" fillId="0" borderId="0"/>
    <xf numFmtId="0" fontId="35" fillId="0" borderId="0"/>
  </cellStyleXfs>
  <cellXfs count="519">
    <xf numFmtId="0" fontId="0" fillId="0" borderId="0" xfId="0"/>
    <xf numFmtId="9" fontId="7" fillId="0" borderId="28" xfId="2" applyFont="1" applyFill="1" applyBorder="1" applyAlignment="1">
      <alignment horizontal="center" vertical="center" shrinkToFit="1"/>
    </xf>
    <xf numFmtId="0" fontId="12" fillId="3" borderId="39" xfId="0" applyFont="1" applyFill="1" applyBorder="1" applyAlignment="1">
      <alignment horizontal="center" vertical="center" wrapText="1"/>
    </xf>
    <xf numFmtId="0" fontId="4" fillId="0" borderId="0" xfId="0" applyFont="1" applyBorder="1" applyAlignment="1">
      <alignment vertical="center"/>
    </xf>
    <xf numFmtId="0" fontId="7" fillId="0" borderId="28" xfId="2" applyNumberFormat="1" applyFont="1" applyFill="1" applyBorder="1" applyAlignment="1">
      <alignment horizontal="center" vertical="center" shrinkToFit="1"/>
    </xf>
    <xf numFmtId="9" fontId="7" fillId="0" borderId="27" xfId="2" applyFont="1" applyFill="1" applyBorder="1" applyAlignment="1">
      <alignment horizontal="center" vertical="center" shrinkToFit="1"/>
    </xf>
    <xf numFmtId="0" fontId="20" fillId="2" borderId="65" xfId="0" applyFont="1" applyFill="1" applyBorder="1" applyAlignment="1">
      <alignment horizontal="left" vertical="center"/>
    </xf>
    <xf numFmtId="0" fontId="4" fillId="2" borderId="65" xfId="0" applyFont="1" applyFill="1" applyBorder="1" applyAlignment="1">
      <alignment horizontal="centerContinuous" vertical="center"/>
    </xf>
    <xf numFmtId="0" fontId="5" fillId="2" borderId="65" xfId="0" applyFont="1" applyFill="1" applyBorder="1" applyAlignment="1">
      <alignment horizontal="centerContinuous" vertical="center"/>
    </xf>
    <xf numFmtId="0" fontId="34" fillId="2" borderId="66" xfId="1" applyFont="1" applyFill="1" applyBorder="1" applyAlignment="1" applyProtection="1">
      <alignment horizontal="right" vertical="center"/>
    </xf>
    <xf numFmtId="0" fontId="5" fillId="0" borderId="0" xfId="0" applyFont="1" applyBorder="1" applyAlignment="1">
      <alignment vertical="center"/>
    </xf>
    <xf numFmtId="0" fontId="6" fillId="0" borderId="1" xfId="0" applyFont="1" applyBorder="1" applyAlignment="1">
      <alignment horizontal="right" vertical="center"/>
    </xf>
    <xf numFmtId="0" fontId="7" fillId="0" borderId="0" xfId="0" applyFont="1" applyBorder="1" applyAlignment="1">
      <alignment horizontal="centerContinuous" vertical="center"/>
    </xf>
    <xf numFmtId="0" fontId="6" fillId="0" borderId="0" xfId="0" applyFont="1" applyBorder="1" applyAlignment="1">
      <alignment horizontal="right" vertical="center"/>
    </xf>
    <xf numFmtId="0" fontId="7" fillId="0" borderId="0" xfId="0" applyFont="1" applyBorder="1" applyAlignment="1">
      <alignment horizontal="center" vertical="center"/>
    </xf>
    <xf numFmtId="0" fontId="0" fillId="0" borderId="0" xfId="0" applyAlignment="1">
      <alignment vertical="center"/>
    </xf>
    <xf numFmtId="0" fontId="7" fillId="0" borderId="2" xfId="0" applyFont="1" applyBorder="1" applyAlignment="1">
      <alignment horizontal="left" vertical="center"/>
    </xf>
    <xf numFmtId="0" fontId="6" fillId="4" borderId="69" xfId="0" applyFont="1" applyFill="1" applyBorder="1" applyAlignment="1">
      <alignment horizontal="right" vertical="center"/>
    </xf>
    <xf numFmtId="0" fontId="6" fillId="4" borderId="84" xfId="0" applyFont="1" applyFill="1" applyBorder="1" applyAlignment="1">
      <alignment horizontal="right" vertical="center"/>
    </xf>
    <xf numFmtId="49" fontId="7" fillId="0" borderId="70" xfId="0" applyNumberFormat="1" applyFont="1" applyFill="1" applyBorder="1" applyAlignment="1">
      <alignment horizontal="center" vertical="center"/>
    </xf>
    <xf numFmtId="0" fontId="7" fillId="0" borderId="0" xfId="0" applyFont="1" applyBorder="1" applyAlignment="1">
      <alignment horizontal="left" vertical="center"/>
    </xf>
    <xf numFmtId="0" fontId="8" fillId="2" borderId="13" xfId="0" applyFont="1" applyFill="1" applyBorder="1" applyAlignment="1">
      <alignment horizontal="right" vertical="center"/>
    </xf>
    <xf numFmtId="0" fontId="25" fillId="0" borderId="14" xfId="0" applyNumberFormat="1" applyFont="1" applyBorder="1" applyAlignment="1">
      <alignment horizontal="center" vertical="center"/>
    </xf>
    <xf numFmtId="0" fontId="8" fillId="4" borderId="54" xfId="0" applyFont="1" applyFill="1" applyBorder="1" applyAlignment="1">
      <alignment horizontal="right" vertical="center"/>
    </xf>
    <xf numFmtId="0" fontId="13" fillId="2" borderId="4" xfId="0" applyFont="1" applyFill="1" applyBorder="1" applyAlignment="1">
      <alignment horizontal="right" vertical="center"/>
    </xf>
    <xf numFmtId="49" fontId="25" fillId="0" borderId="14" xfId="0" applyNumberFormat="1" applyFont="1" applyBorder="1" applyAlignment="1">
      <alignment horizontal="center" vertical="center"/>
    </xf>
    <xf numFmtId="0" fontId="8" fillId="4" borderId="52" xfId="0" applyFont="1" applyFill="1" applyBorder="1" applyAlignment="1">
      <alignment horizontal="right" vertical="center"/>
    </xf>
    <xf numFmtId="164" fontId="6" fillId="8" borderId="31" xfId="0" applyNumberFormat="1" applyFont="1" applyFill="1" applyBorder="1" applyAlignment="1">
      <alignment horizontal="center" vertical="center"/>
    </xf>
    <xf numFmtId="0" fontId="9" fillId="0" borderId="3" xfId="0" quotePrefix="1" applyFont="1" applyBorder="1" applyAlignment="1">
      <alignment horizontal="center" vertical="center"/>
    </xf>
    <xf numFmtId="49" fontId="25" fillId="0" borderId="3" xfId="0" applyNumberFormat="1" applyFont="1" applyBorder="1" applyAlignment="1">
      <alignment horizontal="center" vertical="center"/>
    </xf>
    <xf numFmtId="0" fontId="38" fillId="2" borderId="4" xfId="0" applyFont="1" applyFill="1" applyBorder="1" applyAlignment="1">
      <alignment horizontal="right" vertical="center"/>
    </xf>
    <xf numFmtId="0" fontId="11" fillId="4" borderId="52" xfId="0" applyFont="1" applyFill="1" applyBorder="1" applyAlignment="1">
      <alignment horizontal="right" vertical="center"/>
    </xf>
    <xf numFmtId="0" fontId="22" fillId="2" borderId="4" xfId="0" applyFont="1" applyFill="1" applyBorder="1" applyAlignment="1">
      <alignment horizontal="right" vertical="center"/>
    </xf>
    <xf numFmtId="0" fontId="14" fillId="2" borderId="15" xfId="0" applyFont="1" applyFill="1" applyBorder="1" applyAlignment="1">
      <alignment horizontal="right" vertical="center"/>
    </xf>
    <xf numFmtId="49" fontId="25" fillId="0" borderId="26" xfId="0" applyNumberFormat="1" applyFont="1" applyBorder="1" applyAlignment="1">
      <alignment horizontal="center" vertical="center"/>
    </xf>
    <xf numFmtId="0" fontId="11" fillId="4" borderId="53" xfId="0" applyFont="1" applyFill="1" applyBorder="1" applyAlignment="1">
      <alignment horizontal="right" vertical="center"/>
    </xf>
    <xf numFmtId="0" fontId="3" fillId="0" borderId="1" xfId="0" applyFont="1" applyBorder="1" applyAlignment="1">
      <alignment vertical="center"/>
    </xf>
    <xf numFmtId="0" fontId="15" fillId="0" borderId="0" xfId="0" applyFont="1" applyBorder="1" applyAlignment="1">
      <alignment vertical="center"/>
    </xf>
    <xf numFmtId="0" fontId="16" fillId="0" borderId="0" xfId="0" applyFont="1" applyBorder="1" applyAlignment="1">
      <alignment vertical="center"/>
    </xf>
    <xf numFmtId="0" fontId="16" fillId="0" borderId="2"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1" xfId="0" applyFont="1" applyBorder="1" applyAlignment="1">
      <alignment vertical="center"/>
    </xf>
    <xf numFmtId="0" fontId="7" fillId="0" borderId="0" xfId="0" applyFont="1" applyBorder="1" applyAlignment="1">
      <alignment vertical="center"/>
    </xf>
    <xf numFmtId="0" fontId="7" fillId="0" borderId="2"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0" fontId="4" fillId="0" borderId="0" xfId="0" applyFont="1" applyBorder="1" applyAlignment="1">
      <alignment horizontal="right" vertical="center"/>
    </xf>
    <xf numFmtId="0" fontId="5" fillId="0" borderId="0" xfId="0" applyFont="1" applyBorder="1" applyAlignment="1">
      <alignment horizontal="left" vertical="center"/>
    </xf>
    <xf numFmtId="0" fontId="16" fillId="0" borderId="0" xfId="0" applyFont="1" applyBorder="1" applyAlignment="1">
      <alignment horizontal="centerContinuous" vertical="center"/>
    </xf>
    <xf numFmtId="0" fontId="16" fillId="0" borderId="0" xfId="0" applyNumberFormat="1" applyFont="1" applyBorder="1" applyAlignment="1">
      <alignment horizontal="centerContinuous" vertical="center"/>
    </xf>
    <xf numFmtId="0" fontId="19" fillId="0" borderId="0" xfId="0" applyFont="1" applyBorder="1" applyAlignment="1">
      <alignment vertical="center"/>
    </xf>
    <xf numFmtId="0" fontId="31" fillId="0" borderId="0" xfId="0" applyFont="1" applyBorder="1" applyAlignment="1">
      <alignment vertical="center"/>
    </xf>
    <xf numFmtId="0" fontId="29" fillId="0" borderId="0" xfId="0" applyFont="1" applyBorder="1" applyAlignment="1">
      <alignment vertical="center"/>
    </xf>
    <xf numFmtId="0" fontId="28" fillId="0" borderId="0" xfId="0" applyFont="1" applyBorder="1" applyAlignment="1">
      <alignment vertical="center"/>
    </xf>
    <xf numFmtId="0" fontId="30" fillId="0" borderId="0" xfId="0" applyFont="1" applyBorder="1" applyAlignment="1">
      <alignment vertical="center"/>
    </xf>
    <xf numFmtId="0" fontId="5" fillId="0" borderId="0" xfId="0" applyNumberFormat="1" applyFont="1" applyBorder="1" applyAlignment="1">
      <alignment horizontal="left" vertical="center"/>
    </xf>
    <xf numFmtId="0" fontId="7" fillId="0" borderId="27" xfId="8" applyFont="1" applyFill="1" applyBorder="1" applyAlignment="1">
      <alignment horizontal="center" vertical="center" wrapText="1"/>
    </xf>
    <xf numFmtId="0" fontId="7" fillId="0" borderId="29" xfId="0" applyNumberFormat="1" applyFont="1" applyFill="1" applyBorder="1" applyAlignment="1">
      <alignment horizontal="center" vertical="center" wrapText="1"/>
    </xf>
    <xf numFmtId="0" fontId="4" fillId="0" borderId="5" xfId="0" applyFont="1" applyBorder="1" applyAlignment="1">
      <alignment horizontal="centerContinuous" vertical="center"/>
    </xf>
    <xf numFmtId="0" fontId="3" fillId="0" borderId="0" xfId="0" applyFont="1" applyBorder="1" applyAlignment="1">
      <alignment horizontal="centerContinuous" vertical="center"/>
    </xf>
    <xf numFmtId="0" fontId="45" fillId="0" borderId="33" xfId="0" applyFont="1" applyBorder="1" applyAlignment="1">
      <alignment horizontal="centerContinuous" vertical="center"/>
    </xf>
    <xf numFmtId="0" fontId="26" fillId="0" borderId="37" xfId="0" applyFont="1" applyFill="1" applyBorder="1" applyAlignment="1">
      <alignment horizontal="centerContinuous" vertical="center"/>
    </xf>
    <xf numFmtId="0" fontId="49" fillId="0" borderId="37" xfId="0" applyFont="1" applyFill="1" applyBorder="1" applyAlignment="1">
      <alignment horizontal="center" vertical="center" shrinkToFit="1"/>
    </xf>
    <xf numFmtId="0" fontId="7" fillId="0" borderId="55" xfId="0" applyFont="1" applyFill="1" applyBorder="1" applyAlignment="1">
      <alignment horizontal="centerContinuous" vertical="center"/>
    </xf>
    <xf numFmtId="0" fontId="7" fillId="0" borderId="50" xfId="0" applyFont="1" applyFill="1" applyBorder="1" applyAlignment="1">
      <alignment horizontal="centerContinuous" vertical="center"/>
    </xf>
    <xf numFmtId="164" fontId="3" fillId="0" borderId="0" xfId="0" applyNumberFormat="1" applyFont="1" applyBorder="1" applyAlignment="1">
      <alignment horizontal="centerContinuous" vertical="center"/>
    </xf>
    <xf numFmtId="0" fontId="5" fillId="0" borderId="0" xfId="0" applyFont="1" applyBorder="1" applyAlignment="1">
      <alignment horizontal="center" vertical="center"/>
    </xf>
    <xf numFmtId="0" fontId="21" fillId="3" borderId="38" xfId="0" applyFont="1" applyFill="1" applyBorder="1" applyAlignment="1">
      <alignment horizontal="center" vertical="center"/>
    </xf>
    <xf numFmtId="164" fontId="21" fillId="3" borderId="39" xfId="0" applyNumberFormat="1" applyFont="1" applyFill="1" applyBorder="1" applyAlignment="1">
      <alignment horizontal="center" vertical="center"/>
    </xf>
    <xf numFmtId="0" fontId="21" fillId="3" borderId="38" xfId="0" applyFont="1" applyFill="1" applyBorder="1" applyAlignment="1">
      <alignment horizontal="right" vertical="center"/>
    </xf>
    <xf numFmtId="0" fontId="21" fillId="3" borderId="40" xfId="0" applyFont="1" applyFill="1" applyBorder="1" applyAlignment="1">
      <alignment vertical="center"/>
    </xf>
    <xf numFmtId="0" fontId="2" fillId="0" borderId="76" xfId="0" applyFont="1" applyBorder="1" applyAlignment="1">
      <alignment horizontal="center" vertical="center" shrinkToFit="1"/>
    </xf>
    <xf numFmtId="0" fontId="2" fillId="0" borderId="77" xfId="0" applyFont="1" applyBorder="1" applyAlignment="1">
      <alignment horizontal="center" vertical="center" shrinkToFit="1"/>
    </xf>
    <xf numFmtId="164" fontId="2" fillId="0" borderId="41" xfId="0" applyNumberFormat="1" applyFont="1" applyBorder="1" applyAlignment="1">
      <alignment horizontal="center" vertical="center" shrinkToFit="1"/>
    </xf>
    <xf numFmtId="0" fontId="5" fillId="0" borderId="41" xfId="0" applyFont="1" applyBorder="1" applyAlignment="1">
      <alignment horizontal="left" vertical="center"/>
    </xf>
    <xf numFmtId="0" fontId="5" fillId="0" borderId="42" xfId="0" applyFont="1" applyBorder="1" applyAlignment="1">
      <alignment horizontal="left" vertical="center" shrinkToFit="1"/>
    </xf>
    <xf numFmtId="0" fontId="2" fillId="0" borderId="78" xfId="0" applyFont="1" applyBorder="1" applyAlignment="1">
      <alignment horizontal="center" vertical="center" shrinkToFit="1"/>
    </xf>
    <xf numFmtId="0" fontId="2" fillId="0" borderId="43" xfId="0" applyFont="1" applyBorder="1" applyAlignment="1">
      <alignment horizontal="center" vertical="center" shrinkToFit="1"/>
    </xf>
    <xf numFmtId="164" fontId="2" fillId="0" borderId="43" xfId="0" applyNumberFormat="1" applyFont="1" applyBorder="1" applyAlignment="1">
      <alignment horizontal="center" vertical="center" shrinkToFit="1"/>
    </xf>
    <xf numFmtId="0" fontId="5" fillId="0" borderId="43" xfId="0" applyFont="1" applyBorder="1" applyAlignment="1">
      <alignment horizontal="left" vertical="center"/>
    </xf>
    <xf numFmtId="0" fontId="5" fillId="0" borderId="44" xfId="0" applyFont="1" applyBorder="1" applyAlignment="1">
      <alignment horizontal="left" vertical="center" shrinkToFit="1"/>
    </xf>
    <xf numFmtId="164" fontId="3" fillId="0" borderId="0" xfId="0" applyNumberFormat="1" applyFont="1" applyBorder="1" applyAlignment="1">
      <alignment horizontal="centerContinuous" vertical="center" shrinkToFit="1"/>
    </xf>
    <xf numFmtId="0" fontId="3" fillId="0" borderId="0" xfId="0" applyFont="1" applyBorder="1" applyAlignment="1">
      <alignment horizontal="centerContinuous" vertical="center" shrinkToFit="1"/>
    </xf>
    <xf numFmtId="0" fontId="2" fillId="0" borderId="41" xfId="0" applyFont="1" applyBorder="1" applyAlignment="1">
      <alignment horizontal="center" vertical="center" shrinkToFit="1"/>
    </xf>
    <xf numFmtId="164" fontId="5" fillId="0" borderId="41" xfId="0" applyNumberFormat="1" applyFont="1" applyBorder="1" applyAlignment="1">
      <alignment horizontal="center" vertical="center" shrinkToFit="1"/>
    </xf>
    <xf numFmtId="164" fontId="5" fillId="0" borderId="43" xfId="0" applyNumberFormat="1" applyFont="1" applyBorder="1" applyAlignment="1">
      <alignment horizontal="center" vertical="center" shrinkToFit="1"/>
    </xf>
    <xf numFmtId="164" fontId="5" fillId="0" borderId="0" xfId="0" applyNumberFormat="1" applyFont="1" applyBorder="1" applyAlignment="1">
      <alignment horizontal="center" vertical="center"/>
    </xf>
    <xf numFmtId="0" fontId="21" fillId="11" borderId="16" xfId="0" applyFont="1" applyFill="1" applyBorder="1" applyAlignment="1">
      <alignment horizontal="center" vertical="center"/>
    </xf>
    <xf numFmtId="0" fontId="21" fillId="11" borderId="17" xfId="0" applyFont="1" applyFill="1" applyBorder="1" applyAlignment="1">
      <alignment horizontal="center" vertical="center"/>
    </xf>
    <xf numFmtId="49" fontId="21" fillId="11" borderId="17" xfId="0" applyNumberFormat="1" applyFont="1" applyFill="1" applyBorder="1" applyAlignment="1">
      <alignment horizontal="center" vertical="center"/>
    </xf>
    <xf numFmtId="0" fontId="21" fillId="11" borderId="21" xfId="0" applyFont="1" applyFill="1" applyBorder="1" applyAlignment="1">
      <alignment horizontal="center" vertical="center"/>
    </xf>
    <xf numFmtId="0" fontId="43" fillId="12" borderId="21" xfId="0" applyFont="1" applyFill="1" applyBorder="1" applyAlignment="1">
      <alignment horizontal="center" vertical="center"/>
    </xf>
    <xf numFmtId="0" fontId="21" fillId="11" borderId="18" xfId="0" applyFont="1" applyFill="1" applyBorder="1" applyAlignment="1">
      <alignment horizontal="center" vertical="center"/>
    </xf>
    <xf numFmtId="0" fontId="5" fillId="0" borderId="0" xfId="0" applyFont="1" applyBorder="1" applyAlignment="1">
      <alignment horizontal="centerContinuous" vertical="center"/>
    </xf>
    <xf numFmtId="0" fontId="21" fillId="11" borderId="21" xfId="0" applyFont="1" applyFill="1" applyBorder="1" applyAlignment="1">
      <alignment horizontal="centerContinuous" vertical="center"/>
    </xf>
    <xf numFmtId="0" fontId="21" fillId="11" borderId="71" xfId="0" applyFont="1" applyFill="1" applyBorder="1" applyAlignment="1">
      <alignment horizontal="centerContinuous" vertical="center"/>
    </xf>
    <xf numFmtId="0" fontId="21" fillId="11" borderId="51" xfId="0" applyFont="1" applyFill="1" applyBorder="1" applyAlignment="1">
      <alignment horizontal="centerContinuous" vertical="center"/>
    </xf>
    <xf numFmtId="164" fontId="2" fillId="0" borderId="74" xfId="0" applyNumberFormat="1" applyFont="1" applyFill="1" applyBorder="1" applyAlignment="1">
      <alignment horizontal="centerContinuous" vertical="center"/>
    </xf>
    <xf numFmtId="0" fontId="21" fillId="11" borderId="19" xfId="0" applyFont="1" applyFill="1" applyBorder="1" applyAlignment="1">
      <alignment horizontal="centerContinuous" vertical="center"/>
    </xf>
    <xf numFmtId="0" fontId="21" fillId="11" borderId="20" xfId="0" applyFont="1" applyFill="1" applyBorder="1" applyAlignment="1">
      <alignment horizontal="centerContinuous" vertical="center"/>
    </xf>
    <xf numFmtId="49" fontId="2" fillId="0" borderId="9" xfId="0" applyNumberFormat="1" applyFont="1" applyFill="1" applyBorder="1" applyAlignment="1">
      <alignment horizontal="centerContinuous" vertical="center"/>
    </xf>
    <xf numFmtId="49" fontId="17" fillId="0" borderId="35" xfId="0" applyNumberFormat="1" applyFont="1" applyBorder="1" applyAlignment="1">
      <alignment horizontal="center" shrinkToFit="1"/>
    </xf>
    <xf numFmtId="0" fontId="2" fillId="0" borderId="43" xfId="0" applyFont="1" applyBorder="1" applyAlignment="1">
      <alignment horizontal="center" vertical="center"/>
    </xf>
    <xf numFmtId="164" fontId="2" fillId="0" borderId="43" xfId="0" applyNumberFormat="1" applyFont="1" applyFill="1" applyBorder="1" applyAlignment="1">
      <alignment horizontal="center" vertical="center"/>
    </xf>
    <xf numFmtId="0" fontId="21" fillId="11" borderId="33" xfId="0" applyFont="1" applyFill="1" applyBorder="1" applyAlignment="1">
      <alignment horizontal="center" vertical="center"/>
    </xf>
    <xf numFmtId="164" fontId="21" fillId="3" borderId="33" xfId="0" applyNumberFormat="1" applyFont="1" applyFill="1" applyBorder="1" applyAlignment="1">
      <alignment horizontal="center" vertical="center"/>
    </xf>
    <xf numFmtId="0" fontId="2" fillId="0" borderId="41" xfId="0" applyFont="1" applyBorder="1" applyAlignment="1">
      <alignment horizontal="center" vertical="center"/>
    </xf>
    <xf numFmtId="164" fontId="2" fillId="0" borderId="41" xfId="0" applyNumberFormat="1" applyFont="1" applyFill="1" applyBorder="1" applyAlignment="1">
      <alignment horizontal="center" vertical="center"/>
    </xf>
    <xf numFmtId="0" fontId="2" fillId="0" borderId="41" xfId="0" applyFont="1" applyFill="1" applyBorder="1" applyAlignment="1">
      <alignment horizontal="center" vertical="center"/>
    </xf>
    <xf numFmtId="1" fontId="2" fillId="0" borderId="41" xfId="0" applyNumberFormat="1" applyFont="1" applyFill="1" applyBorder="1" applyAlignment="1">
      <alignment horizontal="center" vertical="center"/>
    </xf>
    <xf numFmtId="0" fontId="7" fillId="0" borderId="47" xfId="8" applyFont="1" applyFill="1" applyBorder="1" applyAlignment="1">
      <alignment horizontal="center" vertical="center" wrapText="1"/>
    </xf>
    <xf numFmtId="9" fontId="7" fillId="0" borderId="47" xfId="2" applyFont="1" applyFill="1" applyBorder="1" applyAlignment="1">
      <alignment horizontal="center" vertical="center" shrinkToFit="1"/>
    </xf>
    <xf numFmtId="9" fontId="7" fillId="0" borderId="49" xfId="2" applyFont="1" applyFill="1" applyBorder="1" applyAlignment="1">
      <alignment horizontal="center" vertical="center" shrinkToFit="1"/>
    </xf>
    <xf numFmtId="0" fontId="7" fillId="0" borderId="49" xfId="2" applyNumberFormat="1" applyFont="1" applyFill="1" applyBorder="1" applyAlignment="1">
      <alignment horizontal="center" vertical="center" shrinkToFit="1"/>
    </xf>
    <xf numFmtId="1" fontId="2" fillId="0" borderId="57" xfId="0" applyNumberFormat="1" applyFont="1" applyBorder="1" applyAlignment="1">
      <alignment horizontal="center" vertical="center" shrinkToFit="1"/>
    </xf>
    <xf numFmtId="1" fontId="2" fillId="0" borderId="50" xfId="0" applyNumberFormat="1" applyFont="1" applyBorder="1" applyAlignment="1">
      <alignment horizontal="center" vertical="center" shrinkToFit="1"/>
    </xf>
    <xf numFmtId="1" fontId="5" fillId="0" borderId="0" xfId="0" applyNumberFormat="1" applyFont="1" applyBorder="1" applyAlignment="1">
      <alignment vertical="center"/>
    </xf>
    <xf numFmtId="1" fontId="21" fillId="3" borderId="33" xfId="0" applyNumberFormat="1" applyFont="1" applyFill="1" applyBorder="1" applyAlignment="1">
      <alignment horizontal="center" vertical="center"/>
    </xf>
    <xf numFmtId="0" fontId="2" fillId="0" borderId="42" xfId="0" applyFont="1" applyBorder="1" applyAlignment="1">
      <alignment horizontal="left" vertical="center" shrinkToFit="1"/>
    </xf>
    <xf numFmtId="0" fontId="2" fillId="0" borderId="0" xfId="0" applyFont="1" applyBorder="1" applyAlignment="1">
      <alignment vertical="center"/>
    </xf>
    <xf numFmtId="1" fontId="2" fillId="0" borderId="37" xfId="0" applyNumberFormat="1" applyFont="1" applyFill="1" applyBorder="1" applyAlignment="1">
      <alignment horizontal="center" vertical="center"/>
    </xf>
    <xf numFmtId="1" fontId="2" fillId="0" borderId="81" xfId="0" applyNumberFormat="1" applyFont="1" applyFill="1" applyBorder="1" applyAlignment="1">
      <alignment horizontal="center" vertical="center"/>
    </xf>
    <xf numFmtId="1" fontId="2" fillId="0" borderId="50" xfId="0" applyNumberFormat="1" applyFont="1" applyFill="1" applyBorder="1" applyAlignment="1">
      <alignment horizontal="center" vertical="center"/>
    </xf>
    <xf numFmtId="0" fontId="6" fillId="4" borderId="11" xfId="0" applyFont="1" applyFill="1" applyBorder="1" applyAlignment="1">
      <alignment horizontal="right" vertical="center"/>
    </xf>
    <xf numFmtId="49" fontId="7" fillId="0" borderId="93" xfId="0" applyNumberFormat="1" applyFont="1" applyBorder="1" applyAlignment="1">
      <alignment horizontal="centerContinuous" vertical="center"/>
    </xf>
    <xf numFmtId="0" fontId="2" fillId="0" borderId="94" xfId="0" applyFont="1" applyBorder="1" applyAlignment="1">
      <alignment horizontal="centerContinuous" vertical="center"/>
    </xf>
    <xf numFmtId="0" fontId="5" fillId="0" borderId="43" xfId="0" applyFont="1" applyBorder="1" applyAlignment="1">
      <alignment horizontal="center" vertical="center" shrinkToFit="1"/>
    </xf>
    <xf numFmtId="0" fontId="7" fillId="0" borderId="28" xfId="0" applyNumberFormat="1" applyFont="1" applyFill="1" applyBorder="1" applyAlignment="1">
      <alignment horizontal="center" vertical="center" shrinkToFit="1"/>
    </xf>
    <xf numFmtId="0" fontId="7" fillId="0" borderId="29" xfId="0" quotePrefix="1" applyNumberFormat="1" applyFont="1" applyFill="1" applyBorder="1" applyAlignment="1">
      <alignment horizontal="center" vertical="center" wrapText="1"/>
    </xf>
    <xf numFmtId="0" fontId="7" fillId="0" borderId="49" xfId="0" applyNumberFormat="1" applyFont="1" applyFill="1" applyBorder="1" applyAlignment="1">
      <alignment horizontal="center" vertical="center" shrinkToFit="1"/>
    </xf>
    <xf numFmtId="0" fontId="2" fillId="13" borderId="76" xfId="0" applyFont="1" applyFill="1" applyBorder="1" applyAlignment="1">
      <alignment horizontal="center" vertical="center"/>
    </xf>
    <xf numFmtId="0" fontId="2" fillId="13" borderId="46" xfId="0" applyFont="1" applyFill="1" applyBorder="1" applyAlignment="1">
      <alignment horizontal="center" vertical="center"/>
    </xf>
    <xf numFmtId="49" fontId="2" fillId="13" borderId="46" xfId="0" applyNumberFormat="1" applyFont="1" applyFill="1" applyBorder="1" applyAlignment="1">
      <alignment horizontal="center" vertical="center"/>
    </xf>
    <xf numFmtId="0" fontId="2" fillId="13" borderId="45" xfId="0" applyFont="1" applyFill="1" applyBorder="1" applyAlignment="1">
      <alignment horizontal="center" vertical="center"/>
    </xf>
    <xf numFmtId="0" fontId="2" fillId="13" borderId="57" xfId="0" applyFont="1" applyFill="1" applyBorder="1" applyAlignment="1">
      <alignment horizontal="center" vertical="center"/>
    </xf>
    <xf numFmtId="1" fontId="2" fillId="13" borderId="41" xfId="0" applyNumberFormat="1" applyFont="1" applyFill="1" applyBorder="1" applyAlignment="1">
      <alignment horizontal="center" vertical="center"/>
    </xf>
    <xf numFmtId="0" fontId="2" fillId="0" borderId="77" xfId="0" applyFont="1" applyBorder="1" applyAlignment="1">
      <alignment horizontal="center" vertical="center"/>
    </xf>
    <xf numFmtId="49" fontId="2" fillId="0" borderId="41" xfId="0" applyNumberFormat="1" applyFont="1" applyBorder="1" applyAlignment="1">
      <alignment horizontal="center" vertical="center"/>
    </xf>
    <xf numFmtId="164" fontId="2" fillId="0" borderId="41" xfId="0" applyNumberFormat="1" applyFont="1" applyBorder="1" applyAlignment="1">
      <alignment horizontal="center" vertical="center"/>
    </xf>
    <xf numFmtId="0" fontId="2" fillId="13" borderId="43" xfId="0" applyFont="1" applyFill="1" applyBorder="1" applyAlignment="1">
      <alignment horizontal="center" vertical="center"/>
    </xf>
    <xf numFmtId="49" fontId="2" fillId="13" borderId="43" xfId="0" applyNumberFormat="1" applyFont="1" applyFill="1" applyBorder="1" applyAlignment="1">
      <alignment horizontal="center" vertical="center"/>
    </xf>
    <xf numFmtId="1" fontId="2" fillId="13" borderId="43" xfId="0" applyNumberFormat="1" applyFont="1" applyFill="1" applyBorder="1" applyAlignment="1">
      <alignment horizontal="center" vertical="center"/>
    </xf>
    <xf numFmtId="0" fontId="2" fillId="0" borderId="43" xfId="0" quotePrefix="1" applyFont="1" applyBorder="1" applyAlignment="1">
      <alignment horizontal="center" vertical="center"/>
    </xf>
    <xf numFmtId="0" fontId="2" fillId="0" borderId="89" xfId="0" applyFont="1" applyFill="1" applyBorder="1" applyAlignment="1">
      <alignment horizontal="centerContinuous" vertical="center"/>
    </xf>
    <xf numFmtId="0" fontId="5" fillId="0" borderId="75" xfId="0" quotePrefix="1" applyFont="1" applyBorder="1" applyAlignment="1">
      <alignment horizontal="centerContinuous" vertical="center"/>
    </xf>
    <xf numFmtId="0" fontId="46" fillId="0" borderId="33" xfId="0" applyFont="1" applyBorder="1" applyAlignment="1">
      <alignment horizontal="centerContinuous" vertical="center"/>
    </xf>
    <xf numFmtId="0" fontId="47" fillId="0" borderId="33" xfId="0" applyFont="1" applyBorder="1" applyAlignment="1">
      <alignment horizontal="centerContinuous" vertical="center"/>
    </xf>
    <xf numFmtId="0" fontId="21" fillId="11" borderId="95" xfId="0" applyFont="1" applyFill="1" applyBorder="1" applyAlignment="1">
      <alignment horizontal="center" vertical="center"/>
    </xf>
    <xf numFmtId="1" fontId="21" fillId="11" borderId="33" xfId="0" applyNumberFormat="1" applyFont="1" applyFill="1" applyBorder="1" applyAlignment="1">
      <alignment horizontal="center" vertical="center"/>
    </xf>
    <xf numFmtId="1" fontId="2" fillId="0" borderId="81" xfId="0" applyNumberFormat="1" applyFont="1" applyBorder="1" applyAlignment="1">
      <alignment horizontal="center" vertical="center"/>
    </xf>
    <xf numFmtId="0" fontId="2" fillId="0" borderId="82" xfId="0" applyFont="1" applyFill="1" applyBorder="1" applyAlignment="1">
      <alignment horizontal="centerContinuous" vertical="center" shrinkToFit="1"/>
    </xf>
    <xf numFmtId="0" fontId="21" fillId="0" borderId="72" xfId="0" applyFont="1" applyFill="1" applyBorder="1" applyAlignment="1">
      <alignment horizontal="centerContinuous" vertical="center"/>
    </xf>
    <xf numFmtId="0" fontId="21" fillId="0" borderId="58" xfId="0" applyFont="1" applyFill="1" applyBorder="1" applyAlignment="1">
      <alignment horizontal="centerContinuous" vertical="center"/>
    </xf>
    <xf numFmtId="0" fontId="2" fillId="0" borderId="90" xfId="0" applyFont="1" applyFill="1" applyBorder="1" applyAlignment="1">
      <alignment horizontal="center" vertical="center"/>
    </xf>
    <xf numFmtId="0" fontId="2" fillId="0" borderId="73" xfId="0" applyFont="1" applyFill="1" applyBorder="1" applyAlignment="1">
      <alignment horizontal="centerContinuous" vertical="center"/>
    </xf>
    <xf numFmtId="0" fontId="2" fillId="0" borderId="83" xfId="0" applyFont="1" applyFill="1" applyBorder="1" applyAlignment="1">
      <alignment horizontal="centerContinuous" vertical="center" shrinkToFit="1"/>
    </xf>
    <xf numFmtId="0" fontId="2" fillId="0" borderId="74" xfId="0" applyFont="1" applyFill="1" applyBorder="1" applyAlignment="1">
      <alignment horizontal="centerContinuous" vertical="center"/>
    </xf>
    <xf numFmtId="0" fontId="2" fillId="0" borderId="63" xfId="0" applyFont="1" applyFill="1" applyBorder="1" applyAlignment="1">
      <alignment horizontal="centerContinuous" vertical="center"/>
    </xf>
    <xf numFmtId="49" fontId="2" fillId="0" borderId="87" xfId="0" applyNumberFormat="1" applyFont="1" applyFill="1" applyBorder="1" applyAlignment="1">
      <alignment horizontal="center" vertical="center"/>
    </xf>
    <xf numFmtId="49" fontId="2" fillId="0" borderId="43" xfId="0" applyNumberFormat="1" applyFont="1" applyFill="1" applyBorder="1" applyAlignment="1">
      <alignment horizontal="center" vertical="center"/>
    </xf>
    <xf numFmtId="0" fontId="2" fillId="0" borderId="75" xfId="0" applyFont="1" applyFill="1" applyBorder="1" applyAlignment="1">
      <alignment horizontal="centerContinuous" vertical="center"/>
    </xf>
    <xf numFmtId="1" fontId="2" fillId="0" borderId="50" xfId="0" applyNumberFormat="1" applyFont="1" applyBorder="1" applyAlignment="1">
      <alignment horizontal="center" vertical="center"/>
    </xf>
    <xf numFmtId="0" fontId="26" fillId="0" borderId="50" xfId="0" applyFont="1" applyFill="1" applyBorder="1" applyAlignment="1">
      <alignment horizontal="centerContinuous" vertical="center"/>
    </xf>
    <xf numFmtId="0" fontId="49" fillId="0" borderId="37" xfId="0" applyFont="1" applyFill="1" applyBorder="1" applyAlignment="1">
      <alignment horizontal="centerContinuous" vertical="center"/>
    </xf>
    <xf numFmtId="49" fontId="4" fillId="0" borderId="0" xfId="0" applyNumberFormat="1" applyFont="1" applyBorder="1" applyAlignment="1">
      <alignment horizontal="center" vertical="center"/>
    </xf>
    <xf numFmtId="0" fontId="2" fillId="0" borderId="0" xfId="0" applyFont="1" applyBorder="1" applyAlignment="1">
      <alignment horizontal="left" vertical="center"/>
    </xf>
    <xf numFmtId="0" fontId="4" fillId="0" borderId="0" xfId="0" applyFont="1" applyBorder="1" applyAlignment="1">
      <alignment horizontal="center" vertical="center"/>
    </xf>
    <xf numFmtId="0" fontId="2" fillId="0" borderId="82" xfId="0" applyFont="1" applyBorder="1" applyAlignment="1">
      <alignment horizontal="center" vertical="center" shrinkToFit="1"/>
    </xf>
    <xf numFmtId="1" fontId="2" fillId="0" borderId="41" xfId="0" applyNumberFormat="1" applyFont="1" applyBorder="1" applyAlignment="1">
      <alignment horizontal="center" vertical="center" shrinkToFit="1"/>
    </xf>
    <xf numFmtId="0" fontId="2" fillId="0" borderId="90" xfId="0" applyFont="1" applyBorder="1" applyAlignment="1">
      <alignment horizontal="left" vertical="center"/>
    </xf>
    <xf numFmtId="1" fontId="2" fillId="0" borderId="37" xfId="0" applyNumberFormat="1" applyFont="1" applyBorder="1" applyAlignment="1">
      <alignment horizontal="center" vertical="center" shrinkToFit="1"/>
    </xf>
    <xf numFmtId="0" fontId="24" fillId="0" borderId="25" xfId="0" applyFont="1" applyBorder="1" applyAlignment="1">
      <alignment horizontal="centerContinuous" vertical="center"/>
    </xf>
    <xf numFmtId="0" fontId="12" fillId="3" borderId="67" xfId="0" applyFont="1" applyFill="1" applyBorder="1" applyAlignment="1">
      <alignment horizontal="centerContinuous" vertical="center"/>
    </xf>
    <xf numFmtId="0" fontId="12" fillId="3" borderId="39" xfId="0" applyFont="1" applyFill="1" applyBorder="1" applyAlignment="1">
      <alignment horizontal="center" vertical="center"/>
    </xf>
    <xf numFmtId="0" fontId="12" fillId="3" borderId="39" xfId="0" applyNumberFormat="1" applyFont="1" applyFill="1" applyBorder="1" applyAlignment="1">
      <alignment horizontal="center" vertical="center"/>
    </xf>
    <xf numFmtId="0" fontId="42" fillId="12" borderId="38" xfId="0" applyNumberFormat="1" applyFont="1" applyFill="1" applyBorder="1" applyAlignment="1">
      <alignment horizontal="center" vertical="center"/>
    </xf>
    <xf numFmtId="0" fontId="12" fillId="3" borderId="68" xfId="0" applyFont="1" applyFill="1" applyBorder="1" applyAlignment="1">
      <alignment horizontal="center" vertical="center"/>
    </xf>
    <xf numFmtId="0" fontId="40" fillId="0" borderId="1" xfId="0" applyFont="1" applyFill="1" applyBorder="1" applyAlignment="1">
      <alignment vertical="center"/>
    </xf>
    <xf numFmtId="0" fontId="6" fillId="0" borderId="27" xfId="0" applyFont="1" applyFill="1" applyBorder="1" applyAlignment="1">
      <alignment horizontal="center" vertical="center"/>
    </xf>
    <xf numFmtId="0" fontId="49" fillId="0" borderId="27" xfId="0" applyFont="1" applyFill="1" applyBorder="1" applyAlignment="1">
      <alignment horizontal="center" vertical="center"/>
    </xf>
    <xf numFmtId="0" fontId="7" fillId="0" borderId="27" xfId="0" applyFont="1" applyFill="1" applyBorder="1" applyAlignment="1">
      <alignment horizontal="center" vertical="center"/>
    </xf>
    <xf numFmtId="0" fontId="41" fillId="0" borderId="27" xfId="0" applyFont="1" applyFill="1" applyBorder="1" applyAlignment="1">
      <alignment horizontal="center" vertical="center"/>
    </xf>
    <xf numFmtId="1" fontId="7" fillId="0" borderId="27" xfId="0" applyNumberFormat="1" applyFont="1" applyFill="1" applyBorder="1" applyAlignment="1">
      <alignment horizontal="center" vertical="center"/>
    </xf>
    <xf numFmtId="0" fontId="39" fillId="12" borderId="28" xfId="0" applyNumberFormat="1" applyFont="1" applyFill="1" applyBorder="1" applyAlignment="1">
      <alignment horizontal="center" vertical="center"/>
    </xf>
    <xf numFmtId="0" fontId="7" fillId="0" borderId="29" xfId="0" quotePrefix="1" applyNumberFormat="1" applyFont="1" applyFill="1" applyBorder="1" applyAlignment="1">
      <alignment horizontal="center" vertical="center"/>
    </xf>
    <xf numFmtId="0" fontId="52" fillId="0" borderId="1" xfId="0" applyFont="1" applyFill="1" applyBorder="1" applyAlignment="1">
      <alignment vertical="center"/>
    </xf>
    <xf numFmtId="0" fontId="51" fillId="0" borderId="27" xfId="0" applyFont="1" applyFill="1" applyBorder="1" applyAlignment="1">
      <alignment horizontal="center" vertical="center"/>
    </xf>
    <xf numFmtId="0" fontId="13" fillId="0" borderId="28" xfId="0" applyNumberFormat="1" applyFont="1" applyFill="1" applyBorder="1" applyAlignment="1">
      <alignment horizontal="center" vertical="center"/>
    </xf>
    <xf numFmtId="0" fontId="41" fillId="0" borderId="34" xfId="0" applyFont="1" applyFill="1" applyBorder="1" applyAlignment="1">
      <alignment vertical="center"/>
    </xf>
    <xf numFmtId="0" fontId="6" fillId="0" borderId="48" xfId="0" applyFont="1" applyFill="1" applyBorder="1" applyAlignment="1">
      <alignment horizontal="center" vertical="center"/>
    </xf>
    <xf numFmtId="0" fontId="7" fillId="0" borderId="48" xfId="0" applyFont="1" applyFill="1" applyBorder="1" applyAlignment="1">
      <alignment horizontal="center" vertical="center"/>
    </xf>
    <xf numFmtId="0" fontId="42" fillId="0" borderId="48" xfId="0" applyFont="1" applyFill="1" applyBorder="1" applyAlignment="1">
      <alignment horizontal="center" vertical="center"/>
    </xf>
    <xf numFmtId="1" fontId="7" fillId="0" borderId="48" xfId="0" applyNumberFormat="1" applyFont="1" applyFill="1" applyBorder="1" applyAlignment="1">
      <alignment horizontal="center" vertical="center"/>
    </xf>
    <xf numFmtId="0" fontId="39" fillId="12" borderId="48" xfId="0" applyNumberFormat="1" applyFont="1" applyFill="1" applyBorder="1" applyAlignment="1">
      <alignment horizontal="center" vertical="center"/>
    </xf>
    <xf numFmtId="0" fontId="7" fillId="0" borderId="35" xfId="0" quotePrefix="1" applyNumberFormat="1" applyFont="1" applyFill="1" applyBorder="1" applyAlignment="1">
      <alignment horizontal="center" vertical="center"/>
    </xf>
    <xf numFmtId="0" fontId="11" fillId="0" borderId="1" xfId="0" applyFont="1" applyFill="1" applyBorder="1" applyAlignment="1">
      <alignment vertical="center"/>
    </xf>
    <xf numFmtId="0" fontId="7" fillId="0" borderId="27" xfId="0" applyNumberFormat="1" applyFont="1" applyFill="1" applyBorder="1" applyAlignment="1">
      <alignment horizontal="center" vertical="center"/>
    </xf>
    <xf numFmtId="49" fontId="17" fillId="0" borderId="27" xfId="0" applyNumberFormat="1" applyFont="1" applyFill="1" applyBorder="1" applyAlignment="1">
      <alignment horizontal="center" vertical="center"/>
    </xf>
    <xf numFmtId="0" fontId="17" fillId="0" borderId="28" xfId="0" applyNumberFormat="1" applyFont="1" applyFill="1" applyBorder="1" applyAlignment="1">
      <alignment horizontal="center" vertical="center"/>
    </xf>
    <xf numFmtId="0" fontId="11" fillId="0" borderId="28" xfId="0" applyNumberFormat="1" applyFont="1" applyFill="1" applyBorder="1" applyAlignment="1">
      <alignment horizontal="center" vertical="center"/>
    </xf>
    <xf numFmtId="0" fontId="7" fillId="0" borderId="28" xfId="0" applyNumberFormat="1" applyFont="1" applyFill="1" applyBorder="1" applyAlignment="1">
      <alignment horizontal="center" vertical="center"/>
    </xf>
    <xf numFmtId="49" fontId="7" fillId="0" borderId="28" xfId="0" applyNumberFormat="1" applyFont="1" applyFill="1" applyBorder="1" applyAlignment="1">
      <alignment horizontal="center" vertical="center"/>
    </xf>
    <xf numFmtId="49" fontId="51" fillId="0" borderId="27" xfId="0" applyNumberFormat="1" applyFont="1" applyFill="1" applyBorder="1" applyAlignment="1">
      <alignment horizontal="center" vertical="center"/>
    </xf>
    <xf numFmtId="0" fontId="51" fillId="0" borderId="28" xfId="0" applyNumberFormat="1" applyFont="1" applyFill="1" applyBorder="1" applyAlignment="1">
      <alignment horizontal="center" vertical="center"/>
    </xf>
    <xf numFmtId="0" fontId="7" fillId="9" borderId="27" xfId="0" applyNumberFormat="1" applyFont="1" applyFill="1" applyBorder="1" applyAlignment="1">
      <alignment horizontal="center" vertical="center"/>
    </xf>
    <xf numFmtId="49" fontId="7" fillId="9" borderId="28" xfId="0" applyNumberFormat="1" applyFont="1" applyFill="1" applyBorder="1" applyAlignment="1">
      <alignment horizontal="center" vertical="center"/>
    </xf>
    <xf numFmtId="0" fontId="7" fillId="9" borderId="29" xfId="0" quotePrefix="1" applyNumberFormat="1" applyFont="1" applyFill="1" applyBorder="1" applyAlignment="1">
      <alignment horizontal="center" vertical="center"/>
    </xf>
    <xf numFmtId="0" fontId="8" fillId="0" borderId="1" xfId="0" applyFont="1" applyFill="1" applyBorder="1" applyAlignment="1">
      <alignment vertical="center"/>
    </xf>
    <xf numFmtId="49" fontId="18" fillId="0" borderId="27" xfId="0" applyNumberFormat="1" applyFont="1" applyFill="1" applyBorder="1" applyAlignment="1">
      <alignment horizontal="center" vertical="center"/>
    </xf>
    <xf numFmtId="0" fontId="18" fillId="0" borderId="28" xfId="0" applyNumberFormat="1" applyFont="1" applyFill="1" applyBorder="1" applyAlignment="1">
      <alignment horizontal="center" vertical="center"/>
    </xf>
    <xf numFmtId="0" fontId="8" fillId="0" borderId="28" xfId="0" applyNumberFormat="1" applyFont="1" applyFill="1" applyBorder="1" applyAlignment="1">
      <alignment horizontal="center" vertical="center"/>
    </xf>
    <xf numFmtId="0" fontId="7" fillId="7" borderId="27" xfId="0" applyNumberFormat="1" applyFont="1" applyFill="1" applyBorder="1" applyAlignment="1">
      <alignment horizontal="center" vertical="center"/>
    </xf>
    <xf numFmtId="49" fontId="7" fillId="7" borderId="28" xfId="0" applyNumberFormat="1" applyFont="1" applyFill="1" applyBorder="1" applyAlignment="1">
      <alignment horizontal="center" vertical="center"/>
    </xf>
    <xf numFmtId="0" fontId="7" fillId="7" borderId="29" xfId="0" quotePrefix="1" applyNumberFormat="1" applyFont="1" applyFill="1" applyBorder="1" applyAlignment="1">
      <alignment horizontal="center" vertical="center"/>
    </xf>
    <xf numFmtId="0" fontId="11" fillId="5" borderId="1" xfId="0" applyFont="1" applyFill="1" applyBorder="1" applyAlignment="1">
      <alignment vertical="center"/>
    </xf>
    <xf numFmtId="0" fontId="7" fillId="5" borderId="27" xfId="0" applyNumberFormat="1" applyFont="1" applyFill="1" applyBorder="1" applyAlignment="1">
      <alignment horizontal="center" vertical="center"/>
    </xf>
    <xf numFmtId="49" fontId="17" fillId="5" borderId="27" xfId="0" applyNumberFormat="1" applyFont="1" applyFill="1" applyBorder="1" applyAlignment="1">
      <alignment horizontal="center" vertical="center"/>
    </xf>
    <xf numFmtId="0" fontId="17" fillId="5" borderId="28" xfId="0" applyNumberFormat="1" applyFont="1" applyFill="1" applyBorder="1" applyAlignment="1">
      <alignment horizontal="center" vertical="center"/>
    </xf>
    <xf numFmtId="0" fontId="11" fillId="5" borderId="28" xfId="0" applyNumberFormat="1" applyFont="1" applyFill="1" applyBorder="1" applyAlignment="1">
      <alignment horizontal="center" vertical="center"/>
    </xf>
    <xf numFmtId="49" fontId="7" fillId="5" borderId="28" xfId="0" applyNumberFormat="1" applyFont="1" applyFill="1" applyBorder="1" applyAlignment="1">
      <alignment horizontal="center" vertical="center"/>
    </xf>
    <xf numFmtId="0" fontId="7" fillId="5" borderId="29" xfId="0" quotePrefix="1" applyNumberFormat="1" applyFont="1" applyFill="1" applyBorder="1" applyAlignment="1">
      <alignment horizontal="center" vertical="center"/>
    </xf>
    <xf numFmtId="0" fontId="14" fillId="0" borderId="1" xfId="0" applyFont="1" applyFill="1" applyBorder="1" applyAlignment="1">
      <alignment vertical="center"/>
    </xf>
    <xf numFmtId="49" fontId="23" fillId="0" borderId="27" xfId="0" applyNumberFormat="1" applyFont="1" applyFill="1" applyBorder="1" applyAlignment="1">
      <alignment horizontal="center" vertical="center"/>
    </xf>
    <xf numFmtId="0" fontId="23" fillId="0" borderId="28" xfId="0" applyNumberFormat="1" applyFont="1" applyFill="1" applyBorder="1" applyAlignment="1">
      <alignment horizontal="center" vertical="center"/>
    </xf>
    <xf numFmtId="0" fontId="14" fillId="0" borderId="28" xfId="0" applyNumberFormat="1" applyFont="1" applyFill="1" applyBorder="1" applyAlignment="1">
      <alignment horizontal="center" vertical="center"/>
    </xf>
    <xf numFmtId="0" fontId="11" fillId="6" borderId="1" xfId="0" applyFont="1" applyFill="1" applyBorder="1" applyAlignment="1">
      <alignment vertical="center"/>
    </xf>
    <xf numFmtId="0" fontId="7" fillId="6" borderId="27" xfId="0" applyNumberFormat="1" applyFont="1" applyFill="1" applyBorder="1" applyAlignment="1">
      <alignment horizontal="center" vertical="center"/>
    </xf>
    <xf numFmtId="49" fontId="17" fillId="6" borderId="27" xfId="0" applyNumberFormat="1" applyFont="1" applyFill="1" applyBorder="1" applyAlignment="1">
      <alignment horizontal="center" vertical="center"/>
    </xf>
    <xf numFmtId="0" fontId="17" fillId="6" borderId="28" xfId="0" applyNumberFormat="1" applyFont="1" applyFill="1" applyBorder="1" applyAlignment="1">
      <alignment horizontal="center" vertical="center"/>
    </xf>
    <xf numFmtId="0" fontId="11" fillId="6" borderId="28" xfId="0" applyNumberFormat="1" applyFont="1" applyFill="1" applyBorder="1" applyAlignment="1">
      <alignment horizontal="center" vertical="center"/>
    </xf>
    <xf numFmtId="49" fontId="7" fillId="6" borderId="28" xfId="0" applyNumberFormat="1" applyFont="1" applyFill="1" applyBorder="1" applyAlignment="1">
      <alignment horizontal="center" vertical="center"/>
    </xf>
    <xf numFmtId="0" fontId="7" fillId="6" borderId="29" xfId="0" quotePrefix="1" applyNumberFormat="1" applyFont="1" applyFill="1" applyBorder="1" applyAlignment="1">
      <alignment horizontal="center" vertical="center"/>
    </xf>
    <xf numFmtId="0" fontId="11" fillId="7" borderId="1" xfId="0" applyFont="1" applyFill="1" applyBorder="1" applyAlignment="1">
      <alignment vertical="center"/>
    </xf>
    <xf numFmtId="49" fontId="17" fillId="7" borderId="27" xfId="0" applyNumberFormat="1" applyFont="1" applyFill="1" applyBorder="1" applyAlignment="1">
      <alignment horizontal="center" vertical="center"/>
    </xf>
    <xf numFmtId="0" fontId="17" fillId="7" borderId="28" xfId="0" applyNumberFormat="1" applyFont="1" applyFill="1" applyBorder="1" applyAlignment="1">
      <alignment horizontal="center" vertical="center"/>
    </xf>
    <xf numFmtId="0" fontId="11" fillId="7" borderId="28" xfId="0" applyNumberFormat="1" applyFont="1" applyFill="1" applyBorder="1" applyAlignment="1">
      <alignment horizontal="center" vertical="center"/>
    </xf>
    <xf numFmtId="49" fontId="27" fillId="0" borderId="27" xfId="0" applyNumberFormat="1" applyFont="1" applyFill="1" applyBorder="1" applyAlignment="1">
      <alignment horizontal="center" vertical="center"/>
    </xf>
    <xf numFmtId="0" fontId="27" fillId="0" borderId="28" xfId="0" applyNumberFormat="1" applyFont="1" applyFill="1" applyBorder="1" applyAlignment="1">
      <alignment horizontal="center" vertical="center"/>
    </xf>
    <xf numFmtId="0" fontId="22" fillId="0" borderId="28" xfId="0" applyNumberFormat="1" applyFont="1" applyFill="1" applyBorder="1" applyAlignment="1">
      <alignment horizontal="center" vertical="center"/>
    </xf>
    <xf numFmtId="0" fontId="52" fillId="5" borderId="1" xfId="0" applyFont="1" applyFill="1" applyBorder="1" applyAlignment="1">
      <alignment vertical="center"/>
    </xf>
    <xf numFmtId="49" fontId="51" fillId="5" borderId="27" xfId="0" applyNumberFormat="1" applyFont="1" applyFill="1" applyBorder="1" applyAlignment="1">
      <alignment horizontal="center" vertical="center"/>
    </xf>
    <xf numFmtId="0" fontId="51" fillId="5" borderId="28" xfId="0" applyNumberFormat="1" applyFont="1" applyFill="1" applyBorder="1" applyAlignment="1">
      <alignment horizontal="center" vertical="center"/>
    </xf>
    <xf numFmtId="0" fontId="52" fillId="5" borderId="28" xfId="0" applyNumberFormat="1" applyFont="1" applyFill="1" applyBorder="1" applyAlignment="1">
      <alignment horizontal="center" vertical="center"/>
    </xf>
    <xf numFmtId="49" fontId="27" fillId="9" borderId="27" xfId="0" applyNumberFormat="1" applyFont="1" applyFill="1" applyBorder="1" applyAlignment="1">
      <alignment horizontal="center" vertical="center"/>
    </xf>
    <xf numFmtId="0" fontId="27" fillId="9" borderId="28" xfId="0" applyNumberFormat="1" applyFont="1" applyFill="1" applyBorder="1" applyAlignment="1">
      <alignment horizontal="center" vertical="center"/>
    </xf>
    <xf numFmtId="0" fontId="22" fillId="9" borderId="28" xfId="0" applyNumberFormat="1" applyFont="1" applyFill="1" applyBorder="1" applyAlignment="1">
      <alignment horizontal="center" vertical="center"/>
    </xf>
    <xf numFmtId="0" fontId="11" fillId="9" borderId="1" xfId="0" applyFont="1" applyFill="1" applyBorder="1" applyAlignment="1">
      <alignment vertical="center"/>
    </xf>
    <xf numFmtId="49" fontId="17" fillId="9" borderId="27" xfId="0" applyNumberFormat="1" applyFont="1" applyFill="1" applyBorder="1" applyAlignment="1">
      <alignment horizontal="center" vertical="center"/>
    </xf>
    <xf numFmtId="0" fontId="17" fillId="9" borderId="28" xfId="0" applyNumberFormat="1" applyFont="1" applyFill="1" applyBorder="1" applyAlignment="1">
      <alignment horizontal="center" vertical="center"/>
    </xf>
    <xf numFmtId="0" fontId="11" fillId="9" borderId="28" xfId="0" applyNumberFormat="1" applyFont="1" applyFill="1" applyBorder="1" applyAlignment="1">
      <alignment horizontal="center" vertical="center"/>
    </xf>
    <xf numFmtId="0" fontId="22" fillId="9" borderId="1" xfId="0" applyFont="1" applyFill="1" applyBorder="1" applyAlignment="1">
      <alignment vertical="center"/>
    </xf>
    <xf numFmtId="0" fontId="39" fillId="12" borderId="47" xfId="0" applyNumberFormat="1" applyFont="1" applyFill="1" applyBorder="1" applyAlignment="1">
      <alignment horizontal="center" vertical="center"/>
    </xf>
    <xf numFmtId="0" fontId="4" fillId="0" borderId="0" xfId="0" applyFont="1" applyBorder="1" applyAlignment="1">
      <alignment horizontal="left" vertical="center"/>
    </xf>
    <xf numFmtId="0" fontId="48" fillId="0" borderId="0" xfId="0" applyFont="1" applyBorder="1" applyAlignment="1">
      <alignment horizontal="centerContinuous" vertical="center"/>
    </xf>
    <xf numFmtId="0" fontId="36" fillId="0" borderId="0" xfId="0" applyFont="1" applyBorder="1" applyAlignment="1">
      <alignment horizontal="centerContinuous" vertical="center"/>
    </xf>
    <xf numFmtId="0" fontId="2" fillId="0" borderId="6" xfId="0" applyFont="1" applyBorder="1" applyAlignment="1">
      <alignment horizontal="centerContinuous" vertical="center"/>
    </xf>
    <xf numFmtId="0" fontId="2" fillId="0" borderId="7" xfId="0" applyFont="1" applyBorder="1" applyAlignment="1">
      <alignment horizontal="centerContinuous"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62" xfId="0" applyFont="1" applyBorder="1" applyAlignment="1">
      <alignment horizontal="right" vertical="center"/>
    </xf>
    <xf numFmtId="0" fontId="4" fillId="0" borderId="37" xfId="0" applyFont="1" applyBorder="1" applyAlignment="1">
      <alignment horizontal="right" vertical="center"/>
    </xf>
    <xf numFmtId="0" fontId="4" fillId="0" borderId="50" xfId="0" applyFont="1" applyBorder="1" applyAlignment="1">
      <alignment horizontal="right" vertical="center"/>
    </xf>
    <xf numFmtId="0" fontId="50" fillId="0" borderId="0" xfId="0" applyFont="1" applyBorder="1" applyAlignment="1">
      <alignment vertical="center"/>
    </xf>
    <xf numFmtId="0" fontId="2" fillId="14" borderId="60" xfId="0" applyFont="1" applyFill="1" applyBorder="1" applyAlignment="1">
      <alignment horizontal="center" vertical="center"/>
    </xf>
    <xf numFmtId="0" fontId="2" fillId="14" borderId="61" xfId="0" applyFont="1" applyFill="1" applyBorder="1" applyAlignment="1">
      <alignment horizontal="center" vertical="center"/>
    </xf>
    <xf numFmtId="0" fontId="2" fillId="14" borderId="41" xfId="0" applyFont="1" applyFill="1" applyBorder="1" applyAlignment="1">
      <alignment horizontal="center" vertical="center"/>
    </xf>
    <xf numFmtId="0" fontId="2" fillId="14" borderId="42" xfId="0" applyFont="1" applyFill="1" applyBorder="1" applyAlignment="1">
      <alignment horizontal="center" vertical="center"/>
    </xf>
    <xf numFmtId="0" fontId="4" fillId="14" borderId="44" xfId="0" applyFont="1" applyFill="1" applyBorder="1" applyAlignment="1">
      <alignment horizontal="center" vertical="center"/>
    </xf>
    <xf numFmtId="0" fontId="4" fillId="14" borderId="43" xfId="0" applyFont="1" applyFill="1" applyBorder="1" applyAlignment="1">
      <alignment horizontal="center" vertical="center"/>
    </xf>
    <xf numFmtId="0" fontId="6" fillId="4" borderId="32" xfId="0" applyFont="1" applyFill="1" applyBorder="1" applyAlignment="1">
      <alignment horizontal="right" vertical="center"/>
    </xf>
    <xf numFmtId="3" fontId="7" fillId="0" borderId="12" xfId="0" applyNumberFormat="1" applyFont="1" applyBorder="1" applyAlignment="1">
      <alignment horizontal="center" vertical="center"/>
    </xf>
    <xf numFmtId="0" fontId="4" fillId="0" borderId="57" xfId="0" applyFont="1" applyBorder="1" applyAlignment="1">
      <alignment horizontal="right" vertical="center"/>
    </xf>
    <xf numFmtId="0" fontId="4" fillId="15" borderId="44" xfId="0" applyFont="1" applyFill="1" applyBorder="1" applyAlignment="1">
      <alignment horizontal="center" vertical="center"/>
    </xf>
    <xf numFmtId="49" fontId="2" fillId="15" borderId="60" xfId="0" applyNumberFormat="1" applyFont="1" applyFill="1" applyBorder="1" applyAlignment="1">
      <alignment horizontal="center" vertical="center"/>
    </xf>
    <xf numFmtId="49" fontId="2" fillId="15" borderId="61" xfId="0" applyNumberFormat="1" applyFont="1" applyFill="1" applyBorder="1" applyAlignment="1">
      <alignment horizontal="center" vertical="center"/>
    </xf>
    <xf numFmtId="0" fontId="4" fillId="15" borderId="43" xfId="0" applyFont="1" applyFill="1" applyBorder="1" applyAlignment="1">
      <alignment horizontal="center" vertical="center"/>
    </xf>
    <xf numFmtId="0" fontId="8" fillId="9" borderId="1" xfId="0" applyFont="1" applyFill="1" applyBorder="1" applyAlignment="1">
      <alignment vertical="center"/>
    </xf>
    <xf numFmtId="49" fontId="18" fillId="9" borderId="27" xfId="0" applyNumberFormat="1" applyFont="1" applyFill="1" applyBorder="1" applyAlignment="1">
      <alignment horizontal="center" vertical="center"/>
    </xf>
    <xf numFmtId="0" fontId="18" fillId="9" borderId="28" xfId="0" applyNumberFormat="1" applyFont="1" applyFill="1" applyBorder="1" applyAlignment="1">
      <alignment horizontal="center" vertical="center"/>
    </xf>
    <xf numFmtId="0" fontId="8" fillId="9" borderId="28" xfId="0" applyNumberFormat="1" applyFont="1" applyFill="1" applyBorder="1" applyAlignment="1">
      <alignment horizontal="center" vertical="center"/>
    </xf>
    <xf numFmtId="0" fontId="2" fillId="0" borderId="97" xfId="0" applyFont="1" applyBorder="1" applyAlignment="1">
      <alignment horizontal="center" vertical="center" shrinkToFit="1"/>
    </xf>
    <xf numFmtId="0" fontId="2" fillId="0" borderId="91" xfId="0" applyFont="1" applyFill="1" applyBorder="1" applyAlignment="1">
      <alignment horizontal="center" vertical="center"/>
    </xf>
    <xf numFmtId="49" fontId="2" fillId="0" borderId="91" xfId="0" applyNumberFormat="1" applyFont="1" applyFill="1" applyBorder="1" applyAlignment="1">
      <alignment horizontal="center" vertical="center"/>
    </xf>
    <xf numFmtId="164" fontId="2" fillId="0" borderId="91" xfId="0" applyNumberFormat="1" applyFont="1" applyFill="1" applyBorder="1" applyAlignment="1">
      <alignment horizontal="center" vertical="center"/>
    </xf>
    <xf numFmtId="1" fontId="2" fillId="0" borderId="91" xfId="0" applyNumberFormat="1" applyFont="1" applyFill="1" applyBorder="1" applyAlignment="1">
      <alignment horizontal="center" vertical="center"/>
    </xf>
    <xf numFmtId="0" fontId="2" fillId="0" borderId="92" xfId="0" quotePrefix="1" applyFont="1" applyFill="1" applyBorder="1" applyAlignment="1">
      <alignment horizontal="center" vertical="center"/>
    </xf>
    <xf numFmtId="0" fontId="2" fillId="13" borderId="78" xfId="0" applyFont="1" applyFill="1" applyBorder="1" applyAlignment="1">
      <alignment horizontal="center" vertical="center"/>
    </xf>
    <xf numFmtId="0" fontId="2" fillId="13" borderId="44" xfId="0" applyFont="1" applyFill="1" applyBorder="1" applyAlignment="1">
      <alignment horizontal="center" vertical="center"/>
    </xf>
    <xf numFmtId="0" fontId="2" fillId="13" borderId="50" xfId="0" applyFont="1" applyFill="1" applyBorder="1" applyAlignment="1">
      <alignment horizontal="center" vertical="center"/>
    </xf>
    <xf numFmtId="164" fontId="2" fillId="0" borderId="50" xfId="0" applyNumberFormat="1" applyFont="1" applyBorder="1" applyAlignment="1">
      <alignment horizontal="center" vertical="center" shrinkToFit="1"/>
    </xf>
    <xf numFmtId="0" fontId="21" fillId="3" borderId="21" xfId="0" applyFont="1" applyFill="1" applyBorder="1" applyAlignment="1">
      <alignment horizontal="center" vertical="center"/>
    </xf>
    <xf numFmtId="0" fontId="2" fillId="0" borderId="0" xfId="0" applyFont="1" applyAlignment="1">
      <alignment horizontal="center" vertical="center"/>
    </xf>
    <xf numFmtId="0" fontId="7" fillId="0" borderId="27" xfId="5" applyFont="1" applyBorder="1" applyAlignment="1">
      <alignment horizontal="center" vertical="center" shrinkToFit="1"/>
    </xf>
    <xf numFmtId="9" fontId="7" fillId="0" borderId="28" xfId="2" applyFont="1" applyBorder="1" applyAlignment="1">
      <alignment horizontal="center" vertical="center" shrinkToFit="1"/>
    </xf>
    <xf numFmtId="0" fontId="7" fillId="0" borderId="28" xfId="2" applyNumberFormat="1" applyFont="1" applyBorder="1" applyAlignment="1">
      <alignment horizontal="center" vertical="center" shrinkToFit="1"/>
    </xf>
    <xf numFmtId="0" fontId="7" fillId="0" borderId="29" xfId="0" applyFont="1" applyBorder="1" applyAlignment="1">
      <alignment horizontal="center" vertical="center" wrapText="1"/>
    </xf>
    <xf numFmtId="0" fontId="52" fillId="9" borderId="1" xfId="0" applyFont="1" applyFill="1" applyBorder="1" applyAlignment="1">
      <alignment vertical="center"/>
    </xf>
    <xf numFmtId="49" fontId="51" fillId="9" borderId="27" xfId="0" applyNumberFormat="1" applyFont="1" applyFill="1" applyBorder="1" applyAlignment="1">
      <alignment horizontal="center" vertical="center"/>
    </xf>
    <xf numFmtId="0" fontId="51" fillId="9" borderId="28" xfId="0" applyNumberFormat="1" applyFont="1" applyFill="1" applyBorder="1" applyAlignment="1">
      <alignment horizontal="center" vertical="center"/>
    </xf>
    <xf numFmtId="0" fontId="52" fillId="9" borderId="28" xfId="0" applyNumberFormat="1" applyFont="1" applyFill="1" applyBorder="1" applyAlignment="1">
      <alignment horizontal="center" vertical="center"/>
    </xf>
    <xf numFmtId="49" fontId="7" fillId="16" borderId="28" xfId="0" applyNumberFormat="1" applyFont="1" applyFill="1" applyBorder="1" applyAlignment="1">
      <alignment horizontal="center" vertical="center"/>
    </xf>
    <xf numFmtId="2" fontId="5" fillId="0" borderId="41" xfId="0" applyNumberFormat="1" applyFont="1" applyBorder="1" applyAlignment="1">
      <alignment horizontal="center" vertical="center" shrinkToFit="1"/>
    </xf>
    <xf numFmtId="0" fontId="2" fillId="0" borderId="91" xfId="0" applyFont="1" applyBorder="1" applyAlignment="1">
      <alignment horizontal="center" vertical="center"/>
    </xf>
    <xf numFmtId="0" fontId="7" fillId="16" borderId="28" xfId="0" applyNumberFormat="1" applyFont="1" applyFill="1" applyBorder="1" applyAlignment="1">
      <alignment horizontal="center" vertical="center"/>
    </xf>
    <xf numFmtId="0" fontId="7" fillId="0" borderId="36" xfId="0" applyNumberFormat="1" applyFont="1" applyFill="1" applyBorder="1" applyAlignment="1">
      <alignment horizontal="center" vertical="center" wrapText="1"/>
    </xf>
    <xf numFmtId="0" fontId="43" fillId="0" borderId="41" xfId="0" applyFont="1" applyBorder="1" applyAlignment="1">
      <alignment horizontal="center" vertical="center"/>
    </xf>
    <xf numFmtId="0" fontId="5" fillId="0" borderId="41" xfId="0" applyFont="1" applyBorder="1" applyAlignment="1">
      <alignment horizontal="center" vertical="center" shrinkToFit="1"/>
    </xf>
    <xf numFmtId="164" fontId="2" fillId="0" borderId="37" xfId="0" applyNumberFormat="1" applyFont="1" applyBorder="1" applyAlignment="1">
      <alignment horizontal="center" vertical="center" shrinkToFit="1"/>
    </xf>
    <xf numFmtId="0" fontId="5" fillId="0" borderId="90" xfId="0" applyFont="1" applyBorder="1" applyAlignment="1">
      <alignment horizontal="left" vertical="center"/>
    </xf>
    <xf numFmtId="2" fontId="2" fillId="0" borderId="37" xfId="0" applyNumberFormat="1" applyFont="1" applyBorder="1" applyAlignment="1">
      <alignment horizontal="center" vertical="center" shrinkToFit="1"/>
    </xf>
    <xf numFmtId="165" fontId="2" fillId="0" borderId="0" xfId="0" applyNumberFormat="1" applyFont="1" applyBorder="1" applyAlignment="1">
      <alignment horizontal="center" vertical="center"/>
    </xf>
    <xf numFmtId="0" fontId="2" fillId="0" borderId="0" xfId="0" applyFont="1" applyAlignment="1">
      <alignment horizontal="centerContinuous" vertical="center" shrinkToFit="1"/>
    </xf>
    <xf numFmtId="0" fontId="55" fillId="0" borderId="0" xfId="0" applyFont="1" applyAlignment="1">
      <alignment horizontal="centerContinuous" vertical="center"/>
    </xf>
    <xf numFmtId="9" fontId="21" fillId="3" borderId="20" xfId="2" applyFont="1" applyFill="1" applyBorder="1" applyAlignment="1">
      <alignment horizontal="center" vertical="center"/>
    </xf>
    <xf numFmtId="0" fontId="2" fillId="0" borderId="91" xfId="0" applyFont="1" applyBorder="1" applyAlignment="1">
      <alignment horizontal="center" vertical="center" shrinkToFit="1"/>
    </xf>
    <xf numFmtId="164" fontId="2" fillId="0" borderId="91" xfId="0" applyNumberFormat="1" applyFont="1" applyBorder="1" applyAlignment="1">
      <alignment horizontal="center" vertical="center" shrinkToFit="1"/>
    </xf>
    <xf numFmtId="0" fontId="5" fillId="0" borderId="92" xfId="0" applyFont="1" applyBorder="1" applyAlignment="1">
      <alignment horizontal="left" vertical="center" shrinkToFit="1"/>
    </xf>
    <xf numFmtId="0" fontId="2" fillId="0" borderId="91" xfId="0" applyFont="1" applyBorder="1" applyAlignment="1">
      <alignment horizontal="left" vertical="center"/>
    </xf>
    <xf numFmtId="0" fontId="7" fillId="9" borderId="28" xfId="0" applyNumberFormat="1" applyFont="1" applyFill="1" applyBorder="1" applyAlignment="1">
      <alignment horizontal="center" vertical="center"/>
    </xf>
    <xf numFmtId="0" fontId="56" fillId="11" borderId="33" xfId="0" applyFont="1" applyFill="1" applyBorder="1" applyAlignment="1">
      <alignment horizontal="centerContinuous" vertical="center"/>
    </xf>
    <xf numFmtId="0" fontId="57" fillId="11" borderId="57" xfId="0" applyFont="1" applyFill="1" applyBorder="1" applyAlignment="1">
      <alignment horizontal="centerContinuous" vertical="center"/>
    </xf>
    <xf numFmtId="165" fontId="2" fillId="0" borderId="0" xfId="0" applyNumberFormat="1" applyFont="1" applyAlignment="1">
      <alignment horizontal="center" vertical="center"/>
    </xf>
    <xf numFmtId="0" fontId="49" fillId="0" borderId="81" xfId="0" applyFont="1" applyFill="1" applyBorder="1" applyAlignment="1">
      <alignment horizontal="center" vertical="center" shrinkToFit="1"/>
    </xf>
    <xf numFmtId="0" fontId="58" fillId="0" borderId="99" xfId="0" applyFont="1" applyBorder="1" applyAlignment="1">
      <alignment horizontal="centerContinuous" vertical="center"/>
    </xf>
    <xf numFmtId="0" fontId="6" fillId="0" borderId="100" xfId="0" applyFont="1" applyBorder="1" applyAlignment="1">
      <alignment horizontal="centerContinuous" vertical="center"/>
    </xf>
    <xf numFmtId="0" fontId="6" fillId="0" borderId="101" xfId="0" applyFont="1" applyBorder="1" applyAlignment="1">
      <alignment horizontal="centerContinuous" vertical="center"/>
    </xf>
    <xf numFmtId="0" fontId="7" fillId="0" borderId="105" xfId="0" applyFont="1" applyBorder="1" applyAlignment="1">
      <alignment horizontal="center" vertical="center"/>
    </xf>
    <xf numFmtId="0" fontId="7" fillId="0" borderId="106" xfId="0" applyFont="1" applyBorder="1" applyAlignment="1">
      <alignment horizontal="centerContinuous" vertical="center"/>
    </xf>
    <xf numFmtId="49" fontId="7" fillId="0" borderId="107" xfId="0" applyNumberFormat="1" applyFont="1" applyBorder="1" applyAlignment="1">
      <alignment horizontal="center" vertical="center"/>
    </xf>
    <xf numFmtId="0" fontId="60" fillId="8" borderId="108" xfId="2" applyNumberFormat="1" applyFont="1" applyFill="1" applyBorder="1" applyAlignment="1">
      <alignment horizontal="centerContinuous" vertical="center" shrinkToFit="1"/>
    </xf>
    <xf numFmtId="0" fontId="7" fillId="0" borderId="1" xfId="0" applyFont="1" applyBorder="1" applyAlignment="1">
      <alignment horizontal="center" vertical="center"/>
    </xf>
    <xf numFmtId="0" fontId="7" fillId="0" borderId="28" xfId="0" applyFont="1" applyBorder="1" applyAlignment="1">
      <alignment horizontal="centerContinuous" vertical="center"/>
    </xf>
    <xf numFmtId="49" fontId="7" fillId="0" borderId="27" xfId="0" applyNumberFormat="1" applyFont="1" applyBorder="1" applyAlignment="1">
      <alignment horizontal="center" vertical="center"/>
    </xf>
    <xf numFmtId="0" fontId="60" fillId="8" borderId="2" xfId="2" applyNumberFormat="1" applyFont="1" applyFill="1" applyBorder="1" applyAlignment="1">
      <alignment horizontal="centerContinuous" vertical="center" shrinkToFit="1"/>
    </xf>
    <xf numFmtId="0" fontId="7" fillId="0" borderId="8" xfId="0" applyFont="1" applyBorder="1" applyAlignment="1">
      <alignment horizontal="center" vertical="center"/>
    </xf>
    <xf numFmtId="0" fontId="7" fillId="0" borderId="49" xfId="0" applyFont="1" applyBorder="1" applyAlignment="1">
      <alignment horizontal="centerContinuous" vertical="center"/>
    </xf>
    <xf numFmtId="49" fontId="7" fillId="0" borderId="47" xfId="0" applyNumberFormat="1" applyFont="1" applyBorder="1" applyAlignment="1">
      <alignment horizontal="center" vertical="center"/>
    </xf>
    <xf numFmtId="0" fontId="60" fillId="8" borderId="10" xfId="2" applyNumberFormat="1" applyFont="1" applyFill="1" applyBorder="1" applyAlignment="1">
      <alignment horizontal="centerContinuous" vertical="center" shrinkToFit="1"/>
    </xf>
    <xf numFmtId="0" fontId="2" fillId="0" borderId="110" xfId="0" applyFont="1" applyFill="1" applyBorder="1" applyAlignment="1">
      <alignment horizontal="centerContinuous" vertical="center" shrinkToFit="1"/>
    </xf>
    <xf numFmtId="0" fontId="21" fillId="0" borderId="88" xfId="0" applyFont="1" applyFill="1" applyBorder="1" applyAlignment="1">
      <alignment horizontal="centerContinuous" vertical="center"/>
    </xf>
    <xf numFmtId="0" fontId="21" fillId="0" borderId="98" xfId="0" applyFont="1" applyFill="1" applyBorder="1" applyAlignment="1">
      <alignment horizontal="centerContinuous" vertical="center"/>
    </xf>
    <xf numFmtId="0" fontId="2" fillId="0" borderId="111" xfId="0" applyFont="1" applyFill="1" applyBorder="1" applyAlignment="1">
      <alignment horizontal="center" vertical="center"/>
    </xf>
    <xf numFmtId="0" fontId="2" fillId="0" borderId="79" xfId="0" applyFont="1" applyFill="1" applyBorder="1" applyAlignment="1">
      <alignment horizontal="center" vertical="center"/>
    </xf>
    <xf numFmtId="0" fontId="50" fillId="0" borderId="0" xfId="0" applyFont="1" applyBorder="1" applyAlignment="1">
      <alignment horizontal="center" vertical="center"/>
    </xf>
    <xf numFmtId="0" fontId="57" fillId="0" borderId="0" xfId="0" applyFont="1" applyBorder="1" applyAlignment="1">
      <alignment horizontal="center" vertical="center"/>
    </xf>
    <xf numFmtId="0" fontId="2" fillId="0" borderId="46" xfId="0" applyFont="1" applyBorder="1" applyAlignment="1">
      <alignment horizontal="center" vertical="center"/>
    </xf>
    <xf numFmtId="0" fontId="2" fillId="0" borderId="46" xfId="0" quotePrefix="1" applyFont="1" applyBorder="1" applyAlignment="1">
      <alignment horizontal="center" vertical="center"/>
    </xf>
    <xf numFmtId="164" fontId="5" fillId="0" borderId="46" xfId="0" applyNumberFormat="1" applyFont="1" applyFill="1" applyBorder="1" applyAlignment="1">
      <alignment horizontal="center" vertical="center"/>
    </xf>
    <xf numFmtId="164" fontId="2" fillId="0" borderId="113" xfId="0" applyNumberFormat="1" applyFont="1" applyFill="1" applyBorder="1" applyAlignment="1">
      <alignment horizontal="centerContinuous" vertical="center"/>
    </xf>
    <xf numFmtId="164" fontId="2" fillId="0" borderId="114" xfId="0" applyNumberFormat="1" applyFont="1" applyFill="1" applyBorder="1" applyAlignment="1">
      <alignment horizontal="centerContinuous" vertical="center"/>
    </xf>
    <xf numFmtId="0" fontId="5" fillId="0" borderId="115" xfId="0" quotePrefix="1" applyFont="1" applyBorder="1" applyAlignment="1">
      <alignment horizontal="centerContinuous" vertical="center"/>
    </xf>
    <xf numFmtId="0" fontId="2" fillId="0" borderId="77" xfId="0" applyFont="1" applyFill="1" applyBorder="1" applyAlignment="1">
      <alignment horizontal="center" vertical="center" shrinkToFit="1"/>
    </xf>
    <xf numFmtId="0" fontId="2" fillId="0" borderId="41" xfId="0" quotePrefix="1" applyFont="1" applyFill="1" applyBorder="1" applyAlignment="1">
      <alignment horizontal="center" vertical="center"/>
    </xf>
    <xf numFmtId="164" fontId="2" fillId="0" borderId="90" xfId="0" applyNumberFormat="1" applyFont="1" applyFill="1" applyBorder="1" applyAlignment="1">
      <alignment horizontal="centerContinuous" vertical="center"/>
    </xf>
    <xf numFmtId="164" fontId="2" fillId="0" borderId="72" xfId="0" applyNumberFormat="1" applyFont="1" applyFill="1" applyBorder="1" applyAlignment="1">
      <alignment horizontal="centerContinuous" vertical="center"/>
    </xf>
    <xf numFmtId="0" fontId="2" fillId="0" borderId="8" xfId="0" applyFont="1" applyFill="1" applyBorder="1" applyAlignment="1">
      <alignment horizontal="centerContinuous" vertical="center"/>
    </xf>
    <xf numFmtId="0" fontId="5" fillId="0" borderId="116" xfId="0" applyFont="1" applyFill="1" applyBorder="1" applyAlignment="1">
      <alignment horizontal="centerContinuous" vertical="center"/>
    </xf>
    <xf numFmtId="0" fontId="5" fillId="0" borderId="117" xfId="0" applyFont="1" applyFill="1" applyBorder="1" applyAlignment="1">
      <alignment horizontal="centerContinuous" vertical="center"/>
    </xf>
    <xf numFmtId="164" fontId="5" fillId="0" borderId="117" xfId="0" applyNumberFormat="1" applyFont="1" applyFill="1" applyBorder="1" applyAlignment="1">
      <alignment horizontal="center" vertical="center"/>
    </xf>
    <xf numFmtId="49" fontId="2" fillId="0" borderId="117" xfId="0" applyNumberFormat="1" applyFont="1" applyFill="1" applyBorder="1" applyAlignment="1">
      <alignment horizontal="center" vertical="center"/>
    </xf>
    <xf numFmtId="49" fontId="2" fillId="0" borderId="118" xfId="0" applyNumberFormat="1" applyFont="1" applyFill="1" applyBorder="1" applyAlignment="1">
      <alignment horizontal="centerContinuous" vertical="center"/>
    </xf>
    <xf numFmtId="0" fontId="5" fillId="0" borderId="10" xfId="0" applyFont="1" applyFill="1" applyBorder="1" applyAlignment="1">
      <alignment horizontal="centerContinuous" vertical="center"/>
    </xf>
    <xf numFmtId="2" fontId="2" fillId="0" borderId="56" xfId="0" applyNumberFormat="1" applyFont="1" applyFill="1" applyBorder="1" applyAlignment="1">
      <alignment horizontal="center" vertical="center"/>
    </xf>
    <xf numFmtId="0" fontId="2" fillId="0" borderId="119" xfId="0" applyFont="1" applyFill="1" applyBorder="1" applyAlignment="1">
      <alignment horizontal="centerContinuous" vertical="center"/>
    </xf>
    <xf numFmtId="0" fontId="2" fillId="0" borderId="120" xfId="0" applyFont="1" applyFill="1" applyBorder="1" applyAlignment="1">
      <alignment horizontal="centerContinuous" vertical="center"/>
    </xf>
    <xf numFmtId="0" fontId="2" fillId="0" borderId="46" xfId="0" applyFont="1" applyFill="1" applyBorder="1" applyAlignment="1">
      <alignment horizontal="centerContinuous" vertical="center"/>
    </xf>
    <xf numFmtId="0" fontId="2" fillId="0" borderId="46" xfId="0" applyFont="1" applyFill="1" applyBorder="1" applyAlignment="1">
      <alignment horizontal="center" vertical="center"/>
    </xf>
    <xf numFmtId="0" fontId="2" fillId="0" borderId="113" xfId="0" applyFont="1" applyFill="1" applyBorder="1" applyAlignment="1">
      <alignment horizontal="centerContinuous" vertical="center"/>
    </xf>
    <xf numFmtId="0" fontId="2" fillId="0" borderId="114" xfId="0" applyFont="1" applyFill="1" applyBorder="1" applyAlignment="1">
      <alignment horizontal="centerContinuous" vertical="center"/>
    </xf>
    <xf numFmtId="0" fontId="2" fillId="0" borderId="115" xfId="0" applyFont="1" applyFill="1" applyBorder="1" applyAlignment="1">
      <alignment horizontal="centerContinuous" vertical="center"/>
    </xf>
    <xf numFmtId="0" fontId="2" fillId="0" borderId="57" xfId="0" applyFont="1" applyFill="1" applyBorder="1" applyAlignment="1">
      <alignment horizontal="center" vertical="center"/>
    </xf>
    <xf numFmtId="0" fontId="2" fillId="0" borderId="91" xfId="0" quotePrefix="1" applyFont="1" applyBorder="1" applyAlignment="1">
      <alignment horizontal="center" vertical="center"/>
    </xf>
    <xf numFmtId="164" fontId="5" fillId="0" borderId="91" xfId="0" applyNumberFormat="1" applyFont="1" applyFill="1" applyBorder="1" applyAlignment="1">
      <alignment horizontal="center" vertical="center"/>
    </xf>
    <xf numFmtId="164" fontId="2" fillId="0" borderId="122" xfId="0" applyNumberFormat="1" applyFont="1" applyFill="1" applyBorder="1" applyAlignment="1">
      <alignment horizontal="centerContinuous" vertical="center"/>
    </xf>
    <xf numFmtId="0" fontId="5" fillId="0" borderId="123" xfId="0" quotePrefix="1" applyFont="1" applyBorder="1" applyAlignment="1">
      <alignment horizontal="centerContinuous" vertical="center"/>
    </xf>
    <xf numFmtId="0" fontId="61" fillId="0" borderId="0" xfId="0" applyFont="1" applyBorder="1" applyAlignment="1">
      <alignment vertical="center"/>
    </xf>
    <xf numFmtId="9" fontId="2" fillId="14" borderId="91" xfId="0" applyNumberFormat="1" applyFont="1" applyFill="1" applyBorder="1" applyAlignment="1">
      <alignment horizontal="center" vertical="center"/>
    </xf>
    <xf numFmtId="0" fontId="2" fillId="0" borderId="110" xfId="0" applyFont="1" applyBorder="1" applyAlignment="1">
      <alignment horizontal="center" vertical="center" shrinkToFit="1"/>
    </xf>
    <xf numFmtId="1" fontId="2" fillId="0" borderId="79" xfId="0" applyNumberFormat="1" applyFont="1" applyBorder="1" applyAlignment="1">
      <alignment horizontal="center" vertical="center" shrinkToFit="1"/>
    </xf>
    <xf numFmtId="164" fontId="2" fillId="0" borderId="79" xfId="0" applyNumberFormat="1" applyFont="1" applyBorder="1" applyAlignment="1">
      <alignment horizontal="center" vertical="center" shrinkToFit="1"/>
    </xf>
    <xf numFmtId="0" fontId="2" fillId="0" borderId="111" xfId="0" applyFont="1" applyBorder="1" applyAlignment="1">
      <alignment horizontal="left" vertical="center"/>
    </xf>
    <xf numFmtId="0" fontId="2" fillId="0" borderId="80" xfId="0" applyFont="1" applyBorder="1" applyAlignment="1">
      <alignment horizontal="left" vertical="center" shrinkToFit="1"/>
    </xf>
    <xf numFmtId="1" fontId="2" fillId="0" borderId="81" xfId="0" applyNumberFormat="1" applyFont="1" applyBorder="1" applyAlignment="1">
      <alignment horizontal="center" vertical="center" shrinkToFit="1"/>
    </xf>
    <xf numFmtId="1" fontId="2" fillId="0" borderId="109" xfId="0" applyNumberFormat="1" applyFont="1" applyFill="1" applyBorder="1" applyAlignment="1">
      <alignment horizontal="center" vertical="center"/>
    </xf>
    <xf numFmtId="0" fontId="2" fillId="0" borderId="124" xfId="0" applyFont="1" applyBorder="1" applyAlignment="1">
      <alignment horizontal="center" vertical="center" shrinkToFit="1"/>
    </xf>
    <xf numFmtId="49" fontId="2" fillId="0" borderId="125" xfId="0" applyNumberFormat="1" applyFont="1" applyFill="1" applyBorder="1" applyAlignment="1">
      <alignment horizontal="center" vertical="center"/>
    </xf>
    <xf numFmtId="0" fontId="2" fillId="0" borderId="125" xfId="0" applyFont="1" applyFill="1" applyBorder="1" applyAlignment="1">
      <alignment horizontal="center" vertical="center"/>
    </xf>
    <xf numFmtId="164" fontId="2" fillId="0" borderId="125" xfId="0" applyNumberFormat="1" applyFont="1" applyFill="1" applyBorder="1" applyAlignment="1">
      <alignment horizontal="center" vertical="center"/>
    </xf>
    <xf numFmtId="1" fontId="2" fillId="0" borderId="125" xfId="0" applyNumberFormat="1" applyFont="1" applyFill="1" applyBorder="1" applyAlignment="1">
      <alignment horizontal="center" vertical="center"/>
    </xf>
    <xf numFmtId="0" fontId="2" fillId="0" borderId="126" xfId="0" quotePrefix="1" applyFont="1" applyFill="1" applyBorder="1" applyAlignment="1">
      <alignment horizontal="center" vertical="center"/>
    </xf>
    <xf numFmtId="1" fontId="2" fillId="0" borderId="127" xfId="0" applyNumberFormat="1" applyFont="1" applyFill="1" applyBorder="1" applyAlignment="1">
      <alignment horizontal="center" vertical="center"/>
    </xf>
    <xf numFmtId="0" fontId="2" fillId="0" borderId="97" xfId="0" applyFont="1" applyBorder="1" applyAlignment="1">
      <alignment horizontal="center" vertical="center"/>
    </xf>
    <xf numFmtId="0" fontId="2" fillId="0" borderId="91" xfId="0" quotePrefix="1" applyFont="1" applyFill="1" applyBorder="1" applyAlignment="1">
      <alignment horizontal="center" vertical="center" wrapText="1"/>
    </xf>
    <xf numFmtId="49" fontId="2" fillId="0" borderId="91" xfId="2" applyNumberFormat="1" applyFont="1" applyBorder="1" applyAlignment="1">
      <alignment horizontal="center" vertical="center"/>
    </xf>
    <xf numFmtId="164" fontId="5" fillId="0" borderId="91" xfId="0" applyNumberFormat="1" applyFont="1" applyBorder="1" applyAlignment="1">
      <alignment horizontal="center" vertical="center"/>
    </xf>
    <xf numFmtId="1" fontId="5" fillId="0" borderId="91" xfId="0" applyNumberFormat="1" applyFont="1" applyBorder="1" applyAlignment="1">
      <alignment horizontal="center" vertical="center"/>
    </xf>
    <xf numFmtId="0" fontId="2" fillId="0" borderId="92" xfId="0" quotePrefix="1" applyFont="1" applyBorder="1" applyAlignment="1">
      <alignment horizontal="center" vertical="center"/>
    </xf>
    <xf numFmtId="1" fontId="2" fillId="10" borderId="109" xfId="0" applyNumberFormat="1" applyFont="1" applyFill="1" applyBorder="1" applyAlignment="1">
      <alignment horizontal="center" vertical="center"/>
    </xf>
    <xf numFmtId="0" fontId="2" fillId="13" borderId="128" xfId="0" applyFont="1" applyFill="1" applyBorder="1" applyAlignment="1">
      <alignment horizontal="center" vertical="center" shrinkToFit="1"/>
    </xf>
    <xf numFmtId="0" fontId="2" fillId="13" borderId="117" xfId="0" applyFont="1" applyFill="1" applyBorder="1" applyAlignment="1">
      <alignment horizontal="center" vertical="center"/>
    </xf>
    <xf numFmtId="49" fontId="2" fillId="13" borderId="117" xfId="0" applyNumberFormat="1" applyFont="1" applyFill="1" applyBorder="1" applyAlignment="1">
      <alignment horizontal="center" vertical="center"/>
    </xf>
    <xf numFmtId="164" fontId="2" fillId="13" borderId="117" xfId="0" applyNumberFormat="1" applyFont="1" applyFill="1" applyBorder="1" applyAlignment="1">
      <alignment horizontal="center" vertical="center"/>
    </xf>
    <xf numFmtId="1" fontId="2" fillId="13" borderId="117" xfId="0" applyNumberFormat="1" applyFont="1" applyFill="1" applyBorder="1" applyAlignment="1">
      <alignment horizontal="center" vertical="center"/>
    </xf>
    <xf numFmtId="0" fontId="2" fillId="13" borderId="129" xfId="0" quotePrefix="1" applyFont="1" applyFill="1" applyBorder="1" applyAlignment="1">
      <alignment horizontal="center" vertical="center"/>
    </xf>
    <xf numFmtId="1" fontId="2" fillId="13" borderId="56" xfId="0" applyNumberFormat="1" applyFont="1" applyFill="1" applyBorder="1" applyAlignment="1">
      <alignment horizontal="center" vertical="center"/>
    </xf>
    <xf numFmtId="0" fontId="2" fillId="0" borderId="130" xfId="0" applyFont="1" applyBorder="1" applyAlignment="1">
      <alignment horizontal="center" vertical="center"/>
    </xf>
    <xf numFmtId="0" fontId="2" fillId="0" borderId="131" xfId="0" applyFont="1" applyBorder="1" applyAlignment="1">
      <alignment horizontal="center" vertical="center"/>
    </xf>
    <xf numFmtId="0" fontId="2" fillId="0" borderId="131" xfId="0" quotePrefix="1" applyFont="1" applyFill="1" applyBorder="1" applyAlignment="1">
      <alignment horizontal="center" vertical="center" wrapText="1"/>
    </xf>
    <xf numFmtId="49" fontId="2" fillId="0" borderId="131" xfId="2" applyNumberFormat="1" applyFont="1" applyBorder="1" applyAlignment="1">
      <alignment horizontal="center" vertical="center"/>
    </xf>
    <xf numFmtId="0" fontId="2" fillId="0" borderId="131" xfId="0" applyFont="1" applyBorder="1" applyAlignment="1">
      <alignment horizontal="center" vertical="center" shrinkToFit="1"/>
    </xf>
    <xf numFmtId="164" fontId="5" fillId="0" borderId="131" xfId="0" applyNumberFormat="1" applyFont="1" applyBorder="1" applyAlignment="1">
      <alignment horizontal="center" vertical="center"/>
    </xf>
    <xf numFmtId="164" fontId="5" fillId="0" borderId="131" xfId="0" applyNumberFormat="1" applyFont="1" applyFill="1" applyBorder="1" applyAlignment="1">
      <alignment horizontal="center" vertical="center"/>
    </xf>
    <xf numFmtId="1" fontId="5" fillId="0" borderId="131" xfId="0" applyNumberFormat="1" applyFont="1" applyBorder="1" applyAlignment="1">
      <alignment horizontal="center" vertical="center"/>
    </xf>
    <xf numFmtId="0" fontId="2" fillId="0" borderId="132" xfId="0" quotePrefix="1" applyFont="1" applyBorder="1" applyAlignment="1">
      <alignment horizontal="center" vertical="center"/>
    </xf>
    <xf numFmtId="1" fontId="2" fillId="10" borderId="127" xfId="0" applyNumberFormat="1" applyFont="1" applyFill="1" applyBorder="1" applyAlignment="1">
      <alignment horizontal="center" vertical="center"/>
    </xf>
    <xf numFmtId="0" fontId="62" fillId="0" borderId="41" xfId="0" applyFont="1" applyBorder="1" applyAlignment="1">
      <alignment horizontal="center" vertical="center"/>
    </xf>
    <xf numFmtId="164" fontId="2" fillId="0" borderId="87" xfId="0" quotePrefix="1" applyNumberFormat="1" applyFont="1" applyFill="1" applyBorder="1" applyAlignment="1">
      <alignment horizontal="centerContinuous" vertical="center"/>
    </xf>
    <xf numFmtId="0" fontId="2" fillId="0" borderId="112" xfId="0" applyFont="1" applyFill="1" applyBorder="1" applyAlignment="1">
      <alignment horizontal="center" vertical="center" shrinkToFit="1"/>
    </xf>
    <xf numFmtId="0" fontId="2" fillId="0" borderId="79" xfId="0" quotePrefix="1" applyFont="1" applyFill="1" applyBorder="1" applyAlignment="1">
      <alignment horizontal="center" vertical="center"/>
    </xf>
    <xf numFmtId="9" fontId="2" fillId="14" borderId="133" xfId="0" applyNumberFormat="1" applyFont="1" applyFill="1" applyBorder="1" applyAlignment="1">
      <alignment horizontal="center" vertical="center"/>
    </xf>
    <xf numFmtId="164" fontId="2" fillId="0" borderId="79" xfId="0" applyNumberFormat="1" applyFont="1" applyFill="1" applyBorder="1" applyAlignment="1">
      <alignment horizontal="center" vertical="center"/>
    </xf>
    <xf numFmtId="164" fontId="2" fillId="0" borderId="111" xfId="0" applyNumberFormat="1" applyFont="1" applyFill="1" applyBorder="1" applyAlignment="1">
      <alignment horizontal="centerContinuous" vertical="center"/>
    </xf>
    <xf numFmtId="164" fontId="2" fillId="0" borderId="88" xfId="0" applyNumberFormat="1" applyFont="1" applyFill="1" applyBorder="1" applyAlignment="1">
      <alignment horizontal="centerContinuous" vertical="center"/>
    </xf>
    <xf numFmtId="0" fontId="2" fillId="0" borderId="82" xfId="0" applyFont="1" applyBorder="1" applyAlignment="1">
      <alignment horizontal="center" shrinkToFit="1"/>
    </xf>
    <xf numFmtId="1" fontId="2" fillId="0" borderId="127" xfId="0" applyNumberFormat="1" applyFont="1" applyBorder="1" applyAlignment="1">
      <alignment horizontal="center" vertical="center"/>
    </xf>
    <xf numFmtId="0" fontId="2" fillId="0" borderId="131" xfId="0" quotePrefix="1" applyFont="1" applyBorder="1" applyAlignment="1">
      <alignment horizontal="center" vertical="center" wrapText="1"/>
    </xf>
    <xf numFmtId="0" fontId="2" fillId="10" borderId="131" xfId="0" applyFont="1" applyFill="1" applyBorder="1" applyAlignment="1">
      <alignment horizontal="center" vertical="center" shrinkToFit="1"/>
    </xf>
    <xf numFmtId="0" fontId="2" fillId="0" borderId="134" xfId="0" applyFont="1" applyBorder="1" applyAlignment="1">
      <alignment vertical="center"/>
    </xf>
    <xf numFmtId="1" fontId="44" fillId="18" borderId="91" xfId="0" applyNumberFormat="1" applyFont="1" applyFill="1" applyBorder="1" applyAlignment="1">
      <alignment horizontal="center" vertical="center"/>
    </xf>
    <xf numFmtId="1" fontId="44" fillId="18" borderId="125" xfId="0" applyNumberFormat="1" applyFont="1" applyFill="1" applyBorder="1" applyAlignment="1">
      <alignment horizontal="center" vertical="center"/>
    </xf>
    <xf numFmtId="1" fontId="44" fillId="18" borderId="131" xfId="0" applyNumberFormat="1" applyFont="1" applyFill="1" applyBorder="1" applyAlignment="1">
      <alignment horizontal="center" vertical="center"/>
    </xf>
    <xf numFmtId="1" fontId="44" fillId="18" borderId="117" xfId="0" applyNumberFormat="1" applyFont="1" applyFill="1" applyBorder="1" applyAlignment="1">
      <alignment horizontal="center" vertical="center"/>
    </xf>
    <xf numFmtId="0" fontId="43" fillId="18" borderId="21" xfId="0" applyFont="1" applyFill="1" applyBorder="1" applyAlignment="1">
      <alignment horizontal="center" vertical="center"/>
    </xf>
    <xf numFmtId="1" fontId="44" fillId="18" borderId="41" xfId="0" applyNumberFormat="1" applyFont="1" applyFill="1" applyBorder="1" applyAlignment="1">
      <alignment horizontal="center" vertical="center"/>
    </xf>
    <xf numFmtId="1" fontId="44" fillId="18" borderId="43" xfId="0" applyNumberFormat="1" applyFont="1" applyFill="1" applyBorder="1" applyAlignment="1">
      <alignment horizontal="center" vertical="center"/>
    </xf>
    <xf numFmtId="0" fontId="44" fillId="18" borderId="131" xfId="0" applyFont="1" applyFill="1" applyBorder="1" applyAlignment="1">
      <alignment horizontal="center" vertical="center" shrinkToFit="1"/>
    </xf>
    <xf numFmtId="0" fontId="2" fillId="10" borderId="126" xfId="0" quotePrefix="1" applyFont="1" applyFill="1" applyBorder="1" applyAlignment="1">
      <alignment horizontal="center" vertical="center"/>
    </xf>
    <xf numFmtId="1" fontId="2" fillId="0" borderId="135" xfId="0" applyNumberFormat="1" applyFont="1" applyFill="1" applyBorder="1" applyAlignment="1">
      <alignment horizontal="center" vertical="center"/>
    </xf>
    <xf numFmtId="0" fontId="21" fillId="11" borderId="136" xfId="0" applyFont="1" applyFill="1" applyBorder="1" applyAlignment="1">
      <alignment horizontal="center" vertical="center"/>
    </xf>
    <xf numFmtId="0" fontId="2" fillId="0" borderId="137" xfId="0" applyFont="1" applyBorder="1" applyAlignment="1">
      <alignment horizontal="center" shrinkToFit="1"/>
    </xf>
    <xf numFmtId="0" fontId="2" fillId="0" borderId="121" xfId="0" applyFont="1" applyBorder="1" applyAlignment="1">
      <alignment horizontal="left" vertical="center"/>
    </xf>
    <xf numFmtId="0" fontId="2" fillId="0" borderId="92" xfId="0" applyFont="1" applyBorder="1" applyAlignment="1">
      <alignment horizontal="left" vertical="center" shrinkToFit="1"/>
    </xf>
    <xf numFmtId="0" fontId="6" fillId="19" borderId="30" xfId="0" applyFont="1" applyFill="1" applyBorder="1" applyAlignment="1">
      <alignment horizontal="center" vertical="center"/>
    </xf>
    <xf numFmtId="0" fontId="2" fillId="0" borderId="0" xfId="0" applyFont="1" applyAlignment="1">
      <alignment vertical="center"/>
    </xf>
    <xf numFmtId="0" fontId="7" fillId="0" borderId="26" xfId="0" quotePrefix="1" applyFont="1" applyFill="1" applyBorder="1" applyAlignment="1">
      <alignment horizontal="center" vertical="center"/>
    </xf>
    <xf numFmtId="0" fontId="7" fillId="0" borderId="3" xfId="0" quotePrefix="1" applyFont="1" applyFill="1" applyBorder="1" applyAlignment="1">
      <alignment horizontal="center" vertical="center"/>
    </xf>
    <xf numFmtId="1" fontId="7" fillId="17" borderId="30" xfId="0" applyNumberFormat="1" applyFont="1" applyFill="1" applyBorder="1" applyAlignment="1">
      <alignment horizontal="center" vertical="center"/>
    </xf>
    <xf numFmtId="1" fontId="7" fillId="0" borderId="30" xfId="0" applyNumberFormat="1" applyFont="1" applyFill="1" applyBorder="1" applyAlignment="1">
      <alignment horizontal="center" vertical="center"/>
    </xf>
    <xf numFmtId="1" fontId="7" fillId="0" borderId="12" xfId="0" applyNumberFormat="1" applyFont="1" applyFill="1" applyBorder="1" applyAlignment="1">
      <alignment horizontal="center" vertical="center"/>
    </xf>
    <xf numFmtId="164" fontId="2" fillId="0" borderId="121" xfId="0" quotePrefix="1" applyNumberFormat="1" applyFont="1" applyFill="1" applyBorder="1" applyAlignment="1">
      <alignment horizontal="centerContinuous" vertical="center"/>
    </xf>
    <xf numFmtId="1" fontId="7" fillId="0" borderId="85" xfId="0" applyNumberFormat="1" applyFont="1" applyFill="1" applyBorder="1" applyAlignment="1">
      <alignment horizontal="centerContinuous" vertical="center"/>
    </xf>
    <xf numFmtId="0" fontId="2" fillId="0" borderId="86" xfId="0" applyFont="1" applyFill="1" applyBorder="1" applyAlignment="1">
      <alignment horizontal="centerContinuous" vertical="center"/>
    </xf>
    <xf numFmtId="0" fontId="7" fillId="0" borderId="14" xfId="0" applyFont="1" applyFill="1" applyBorder="1" applyAlignment="1">
      <alignment horizontal="center" vertical="center"/>
    </xf>
    <xf numFmtId="0" fontId="2" fillId="0" borderId="112" xfId="0" applyFont="1" applyBorder="1" applyAlignment="1">
      <alignment horizontal="center" vertical="center"/>
    </xf>
    <xf numFmtId="0" fontId="2" fillId="0" borderId="79" xfId="0" applyFont="1" applyBorder="1" applyAlignment="1">
      <alignment horizontal="center" vertical="center"/>
    </xf>
    <xf numFmtId="164" fontId="2" fillId="0" borderId="79" xfId="0" applyNumberFormat="1" applyFont="1" applyBorder="1" applyAlignment="1">
      <alignment horizontal="center" vertical="center"/>
    </xf>
    <xf numFmtId="0" fontId="52" fillId="21" borderId="28" xfId="0" applyNumberFormat="1" applyFont="1" applyFill="1" applyBorder="1" applyAlignment="1">
      <alignment horizontal="center" vertical="center"/>
    </xf>
    <xf numFmtId="0" fontId="63" fillId="0" borderId="25" xfId="0" applyFont="1" applyBorder="1" applyAlignment="1">
      <alignment horizontal="centerContinuous" vertical="center"/>
    </xf>
    <xf numFmtId="0" fontId="64" fillId="0" borderId="1" xfId="8" applyFont="1" applyFill="1" applyBorder="1" applyAlignment="1">
      <alignment horizontal="center" vertical="center" shrinkToFit="1"/>
    </xf>
    <xf numFmtId="0" fontId="64" fillId="0" borderId="8" xfId="8" applyFont="1" applyFill="1" applyBorder="1" applyAlignment="1">
      <alignment horizontal="center" vertical="center" shrinkToFit="1"/>
    </xf>
    <xf numFmtId="0" fontId="12" fillId="22" borderId="22" xfId="0" applyFont="1" applyFill="1" applyBorder="1" applyAlignment="1">
      <alignment horizontal="centerContinuous" vertical="center" wrapText="1"/>
    </xf>
    <xf numFmtId="0" fontId="12" fillId="22" borderId="23" xfId="0" applyFont="1" applyFill="1" applyBorder="1" applyAlignment="1">
      <alignment horizontal="center" vertical="center"/>
    </xf>
    <xf numFmtId="0" fontId="12" fillId="22" borderId="23" xfId="0" applyNumberFormat="1" applyFont="1" applyFill="1" applyBorder="1" applyAlignment="1">
      <alignment horizontal="center" vertical="center" wrapText="1"/>
    </xf>
    <xf numFmtId="0" fontId="12" fillId="22" borderId="23" xfId="0" applyFont="1" applyFill="1" applyBorder="1" applyAlignment="1">
      <alignment horizontal="center" vertical="center" wrapText="1"/>
    </xf>
    <xf numFmtId="0" fontId="12" fillId="22" borderId="24" xfId="0" applyNumberFormat="1" applyFont="1" applyFill="1" applyBorder="1" applyAlignment="1">
      <alignment horizontal="centerContinuous" vertical="center" wrapText="1"/>
    </xf>
    <xf numFmtId="0" fontId="63" fillId="0" borderId="0" xfId="0" applyFont="1" applyBorder="1" applyAlignment="1">
      <alignment horizontal="centerContinuous" vertical="center"/>
    </xf>
    <xf numFmtId="0" fontId="4" fillId="15" borderId="63" xfId="0" applyFont="1" applyFill="1" applyBorder="1" applyAlignment="1">
      <alignment horizontal="center" vertical="center"/>
    </xf>
    <xf numFmtId="0" fontId="2" fillId="14" borderId="59" xfId="0" applyFont="1" applyFill="1" applyBorder="1" applyAlignment="1">
      <alignment horizontal="center" vertical="center"/>
    </xf>
    <xf numFmtId="0" fontId="2" fillId="14" borderId="58" xfId="0" applyFont="1" applyFill="1" applyBorder="1" applyAlignment="1">
      <alignment horizontal="center" vertical="center"/>
    </xf>
    <xf numFmtId="0" fontId="4" fillId="14" borderId="63" xfId="0" applyFont="1" applyFill="1" applyBorder="1" applyAlignment="1">
      <alignment horizontal="center" vertical="center"/>
    </xf>
    <xf numFmtId="49" fontId="2" fillId="15" borderId="96" xfId="0" applyNumberFormat="1" applyFont="1" applyFill="1" applyBorder="1" applyAlignment="1">
      <alignment horizontal="center" vertical="center"/>
    </xf>
    <xf numFmtId="0" fontId="56" fillId="22" borderId="33" xfId="0" applyFont="1" applyFill="1" applyBorder="1" applyAlignment="1">
      <alignment horizontal="centerContinuous" vertical="center"/>
    </xf>
    <xf numFmtId="0" fontId="57" fillId="22" borderId="37" xfId="0" applyFont="1" applyFill="1" applyBorder="1" applyAlignment="1">
      <alignment horizontal="centerContinuous" vertical="center"/>
    </xf>
    <xf numFmtId="0" fontId="57" fillId="22" borderId="50" xfId="0" applyFont="1" applyFill="1" applyBorder="1" applyAlignment="1">
      <alignment horizontal="centerContinuous" vertical="center"/>
    </xf>
    <xf numFmtId="0" fontId="48" fillId="9" borderId="33" xfId="0" applyFont="1" applyFill="1" applyBorder="1" applyAlignment="1">
      <alignment horizontal="centerContinuous" vertical="center"/>
    </xf>
    <xf numFmtId="0" fontId="49" fillId="9" borderId="50" xfId="0" applyFont="1" applyFill="1" applyBorder="1" applyAlignment="1">
      <alignment horizontal="centerContinuous" vertical="center"/>
    </xf>
    <xf numFmtId="0" fontId="57" fillId="11" borderId="50" xfId="0" applyFont="1" applyFill="1" applyBorder="1" applyAlignment="1">
      <alignment horizontal="centerContinuous" vertical="center"/>
    </xf>
    <xf numFmtId="0" fontId="65" fillId="0" borderId="33" xfId="0" applyFont="1" applyBorder="1" applyAlignment="1">
      <alignment horizontal="centerContinuous" vertical="center"/>
    </xf>
    <xf numFmtId="0" fontId="11" fillId="10" borderId="1" xfId="0" applyFont="1" applyFill="1" applyBorder="1" applyAlignment="1">
      <alignment vertical="center"/>
    </xf>
    <xf numFmtId="0" fontId="7" fillId="10" borderId="27" xfId="0" applyNumberFormat="1" applyFont="1" applyFill="1" applyBorder="1" applyAlignment="1">
      <alignment horizontal="center" vertical="center"/>
    </xf>
    <xf numFmtId="49" fontId="17" fillId="10" borderId="27" xfId="0" applyNumberFormat="1" applyFont="1" applyFill="1" applyBorder="1" applyAlignment="1">
      <alignment horizontal="center" vertical="center"/>
    </xf>
    <xf numFmtId="0" fontId="17" fillId="10" borderId="28" xfId="0" applyNumberFormat="1" applyFont="1" applyFill="1" applyBorder="1" applyAlignment="1">
      <alignment horizontal="center" vertical="center"/>
    </xf>
    <xf numFmtId="0" fontId="11" fillId="10" borderId="28" xfId="0" applyNumberFormat="1" applyFont="1" applyFill="1" applyBorder="1" applyAlignment="1">
      <alignment horizontal="center" vertical="center"/>
    </xf>
    <xf numFmtId="49" fontId="7" fillId="10" borderId="28" xfId="0" applyNumberFormat="1" applyFont="1" applyFill="1" applyBorder="1" applyAlignment="1">
      <alignment horizontal="center" vertical="center"/>
    </xf>
    <xf numFmtId="0" fontId="7" fillId="10" borderId="29" xfId="0" quotePrefix="1" applyNumberFormat="1" applyFont="1" applyFill="1" applyBorder="1" applyAlignment="1">
      <alignment horizontal="center" vertical="center"/>
    </xf>
    <xf numFmtId="0" fontId="14" fillId="23" borderId="1" xfId="0" applyFont="1" applyFill="1" applyBorder="1" applyAlignment="1">
      <alignment vertical="center"/>
    </xf>
    <xf numFmtId="0" fontId="7" fillId="23" borderId="27" xfId="0" applyNumberFormat="1" applyFont="1" applyFill="1" applyBorder="1" applyAlignment="1">
      <alignment horizontal="center" vertical="center"/>
    </xf>
    <xf numFmtId="49" fontId="23" fillId="23" borderId="27" xfId="0" applyNumberFormat="1" applyFont="1" applyFill="1" applyBorder="1" applyAlignment="1">
      <alignment horizontal="center" vertical="center"/>
    </xf>
    <xf numFmtId="0" fontId="23" fillId="23" borderId="28" xfId="0" applyNumberFormat="1" applyFont="1" applyFill="1" applyBorder="1" applyAlignment="1">
      <alignment horizontal="center" vertical="center"/>
    </xf>
    <xf numFmtId="0" fontId="14" fillId="23" borderId="28" xfId="0" applyNumberFormat="1" applyFont="1" applyFill="1" applyBorder="1" applyAlignment="1">
      <alignment horizontal="center" vertical="center"/>
    </xf>
    <xf numFmtId="49" fontId="7" fillId="23" borderId="28" xfId="0" applyNumberFormat="1" applyFont="1" applyFill="1" applyBorder="1" applyAlignment="1">
      <alignment horizontal="center" vertical="center"/>
    </xf>
    <xf numFmtId="0" fontId="7" fillId="23" borderId="29" xfId="0" quotePrefix="1" applyNumberFormat="1" applyFont="1" applyFill="1" applyBorder="1" applyAlignment="1">
      <alignment horizontal="center" vertical="center"/>
    </xf>
    <xf numFmtId="0" fontId="52" fillId="9" borderId="8" xfId="0" applyFont="1" applyFill="1" applyBorder="1" applyAlignment="1">
      <alignment vertical="center"/>
    </xf>
    <xf numFmtId="0" fontId="7" fillId="9" borderId="47" xfId="0" applyNumberFormat="1" applyFont="1" applyFill="1" applyBorder="1" applyAlignment="1">
      <alignment horizontal="center" vertical="center"/>
    </xf>
    <xf numFmtId="49" fontId="51" fillId="9" borderId="47" xfId="0" applyNumberFormat="1" applyFont="1" applyFill="1" applyBorder="1" applyAlignment="1">
      <alignment horizontal="center" vertical="center"/>
    </xf>
    <xf numFmtId="0" fontId="51" fillId="9" borderId="49" xfId="0" applyNumberFormat="1" applyFont="1" applyFill="1" applyBorder="1" applyAlignment="1">
      <alignment horizontal="center" vertical="center"/>
    </xf>
    <xf numFmtId="0" fontId="52" fillId="9" borderId="49" xfId="0" applyNumberFormat="1" applyFont="1" applyFill="1" applyBorder="1" applyAlignment="1">
      <alignment horizontal="center" vertical="center"/>
    </xf>
    <xf numFmtId="49" fontId="7" fillId="9" borderId="49" xfId="0" applyNumberFormat="1" applyFont="1" applyFill="1" applyBorder="1" applyAlignment="1">
      <alignment horizontal="center" vertical="center"/>
    </xf>
    <xf numFmtId="0" fontId="7" fillId="9" borderId="36" xfId="0" quotePrefix="1" applyNumberFormat="1" applyFont="1" applyFill="1" applyBorder="1" applyAlignment="1">
      <alignment horizontal="center" vertical="center"/>
    </xf>
    <xf numFmtId="0" fontId="10" fillId="0" borderId="1" xfId="0" applyFont="1" applyFill="1" applyBorder="1" applyAlignment="1">
      <alignment vertical="center"/>
    </xf>
    <xf numFmtId="49" fontId="26" fillId="0" borderId="27" xfId="0" applyNumberFormat="1" applyFont="1" applyFill="1" applyBorder="1" applyAlignment="1">
      <alignment horizontal="center" vertical="center"/>
    </xf>
    <xf numFmtId="0" fontId="26" fillId="0" borderId="28" xfId="0" applyNumberFormat="1" applyFont="1" applyFill="1" applyBorder="1" applyAlignment="1">
      <alignment horizontal="center" vertical="center"/>
    </xf>
    <xf numFmtId="0" fontId="10" fillId="0" borderId="28" xfId="0" applyNumberFormat="1" applyFont="1" applyFill="1" applyBorder="1" applyAlignment="1">
      <alignment horizontal="center" vertical="center"/>
    </xf>
    <xf numFmtId="0" fontId="59" fillId="20" borderId="34" xfId="0" applyFont="1" applyFill="1" applyBorder="1" applyAlignment="1">
      <alignment horizontal="centerContinuous" vertical="center"/>
    </xf>
    <xf numFmtId="0" fontId="59" fillId="20" borderId="102" xfId="0" applyFont="1" applyFill="1" applyBorder="1" applyAlignment="1">
      <alignment horizontal="centerContinuous" vertical="center"/>
    </xf>
    <xf numFmtId="0" fontId="59" fillId="20" borderId="103" xfId="0" applyFont="1" applyFill="1" applyBorder="1" applyAlignment="1">
      <alignment horizontal="center" vertical="center"/>
    </xf>
    <xf numFmtId="0" fontId="59" fillId="20" borderId="104" xfId="0" applyFont="1" applyFill="1" applyBorder="1" applyAlignment="1">
      <alignment horizontal="centerContinuous" vertical="center"/>
    </xf>
    <xf numFmtId="9" fontId="2" fillId="14" borderId="43" xfId="0" applyNumberFormat="1" applyFont="1" applyFill="1" applyBorder="1" applyAlignment="1">
      <alignment horizontal="center" vertical="center"/>
    </xf>
    <xf numFmtId="0" fontId="66" fillId="2" borderId="64" xfId="0" applyFont="1" applyFill="1" applyBorder="1" applyAlignment="1">
      <alignment horizontal="right" vertical="center"/>
    </xf>
    <xf numFmtId="0" fontId="66" fillId="2" borderId="65" xfId="0" applyFont="1" applyFill="1" applyBorder="1" applyAlignment="1">
      <alignment horizontal="left" vertical="center"/>
    </xf>
    <xf numFmtId="0" fontId="2" fillId="0" borderId="42" xfId="0" quotePrefix="1" applyFont="1" applyBorder="1" applyAlignment="1">
      <alignment horizontal="center" vertical="center"/>
    </xf>
    <xf numFmtId="0" fontId="49" fillId="9" borderId="55" xfId="0" applyFont="1" applyFill="1" applyBorder="1" applyAlignment="1">
      <alignment horizontal="centerContinuous" vertical="center"/>
    </xf>
    <xf numFmtId="0" fontId="49" fillId="9" borderId="37" xfId="0" applyFont="1" applyFill="1" applyBorder="1" applyAlignment="1">
      <alignment horizontal="centerContinuous" vertical="center"/>
    </xf>
    <xf numFmtId="0" fontId="2" fillId="21" borderId="41" xfId="0" applyNumberFormat="1" applyFont="1" applyFill="1" applyBorder="1" applyAlignment="1">
      <alignment horizontal="center" vertical="center"/>
    </xf>
    <xf numFmtId="0" fontId="67" fillId="2" borderId="4" xfId="0" applyFont="1" applyFill="1" applyBorder="1" applyAlignment="1">
      <alignment horizontal="right" vertical="center"/>
    </xf>
  </cellXfs>
  <cellStyles count="14">
    <cellStyle name="Excel Built-in Normal" xfId="6" xr:uid="{00000000-0005-0000-0000-000000000000}"/>
    <cellStyle name="Hyperlink" xfId="1" builtinId="8"/>
    <cellStyle name="Normal" xfId="0" builtinId="0"/>
    <cellStyle name="Normal 2" xfId="4" xr:uid="{00000000-0005-0000-0000-000003000000}"/>
    <cellStyle name="Normal 2 2" xfId="5" xr:uid="{00000000-0005-0000-0000-000004000000}"/>
    <cellStyle name="Normal 2 2 2" xfId="12" xr:uid="{00000000-0005-0000-0000-000005000000}"/>
    <cellStyle name="Normal 2 3" xfId="13" xr:uid="{00000000-0005-0000-0000-000006000000}"/>
    <cellStyle name="Normal 3" xfId="8" xr:uid="{00000000-0005-0000-0000-000007000000}"/>
    <cellStyle name="Normal 4" xfId="7" xr:uid="{00000000-0005-0000-0000-000008000000}"/>
    <cellStyle name="Normal 5" xfId="9" xr:uid="{00000000-0005-0000-0000-000009000000}"/>
    <cellStyle name="Normal 6" xfId="11" xr:uid="{00000000-0005-0000-0000-00000A000000}"/>
    <cellStyle name="Percent" xfId="2" builtinId="5"/>
    <cellStyle name="Percent 2" xfId="3" xr:uid="{00000000-0005-0000-0000-00000C000000}"/>
    <cellStyle name="Percent 2 2" xfId="10" xr:uid="{00000000-0005-0000-0000-00000D000000}"/>
  </cellStyles>
  <dxfs count="3">
    <dxf>
      <fill>
        <patternFill>
          <bgColor rgb="FFFF0000"/>
        </patternFill>
      </fill>
    </dxf>
    <dxf>
      <fill>
        <patternFill>
          <bgColor rgb="FFFFC000"/>
        </patternFill>
      </fill>
    </dxf>
    <dxf>
      <fill>
        <patternFill>
          <bgColor rgb="FFFF0000"/>
        </patternFill>
      </fill>
    </dxf>
  </dxfs>
  <tableStyles count="0" defaultTableStyle="TableStyleMedium2" defaultPivotStyle="PivotStyleLight16"/>
  <colors>
    <mruColors>
      <color rgb="FF9900FF"/>
      <color rgb="FF009900"/>
      <color rgb="FFCCFFCC"/>
      <color rgb="FFFF3300"/>
      <color rgb="FF008000"/>
      <color rgb="FFCCCCFF"/>
      <color rgb="FFCC99FF"/>
      <color rgb="FFCC66FF"/>
      <color rgb="FF33CC33"/>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41910</xdr:colOff>
      <xdr:row>17</xdr:row>
      <xdr:rowOff>51434</xdr:rowOff>
    </xdr:from>
    <xdr:to>
      <xdr:col>6</xdr:col>
      <xdr:colOff>1261110</xdr:colOff>
      <xdr:row>63</xdr:row>
      <xdr:rowOff>190499</xdr:rowOff>
    </xdr:to>
    <xdr:sp macro="" textlink="">
      <xdr:nvSpPr>
        <xdr:cNvPr id="4" name="Text 6">
          <a:extLst>
            <a:ext uri="{FF2B5EF4-FFF2-40B4-BE49-F238E27FC236}">
              <a16:creationId xmlns:a16="http://schemas.microsoft.com/office/drawing/2014/main" id="{00000000-0008-0000-0000-000004000000}"/>
            </a:ext>
          </a:extLst>
        </xdr:cNvPr>
        <xdr:cNvSpPr txBox="1">
          <a:spLocks noChangeArrowheads="1"/>
        </xdr:cNvSpPr>
      </xdr:nvSpPr>
      <xdr:spPr bwMode="auto">
        <a:xfrm>
          <a:off x="41910" y="3762374"/>
          <a:ext cx="6499860" cy="5480685"/>
        </a:xfrm>
        <a:prstGeom prst="rect">
          <a:avLst/>
        </a:prstGeom>
        <a:solidFill>
          <a:srgbClr val="FFFFFF"/>
        </a:solidFill>
        <a:ln w="9525">
          <a:noFill/>
          <a:miter lim="800000"/>
          <a:headEnd/>
          <a:tailEnd/>
        </a:ln>
      </xdr:spPr>
      <xdr:txBody>
        <a:bodyPr vertOverflow="clip" wrap="square" lIns="27432" tIns="27432" rIns="27432" bIns="0" anchor="t" upright="1"/>
        <a:lstStyle/>
        <a:p>
          <a:pPr algn="just"/>
          <a:r>
            <a:rPr lang="en-US" sz="1200" b="1">
              <a:effectLst/>
              <a:latin typeface="Times New Roman" panose="02020603050405020304" pitchFamily="18" charset="0"/>
              <a:ea typeface="+mn-ea"/>
              <a:cs typeface="Times New Roman" panose="02020603050405020304" pitchFamily="18" charset="0"/>
            </a:rPr>
            <a:t>Appearance:  </a:t>
          </a:r>
          <a:r>
            <a:rPr lang="en-US" sz="1200">
              <a:effectLst/>
              <a:latin typeface="Times New Roman" panose="02020603050405020304" pitchFamily="18" charset="0"/>
              <a:ea typeface="+mn-ea"/>
              <a:cs typeface="Times New Roman" panose="02020603050405020304" pitchFamily="18" charset="0"/>
            </a:rPr>
            <a:t>Of Damaran ethnicity, Karlon Holt has tawny (yellow-brown) skin, brown eyes, and wavy brown hair tied back in a pony tail. He is a bit shorter and slighter of frame than the average human male, a runner's build rather than a brawler's. He wears an explorer's outfit over a mithril shirt, and has nice padded boots, a fine belt and cloak, and a backpack. He carries a well-crafted light crossbow, with a rapier, shortsword, kukri, light hammer, and two cases of crossbow bolts.</a:t>
          </a:r>
        </a:p>
        <a:p>
          <a:pPr algn="just"/>
          <a:endParaRPr lang="en-US" sz="1200">
            <a:effectLst/>
            <a:latin typeface="Times New Roman" panose="02020603050405020304" pitchFamily="18" charset="0"/>
            <a:ea typeface="+mn-ea"/>
            <a:cs typeface="Times New Roman" panose="02020603050405020304" pitchFamily="18" charset="0"/>
          </a:endParaRPr>
        </a:p>
        <a:p>
          <a:pPr algn="just"/>
          <a:r>
            <a:rPr lang="en-US" sz="1200" b="1">
              <a:effectLst/>
              <a:latin typeface="Times New Roman" panose="02020603050405020304" pitchFamily="18" charset="0"/>
              <a:ea typeface="+mn-ea"/>
              <a:cs typeface="Times New Roman" panose="02020603050405020304" pitchFamily="18" charset="0"/>
            </a:rPr>
            <a:t>History:  </a:t>
          </a:r>
          <a:r>
            <a:rPr lang="en-US" sz="1200">
              <a:effectLst/>
              <a:latin typeface="Times New Roman" panose="02020603050405020304" pitchFamily="18" charset="0"/>
              <a:ea typeface="+mn-ea"/>
              <a:cs typeface="Times New Roman" panose="02020603050405020304" pitchFamily="18" charset="0"/>
            </a:rPr>
            <a:t>Karlon was raised in the metropolis of Lyrabar, capital of Impiltur, near the Gray Forest. He grew up speaking both the Common tongue and Damaran, the language spoken by his family and many other folk of Impiltur. He picked up Goblin as well, from a dwarven friend of his father's, who rightly claimed it might be useful in the Gray Forest due to the hobgoblin presence there.</a:t>
          </a:r>
        </a:p>
        <a:p>
          <a:pPr algn="just"/>
          <a:endParaRPr lang="en-US" sz="1200">
            <a:effectLst/>
            <a:latin typeface="Times New Roman" panose="02020603050405020304" pitchFamily="18" charset="0"/>
            <a:ea typeface="+mn-ea"/>
            <a:cs typeface="Times New Roman" panose="02020603050405020304" pitchFamily="18" charset="0"/>
          </a:endParaRPr>
        </a:p>
        <a:p>
          <a:pPr algn="just"/>
          <a:r>
            <a:rPr lang="en-US" sz="1200">
              <a:effectLst/>
              <a:latin typeface="Times New Roman" panose="02020603050405020304" pitchFamily="18" charset="0"/>
              <a:ea typeface="+mn-ea"/>
              <a:cs typeface="Times New Roman" panose="02020603050405020304" pitchFamily="18" charset="0"/>
            </a:rPr>
            <a:t>His father was a member of the city guard, but Karlon was drawn to the outdoors, so he signed up to serve in a military unit as a scout. He found that they would, among other skills, teach him additional languages, so he learned as well the languages of Giants, Gnolls, Orcs, and Sylvan folk.</a:t>
          </a:r>
        </a:p>
        <a:p>
          <a:pPr algn="just"/>
          <a:endParaRPr lang="en-US" sz="1200">
            <a:effectLst/>
            <a:latin typeface="Times New Roman" panose="02020603050405020304" pitchFamily="18" charset="0"/>
            <a:ea typeface="+mn-ea"/>
            <a:cs typeface="Times New Roman" panose="02020603050405020304" pitchFamily="18" charset="0"/>
          </a:endParaRPr>
        </a:p>
        <a:p>
          <a:pPr algn="just"/>
          <a:r>
            <a:rPr lang="en-US" sz="1200">
              <a:effectLst/>
              <a:latin typeface="Times New Roman" panose="02020603050405020304" pitchFamily="18" charset="0"/>
              <a:ea typeface="+mn-ea"/>
              <a:cs typeface="Times New Roman" panose="02020603050405020304" pitchFamily="18" charset="0"/>
            </a:rPr>
            <a:t>While he honors the Triad as the primary trio of deities of Impiltur, other deities are also worshipped within the kingdom, and with his preference for natural areas, he started out following Selune. However, after an encounter in the Gray Forest where his patrol was aided by a pair of unicorns, he pledged to Lurue, who is thought to be Selune's daughter, taking the magical beasts as a sign.</a:t>
          </a:r>
        </a:p>
        <a:p>
          <a:pPr algn="just"/>
          <a:r>
            <a:rPr lang="en-US" sz="1200">
              <a:effectLst/>
              <a:latin typeface="Times New Roman" panose="02020603050405020304" pitchFamily="18" charset="0"/>
              <a:ea typeface="+mn-ea"/>
              <a:cs typeface="Times New Roman" panose="02020603050405020304" pitchFamily="18" charset="0"/>
            </a:rPr>
            <a:t> </a:t>
          </a:r>
        </a:p>
        <a:p>
          <a:pPr algn="just"/>
          <a:r>
            <a:rPr lang="en-US" sz="1200">
              <a:effectLst/>
              <a:latin typeface="Times New Roman" panose="02020603050405020304" pitchFamily="18" charset="0"/>
              <a:ea typeface="+mn-ea"/>
              <a:cs typeface="Times New Roman" panose="02020603050405020304" pitchFamily="18" charset="0"/>
            </a:rPr>
            <a:t>While enjoying some leave time in the city, he stumbled across some agents of the Red Wizards (who have one of their "trade embassies" in Lyrabar) and helped thwart one of their plans. The Red Wizard agents were employing undead as minions, and Karlon was nearly drained of strength - something he doesn't have a lot of - by a shadow. He recovered, and resolved to learn how to fight undead more effectively; he got a ranger to expand upon his scout training, teaching him to exploit the few weak points undead have.</a:t>
          </a:r>
        </a:p>
        <a:p>
          <a:pPr algn="just"/>
          <a:r>
            <a:rPr lang="en-US" sz="1200">
              <a:effectLst/>
              <a:latin typeface="Times New Roman" panose="02020603050405020304" pitchFamily="18" charset="0"/>
              <a:ea typeface="+mn-ea"/>
              <a:cs typeface="Times New Roman" panose="02020603050405020304" pitchFamily="18" charset="0"/>
            </a:rPr>
            <a:t> </a:t>
          </a:r>
        </a:p>
        <a:p>
          <a:pPr algn="just"/>
          <a:r>
            <a:rPr lang="en-US" sz="1200">
              <a:effectLst/>
              <a:latin typeface="Times New Roman" panose="02020603050405020304" pitchFamily="18" charset="0"/>
              <a:ea typeface="+mn-ea"/>
              <a:cs typeface="Times New Roman" panose="02020603050405020304" pitchFamily="18" charset="0"/>
            </a:rPr>
            <a:t>After that, he volunteered as a tracker for a unit of warswords (a type of mounted militia who use lances and crossbows) heading elsewhere in the kingdom and, while he preferred to walk rather than riding, he got just good enough at it to get by, and his ability with his favorite weapon, the light crossbow, earned him some respect and special training as a fighter. </a:t>
          </a:r>
        </a:p>
        <a:p>
          <a:pPr algn="just"/>
          <a:r>
            <a:rPr lang="en-US" sz="1200">
              <a:effectLst/>
              <a:latin typeface="Times New Roman" panose="02020603050405020304" pitchFamily="18" charset="0"/>
              <a:ea typeface="+mn-ea"/>
              <a:cs typeface="Times New Roman" panose="02020603050405020304" pitchFamily="18" charset="0"/>
            </a:rPr>
            <a:t> </a:t>
          </a:r>
        </a:p>
        <a:p>
          <a:pPr algn="just"/>
          <a:r>
            <a:rPr lang="en-US" sz="1200">
              <a:effectLst/>
              <a:latin typeface="Times New Roman" panose="02020603050405020304" pitchFamily="18" charset="0"/>
              <a:ea typeface="+mn-ea"/>
              <a:cs typeface="Times New Roman" panose="02020603050405020304" pitchFamily="18" charset="0"/>
            </a:rPr>
            <a:t>However, upon his return to Lyrabar, he learned that the Red Wizards' agents had figured out who he was and held a grudge. He escaped their grasp and became a voluntary exile from his homeland to protect his family. Since that time he has wandered as a renegade, acting as a scout for hire, a caravan guard, occasionally adventuring, etc., looking for a place he can fit in. He has continued advancing in his three interwoven classes, working on improving his effectiveness with the light crossbow, working on various skills, etc. With the history of Impiltur involving fighting fiends, eventually taking evil outsiders as his second favored enemy made a lot of sense, but he personally hates undead more, and has further improved his abilities vs such foes, as well as learning how to better fight fiends, in honor of his homeland's history fighting such foes.</a:t>
          </a:r>
        </a:p>
        <a:p>
          <a:pPr algn="just"/>
          <a:endParaRPr lang="en-US" sz="1200">
            <a:effectLst/>
            <a:latin typeface="Times New Roman" panose="02020603050405020304" pitchFamily="18" charset="0"/>
            <a:ea typeface="+mn-ea"/>
            <a:cs typeface="Times New Roman" panose="02020603050405020304" pitchFamily="18" charset="0"/>
          </a:endParaRPr>
        </a:p>
        <a:p>
          <a:pPr algn="just"/>
          <a:r>
            <a:rPr lang="en-US" sz="1200" b="1">
              <a:effectLst/>
              <a:latin typeface="Times New Roman" panose="02020603050405020304" pitchFamily="18" charset="0"/>
              <a:ea typeface="+mn-ea"/>
              <a:cs typeface="Times New Roman" panose="02020603050405020304" pitchFamily="18" charset="0"/>
            </a:rPr>
            <a:t>Personality:  </a:t>
          </a:r>
          <a:r>
            <a:rPr lang="en-US" sz="1200">
              <a:effectLst/>
              <a:latin typeface="Times New Roman" panose="02020603050405020304" pitchFamily="18" charset="0"/>
              <a:ea typeface="+mn-ea"/>
              <a:cs typeface="Times New Roman" panose="02020603050405020304" pitchFamily="18" charset="0"/>
            </a:rPr>
            <a:t>While he spent several years as a soldier in Impiltur, Karlon seldom tells the typical stories soldiers tell of past exploits, as he is somewhat selfconscious; the exception is the rare occasion when he overindulges in ale, at which times he might slip into Damaran occasionally, briefly rambling a bit until he remembers that he is far from home and most folks around don't speak his ethnic tongue. He also tends to swear in Damaran, precisely because nobody will understand!</a:t>
          </a:r>
        </a:p>
        <a:p>
          <a:pPr algn="just"/>
          <a:endParaRPr lang="en-US" sz="1200">
            <a:effectLst/>
            <a:latin typeface="Times New Roman" panose="02020603050405020304" pitchFamily="18" charset="0"/>
            <a:ea typeface="+mn-ea"/>
            <a:cs typeface="Times New Roman" panose="02020603050405020304" pitchFamily="18" charset="0"/>
          </a:endParaRPr>
        </a:p>
        <a:p>
          <a:pPr algn="just"/>
          <a:r>
            <a:rPr lang="en-US" sz="1200">
              <a:effectLst/>
              <a:latin typeface="Times New Roman" panose="02020603050405020304" pitchFamily="18" charset="0"/>
              <a:ea typeface="+mn-ea"/>
              <a:cs typeface="Times New Roman" panose="02020603050405020304" pitchFamily="18" charset="0"/>
            </a:rPr>
            <a:t>He is normally reserved, serious and quiet, letting others do most of the talking, unless he has something important to contribute, such as suggesting changes to plans that might be helpful. He is loyal to those who hired him, or admit him into their group, provided they don't betray him.</a:t>
          </a:r>
        </a:p>
        <a:p>
          <a:pPr algn="just"/>
          <a:endParaRPr lang="en-US" sz="1200">
            <a:effectLst/>
            <a:latin typeface="Times New Roman" panose="02020603050405020304" pitchFamily="18" charset="0"/>
            <a:ea typeface="+mn-ea"/>
            <a:cs typeface="Times New Roman" panose="02020603050405020304" pitchFamily="18" charset="0"/>
          </a:endParaRPr>
        </a:p>
        <a:p>
          <a:pPr algn="just"/>
          <a:r>
            <a:rPr lang="en-US" sz="1200">
              <a:effectLst/>
              <a:latin typeface="Times New Roman" panose="02020603050405020304" pitchFamily="18" charset="0"/>
              <a:ea typeface="+mn-ea"/>
              <a:cs typeface="Times New Roman" panose="02020603050405020304" pitchFamily="18" charset="0"/>
            </a:rPr>
            <a:t>But he does hold a grudge, against the Red Wizards, and undead like those the Red Wizards have been known to make use of, and fiends, from national pride. Regarding life in general, he is fearless and plucky, optimistic that there is a way to win or at least survive in most circumstances, and ready to find that way.</a:t>
          </a:r>
        </a:p>
      </xdr:txBody>
    </xdr:sp>
    <xdr:clientData/>
  </xdr:twoCellAnchor>
  <xdr:twoCellAnchor>
    <xdr:from>
      <xdr:col>5</xdr:col>
      <xdr:colOff>60960</xdr:colOff>
      <xdr:row>14</xdr:row>
      <xdr:rowOff>182880</xdr:rowOff>
    </xdr:from>
    <xdr:to>
      <xdr:col>6</xdr:col>
      <xdr:colOff>1232535</xdr:colOff>
      <xdr:row>16</xdr:row>
      <xdr:rowOff>211454</xdr:rowOff>
    </xdr:to>
    <xdr:sp macro="" textlink="">
      <xdr:nvSpPr>
        <xdr:cNvPr id="6" name="Text Box 60">
          <a:extLst>
            <a:ext uri="{FF2B5EF4-FFF2-40B4-BE49-F238E27FC236}">
              <a16:creationId xmlns:a16="http://schemas.microsoft.com/office/drawing/2014/main" id="{00000000-0008-0000-0000-000006000000}"/>
            </a:ext>
          </a:extLst>
        </xdr:cNvPr>
        <xdr:cNvSpPr txBox="1">
          <a:spLocks noChangeArrowheads="1"/>
        </xdr:cNvSpPr>
      </xdr:nvSpPr>
      <xdr:spPr bwMode="auto">
        <a:xfrm>
          <a:off x="4221480" y="3794760"/>
          <a:ext cx="2291715" cy="462914"/>
        </a:xfrm>
        <a:prstGeom prst="rect">
          <a:avLst/>
        </a:prstGeom>
        <a:solidFill>
          <a:srgbClr xmlns:mc="http://schemas.openxmlformats.org/markup-compatibility/2006" xmlns:a14="http://schemas.microsoft.com/office/drawing/2010/main" val="CCFFFF" mc:Ignorable="a14" a14:legacySpreadsheetColorIndex="41">
            <a:alpha val="52000"/>
          </a:srgbClr>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ctr" upright="1"/>
        <a:lstStyle/>
        <a:p>
          <a:pPr algn="ctr" rtl="0">
            <a:defRPr sz="1000"/>
          </a:pPr>
          <a:endParaRPr lang="en-US" sz="1200" b="0" i="1" u="none" strike="noStrike" baseline="0">
            <a:solidFill>
              <a:srgbClr val="FF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a:extLst>
            <a:ext uri="{FF2B5EF4-FFF2-40B4-BE49-F238E27FC236}">
              <a16:creationId xmlns:a16="http://schemas.microsoft.com/office/drawing/2014/main" id="{00000000-0008-0000-0100-000054340000}"/>
            </a:ext>
          </a:extLst>
        </xdr:cNvPr>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228600</xdr:colOff>
      <xdr:row>0</xdr:row>
      <xdr:rowOff>0</xdr:rowOff>
    </xdr:from>
    <xdr:to>
      <xdr:col>7</xdr:col>
      <xdr:colOff>0</xdr:colOff>
      <xdr:row>0</xdr:row>
      <xdr:rowOff>0</xdr:rowOff>
    </xdr:to>
    <xdr:sp macro="" textlink="">
      <xdr:nvSpPr>
        <xdr:cNvPr id="17701" name="Rectangle 1">
          <a:extLst>
            <a:ext uri="{FF2B5EF4-FFF2-40B4-BE49-F238E27FC236}">
              <a16:creationId xmlns:a16="http://schemas.microsoft.com/office/drawing/2014/main" id="{00000000-0008-0000-0200-000025450000}"/>
            </a:ext>
          </a:extLst>
        </xdr:cNvPr>
        <xdr:cNvSpPr>
          <a:spLocks noChangeArrowheads="1"/>
        </xdr:cNvSpPr>
      </xdr:nvSpPr>
      <xdr:spPr bwMode="auto">
        <a:xfrm>
          <a:off x="5067300" y="0"/>
          <a:ext cx="204787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Rectangle 1">
          <a:extLst>
            <a:ext uri="{FF2B5EF4-FFF2-40B4-BE49-F238E27FC236}">
              <a16:creationId xmlns:a16="http://schemas.microsoft.com/office/drawing/2014/main" id="{C4356AEA-E66E-435D-B340-B13D8167085E}"/>
            </a:ext>
          </a:extLst>
        </xdr:cNvPr>
        <xdr:cNvSpPr>
          <a:spLocks noChangeArrowheads="1"/>
        </xdr:cNvSpPr>
      </xdr:nvSpPr>
      <xdr:spPr bwMode="auto">
        <a:xfrm>
          <a:off x="0"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Rectangle 1">
          <a:extLst>
            <a:ext uri="{FF2B5EF4-FFF2-40B4-BE49-F238E27FC236}">
              <a16:creationId xmlns:a16="http://schemas.microsoft.com/office/drawing/2014/main" id="{00000000-0008-0000-0300-000002000000}"/>
            </a:ext>
          </a:extLst>
        </xdr:cNvPr>
        <xdr:cNvSpPr>
          <a:spLocks noChangeArrowheads="1"/>
        </xdr:cNvSpPr>
      </xdr:nvSpPr>
      <xdr:spPr bwMode="auto">
        <a:xfrm>
          <a:off x="5029200"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1</xdr:col>
      <xdr:colOff>68580</xdr:colOff>
      <xdr:row>1</xdr:row>
      <xdr:rowOff>123825</xdr:rowOff>
    </xdr:from>
    <xdr:to>
      <xdr:col>2</xdr:col>
      <xdr:colOff>55245</xdr:colOff>
      <xdr:row>2</xdr:row>
      <xdr:rowOff>66675</xdr:rowOff>
    </xdr:to>
    <xdr:sp macro="" textlink="">
      <xdr:nvSpPr>
        <xdr:cNvPr id="3078" name="Text Box 6" hidden="1">
          <a:extLst>
            <a:ext uri="{FF2B5EF4-FFF2-40B4-BE49-F238E27FC236}">
              <a16:creationId xmlns:a16="http://schemas.microsoft.com/office/drawing/2014/main" id="{00000000-0008-0000-05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drakaragm@aol.com?subject=Fist%20of%20Ligh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5"/>
  <sheetViews>
    <sheetView showGridLines="0" tabSelected="1" zoomScaleNormal="100" workbookViewId="0"/>
  </sheetViews>
  <sheetFormatPr defaultColWidth="13" defaultRowHeight="15.6" x14ac:dyDescent="0.3"/>
  <cols>
    <col min="1" max="1" width="14.296875" style="49" customWidth="1"/>
    <col min="2" max="2" width="10" style="50" customWidth="1"/>
    <col min="3" max="3" width="5.09765625" style="50" customWidth="1"/>
    <col min="4" max="4" width="13.69921875" style="49" bestFit="1" customWidth="1"/>
    <col min="5" max="5" width="10.8984375" style="50" bestFit="1" customWidth="1"/>
    <col min="6" max="6" width="14.69921875" style="49" customWidth="1"/>
    <col min="7" max="7" width="17.09765625" style="50" customWidth="1"/>
    <col min="8" max="16384" width="13" style="10"/>
  </cols>
  <sheetData>
    <row r="1" spans="1:7" ht="29.4" thickTop="1" thickBot="1" x14ac:dyDescent="0.35">
      <c r="A1" s="512" t="s">
        <v>218</v>
      </c>
      <c r="B1" s="513" t="s">
        <v>219</v>
      </c>
      <c r="C1" s="6"/>
      <c r="D1" s="7"/>
      <c r="E1" s="8"/>
      <c r="F1" s="7"/>
      <c r="G1" s="9" t="s">
        <v>220</v>
      </c>
    </row>
    <row r="2" spans="1:7" ht="17.399999999999999" thickTop="1" x14ac:dyDescent="0.3">
      <c r="A2" s="11" t="s">
        <v>97</v>
      </c>
      <c r="B2" s="12" t="s">
        <v>89</v>
      </c>
      <c r="C2" s="12"/>
      <c r="D2" s="13" t="s">
        <v>104</v>
      </c>
      <c r="E2" s="14">
        <v>27</v>
      </c>
      <c r="F2" s="15"/>
      <c r="G2" s="16"/>
    </row>
    <row r="3" spans="1:7" ht="16.8" x14ac:dyDescent="0.3">
      <c r="A3" s="11" t="s">
        <v>98</v>
      </c>
      <c r="B3" s="12" t="s">
        <v>224</v>
      </c>
      <c r="C3" s="12"/>
      <c r="D3" s="13" t="s">
        <v>0</v>
      </c>
      <c r="E3" s="14">
        <v>4</v>
      </c>
      <c r="F3" s="13"/>
      <c r="G3" s="16"/>
    </row>
    <row r="4" spans="1:7" ht="16.8" x14ac:dyDescent="0.3">
      <c r="A4" s="11" t="s">
        <v>98</v>
      </c>
      <c r="B4" s="12" t="s">
        <v>225</v>
      </c>
      <c r="C4" s="12"/>
      <c r="D4" s="13" t="s">
        <v>0</v>
      </c>
      <c r="E4" s="14">
        <v>2</v>
      </c>
      <c r="F4" s="13"/>
      <c r="G4" s="16"/>
    </row>
    <row r="5" spans="1:7" ht="16.8" x14ac:dyDescent="0.3">
      <c r="A5" s="11" t="s">
        <v>98</v>
      </c>
      <c r="B5" s="12" t="s">
        <v>226</v>
      </c>
      <c r="C5" s="12"/>
      <c r="D5" s="13" t="s">
        <v>0</v>
      </c>
      <c r="E5" s="14">
        <v>2</v>
      </c>
      <c r="F5" s="13"/>
      <c r="G5" s="16"/>
    </row>
    <row r="6" spans="1:7" ht="16.8" x14ac:dyDescent="0.3">
      <c r="A6" s="11" t="s">
        <v>113</v>
      </c>
      <c r="B6" s="12" t="s">
        <v>227</v>
      </c>
      <c r="C6" s="12"/>
      <c r="D6" s="13" t="s">
        <v>99</v>
      </c>
      <c r="E6" s="14" t="s">
        <v>221</v>
      </c>
      <c r="F6" s="13"/>
      <c r="G6" s="16"/>
    </row>
    <row r="7" spans="1:7" ht="16.8" x14ac:dyDescent="0.3">
      <c r="A7" s="11" t="s">
        <v>114</v>
      </c>
      <c r="B7" s="12" t="s">
        <v>257</v>
      </c>
      <c r="C7" s="12"/>
      <c r="D7" s="13" t="s">
        <v>118</v>
      </c>
      <c r="E7" s="14" t="s">
        <v>222</v>
      </c>
      <c r="F7" s="13"/>
      <c r="G7" s="16"/>
    </row>
    <row r="8" spans="1:7" ht="17.399999999999999" thickBot="1" x14ac:dyDescent="0.35">
      <c r="A8" s="11" t="s">
        <v>115</v>
      </c>
      <c r="B8" s="12" t="s">
        <v>126</v>
      </c>
      <c r="C8" s="12"/>
      <c r="D8" s="13" t="s">
        <v>119</v>
      </c>
      <c r="E8" s="14" t="s">
        <v>223</v>
      </c>
      <c r="F8" s="13"/>
      <c r="G8" s="16"/>
    </row>
    <row r="9" spans="1:7" ht="17.399999999999999" thickTop="1" x14ac:dyDescent="0.3">
      <c r="A9" s="17" t="s">
        <v>116</v>
      </c>
      <c r="B9" s="454">
        <f>3+E3+E4</f>
        <v>9</v>
      </c>
      <c r="C9" s="455"/>
      <c r="D9" s="18" t="s">
        <v>70</v>
      </c>
      <c r="E9" s="19" t="s">
        <v>170</v>
      </c>
      <c r="F9" s="20"/>
      <c r="G9" s="16"/>
    </row>
    <row r="10" spans="1:7" ht="17.399999999999999" thickBot="1" x14ac:dyDescent="0.35">
      <c r="A10" s="126" t="s">
        <v>117</v>
      </c>
      <c r="B10" s="127" t="str">
        <f>C12</f>
        <v>+4</v>
      </c>
      <c r="C10" s="128"/>
      <c r="D10" s="273"/>
      <c r="E10" s="274"/>
      <c r="F10" s="20"/>
      <c r="G10" s="16"/>
    </row>
    <row r="11" spans="1:7" ht="17.399999999999999" thickTop="1" x14ac:dyDescent="0.3">
      <c r="A11" s="21" t="s">
        <v>112</v>
      </c>
      <c r="B11" s="456">
        <v>9</v>
      </c>
      <c r="C11" s="22">
        <f t="shared" ref="C11:C16" si="0">IF(B11&gt;9.9,CONCATENATE("+",ROUNDDOWN((B11-10)/2,0)),ROUNDUP((B11-10)/2,0))</f>
        <v>-1</v>
      </c>
      <c r="D11" s="23" t="s">
        <v>120</v>
      </c>
      <c r="E11" s="104" t="s">
        <v>254</v>
      </c>
      <c r="F11" s="20"/>
      <c r="G11" s="16"/>
    </row>
    <row r="12" spans="1:7" ht="16.8" x14ac:dyDescent="0.3">
      <c r="A12" s="24" t="s">
        <v>111</v>
      </c>
      <c r="B12" s="449">
        <v>18</v>
      </c>
      <c r="C12" s="25" t="str">
        <f t="shared" si="0"/>
        <v>+4</v>
      </c>
      <c r="D12" s="26" t="s">
        <v>121</v>
      </c>
      <c r="E12" s="27">
        <f>SUM(Martial!G3:G33)+SUM(Equipment!C3:C25)+5</f>
        <v>50.5</v>
      </c>
      <c r="F12" s="20"/>
      <c r="G12" s="16"/>
    </row>
    <row r="13" spans="1:7" ht="16.8" x14ac:dyDescent="0.3">
      <c r="A13" s="518" t="s">
        <v>107</v>
      </c>
      <c r="B13" s="28">
        <v>12</v>
      </c>
      <c r="C13" s="29" t="str">
        <f t="shared" si="0"/>
        <v>+1</v>
      </c>
      <c r="D13" s="26" t="s">
        <v>122</v>
      </c>
      <c r="E13" s="446">
        <f>ROUNDUP(((E3*8)*0.75)+((E4*8)*0.75)+((E5*10)*0.75)+(SUM(E3:E5)*(C13-1)),0)</f>
        <v>51</v>
      </c>
      <c r="F13" s="20"/>
      <c r="G13" s="16"/>
    </row>
    <row r="14" spans="1:7" ht="16.8" x14ac:dyDescent="0.3">
      <c r="A14" s="30" t="s">
        <v>109</v>
      </c>
      <c r="B14" s="28">
        <v>14</v>
      </c>
      <c r="C14" s="25" t="str">
        <f t="shared" si="0"/>
        <v>+2</v>
      </c>
      <c r="D14" s="31" t="s">
        <v>123</v>
      </c>
      <c r="E14" s="450">
        <f>10+C12+2</f>
        <v>16</v>
      </c>
      <c r="F14" s="11"/>
      <c r="G14" s="16"/>
    </row>
    <row r="15" spans="1:7" ht="16.8" x14ac:dyDescent="0.3">
      <c r="A15" s="32" t="s">
        <v>110</v>
      </c>
      <c r="B15" s="28">
        <v>14</v>
      </c>
      <c r="C15" s="25" t="str">
        <f t="shared" si="0"/>
        <v>+2</v>
      </c>
      <c r="D15" s="31" t="s">
        <v>124</v>
      </c>
      <c r="E15" s="451">
        <f>E16-C12</f>
        <v>12</v>
      </c>
      <c r="F15" s="20"/>
      <c r="G15" s="16"/>
    </row>
    <row r="16" spans="1:7" ht="17.399999999999999" thickBot="1" x14ac:dyDescent="0.35">
      <c r="A16" s="33" t="s">
        <v>108</v>
      </c>
      <c r="B16" s="448">
        <v>8</v>
      </c>
      <c r="C16" s="34">
        <f t="shared" si="0"/>
        <v>-1</v>
      </c>
      <c r="D16" s="35" t="s">
        <v>134</v>
      </c>
      <c r="E16" s="452">
        <f>E14+SUM(Martial!B24:B29)</f>
        <v>16</v>
      </c>
      <c r="F16" s="20"/>
      <c r="G16" s="16"/>
    </row>
    <row r="17" spans="1:7" ht="24" thickTop="1" thickBot="1" x14ac:dyDescent="0.35">
      <c r="A17" s="36" t="s">
        <v>18</v>
      </c>
      <c r="B17" s="37"/>
      <c r="C17" s="37"/>
      <c r="D17" s="38"/>
      <c r="E17" s="38"/>
      <c r="F17" s="38"/>
      <c r="G17" s="39"/>
    </row>
    <row r="18" spans="1:7" s="3" customFormat="1" ht="17.399999999999999" thickTop="1" x14ac:dyDescent="0.3">
      <c r="A18" s="40"/>
      <c r="B18" s="41"/>
      <c r="C18" s="41"/>
      <c r="D18" s="41"/>
      <c r="E18" s="41"/>
      <c r="F18" s="41"/>
      <c r="G18" s="42"/>
    </row>
    <row r="19" spans="1:7" s="3" customFormat="1" ht="16.8" x14ac:dyDescent="0.3">
      <c r="A19" s="43"/>
      <c r="B19" s="44"/>
      <c r="C19" s="44"/>
      <c r="D19" s="44"/>
      <c r="E19" s="44"/>
      <c r="F19" s="44"/>
      <c r="G19" s="45"/>
    </row>
    <row r="20" spans="1:7" s="3" customFormat="1" ht="16.8" x14ac:dyDescent="0.3">
      <c r="A20" s="43"/>
      <c r="B20" s="44"/>
      <c r="C20" s="44"/>
      <c r="D20" s="44"/>
      <c r="E20" s="44"/>
      <c r="F20" s="44"/>
      <c r="G20" s="45"/>
    </row>
    <row r="21" spans="1:7" s="3" customFormat="1" ht="16.8" x14ac:dyDescent="0.3">
      <c r="A21" s="43"/>
      <c r="B21" s="44"/>
      <c r="C21" s="44"/>
      <c r="D21" s="44"/>
      <c r="E21" s="44"/>
      <c r="F21" s="44"/>
      <c r="G21" s="45"/>
    </row>
    <row r="22" spans="1:7" s="3" customFormat="1" ht="16.8" x14ac:dyDescent="0.3">
      <c r="A22" s="43"/>
      <c r="B22" s="44"/>
      <c r="C22" s="44"/>
      <c r="D22" s="44"/>
      <c r="E22" s="44"/>
      <c r="F22" s="44"/>
      <c r="G22" s="45"/>
    </row>
    <row r="23" spans="1:7" s="3" customFormat="1" ht="16.8" x14ac:dyDescent="0.3">
      <c r="A23" s="43"/>
      <c r="B23" s="44"/>
      <c r="C23" s="44"/>
      <c r="D23" s="44"/>
      <c r="E23" s="44"/>
      <c r="F23" s="44"/>
      <c r="G23" s="45"/>
    </row>
    <row r="24" spans="1:7" s="3" customFormat="1" ht="16.8" x14ac:dyDescent="0.3">
      <c r="A24" s="43"/>
      <c r="B24" s="44"/>
      <c r="C24" s="44"/>
      <c r="D24" s="44"/>
      <c r="E24" s="44"/>
      <c r="F24" s="44"/>
      <c r="G24" s="45"/>
    </row>
    <row r="25" spans="1:7" s="3" customFormat="1" ht="16.8" x14ac:dyDescent="0.3">
      <c r="A25" s="43"/>
      <c r="B25" s="44"/>
      <c r="C25" s="44"/>
      <c r="D25" s="44"/>
      <c r="E25" s="44"/>
      <c r="F25" s="44"/>
      <c r="G25" s="45"/>
    </row>
    <row r="26" spans="1:7" s="3" customFormat="1" ht="16.8" x14ac:dyDescent="0.3">
      <c r="A26" s="43"/>
      <c r="B26" s="44"/>
      <c r="C26" s="44"/>
      <c r="D26" s="44"/>
      <c r="E26" s="44"/>
      <c r="F26" s="44"/>
      <c r="G26" s="45"/>
    </row>
    <row r="27" spans="1:7" s="3" customFormat="1" ht="16.8" x14ac:dyDescent="0.3">
      <c r="A27" s="43"/>
      <c r="B27" s="44"/>
      <c r="C27" s="44"/>
      <c r="D27" s="44"/>
      <c r="E27" s="44"/>
      <c r="F27" s="44"/>
      <c r="G27" s="45"/>
    </row>
    <row r="28" spans="1:7" s="3" customFormat="1" ht="16.8" x14ac:dyDescent="0.3">
      <c r="A28" s="43"/>
      <c r="B28" s="44"/>
      <c r="C28" s="44"/>
      <c r="D28" s="44"/>
      <c r="E28" s="44"/>
      <c r="F28" s="44"/>
      <c r="G28" s="45"/>
    </row>
    <row r="29" spans="1:7" s="3" customFormat="1" ht="16.8" x14ac:dyDescent="0.3">
      <c r="A29" s="43"/>
      <c r="B29" s="44"/>
      <c r="C29" s="44"/>
      <c r="D29" s="44"/>
      <c r="E29" s="44"/>
      <c r="F29" s="44"/>
      <c r="G29" s="45"/>
    </row>
    <row r="30" spans="1:7" s="3" customFormat="1" ht="16.8" x14ac:dyDescent="0.3">
      <c r="A30" s="43"/>
      <c r="B30" s="44"/>
      <c r="C30" s="44"/>
      <c r="D30" s="44"/>
      <c r="E30" s="44"/>
      <c r="F30" s="44"/>
      <c r="G30" s="45"/>
    </row>
    <row r="31" spans="1:7" s="3" customFormat="1" ht="16.8" x14ac:dyDescent="0.3">
      <c r="A31" s="43"/>
      <c r="B31" s="44"/>
      <c r="C31" s="44"/>
      <c r="D31" s="44"/>
      <c r="E31" s="44"/>
      <c r="F31" s="44"/>
      <c r="G31" s="45"/>
    </row>
    <row r="32" spans="1:7" s="3" customFormat="1" ht="16.8" x14ac:dyDescent="0.3">
      <c r="A32" s="43"/>
      <c r="B32" s="44"/>
      <c r="C32" s="44"/>
      <c r="D32" s="44"/>
      <c r="E32" s="44"/>
      <c r="F32" s="44"/>
      <c r="G32" s="45"/>
    </row>
    <row r="33" spans="1:7" s="3" customFormat="1" ht="16.8" x14ac:dyDescent="0.3">
      <c r="A33" s="43"/>
      <c r="B33" s="44"/>
      <c r="C33" s="44"/>
      <c r="D33" s="44"/>
      <c r="E33" s="44"/>
      <c r="F33" s="44"/>
      <c r="G33" s="45"/>
    </row>
    <row r="34" spans="1:7" s="3" customFormat="1" ht="16.8" x14ac:dyDescent="0.3">
      <c r="A34" s="43"/>
      <c r="B34" s="44"/>
      <c r="C34" s="44"/>
      <c r="D34" s="44"/>
      <c r="E34" s="44"/>
      <c r="F34" s="44"/>
      <c r="G34" s="45"/>
    </row>
    <row r="35" spans="1:7" s="3" customFormat="1" ht="16.8" x14ac:dyDescent="0.3">
      <c r="A35" s="43"/>
      <c r="B35" s="44"/>
      <c r="C35" s="44"/>
      <c r="D35" s="44"/>
      <c r="E35" s="44"/>
      <c r="F35" s="44"/>
      <c r="G35" s="45"/>
    </row>
    <row r="36" spans="1:7" s="3" customFormat="1" ht="16.8" x14ac:dyDescent="0.3">
      <c r="A36" s="43"/>
      <c r="B36" s="44"/>
      <c r="C36" s="44"/>
      <c r="D36" s="44"/>
      <c r="E36" s="44"/>
      <c r="F36" s="44"/>
      <c r="G36" s="45"/>
    </row>
    <row r="37" spans="1:7" s="3" customFormat="1" ht="16.8" x14ac:dyDescent="0.3">
      <c r="A37" s="43"/>
      <c r="B37" s="44"/>
      <c r="C37" s="44"/>
      <c r="D37" s="44"/>
      <c r="E37" s="44"/>
      <c r="F37" s="44"/>
      <c r="G37" s="45"/>
    </row>
    <row r="38" spans="1:7" s="3" customFormat="1" ht="16.8" x14ac:dyDescent="0.3">
      <c r="A38" s="43"/>
      <c r="B38" s="44"/>
      <c r="C38" s="44"/>
      <c r="D38" s="44"/>
      <c r="E38" s="44"/>
      <c r="F38" s="44"/>
      <c r="G38" s="45"/>
    </row>
    <row r="39" spans="1:7" s="3" customFormat="1" ht="16.8" x14ac:dyDescent="0.3">
      <c r="A39" s="43"/>
      <c r="B39" s="44"/>
      <c r="C39" s="44"/>
      <c r="D39" s="44"/>
      <c r="E39" s="44"/>
      <c r="F39" s="44"/>
      <c r="G39" s="45"/>
    </row>
    <row r="40" spans="1:7" s="3" customFormat="1" ht="16.8" x14ac:dyDescent="0.3">
      <c r="A40" s="43"/>
      <c r="B40" s="44"/>
      <c r="C40" s="44"/>
      <c r="D40" s="44"/>
      <c r="E40" s="44"/>
      <c r="F40" s="44"/>
      <c r="G40" s="45"/>
    </row>
    <row r="41" spans="1:7" s="3" customFormat="1" ht="16.8" x14ac:dyDescent="0.3">
      <c r="A41" s="43"/>
      <c r="B41" s="44"/>
      <c r="C41" s="44"/>
      <c r="D41" s="44"/>
      <c r="E41" s="44"/>
      <c r="F41" s="44"/>
      <c r="G41" s="45"/>
    </row>
    <row r="42" spans="1:7" s="3" customFormat="1" ht="16.8" x14ac:dyDescent="0.3">
      <c r="A42" s="43"/>
      <c r="B42" s="44"/>
      <c r="C42" s="44"/>
      <c r="D42" s="44"/>
      <c r="E42" s="44"/>
      <c r="F42" s="44"/>
      <c r="G42" s="45"/>
    </row>
    <row r="43" spans="1:7" s="3" customFormat="1" ht="16.8" x14ac:dyDescent="0.3">
      <c r="A43" s="43"/>
      <c r="B43" s="44"/>
      <c r="C43" s="44"/>
      <c r="D43" s="44"/>
      <c r="E43" s="44"/>
      <c r="F43" s="44"/>
      <c r="G43" s="45"/>
    </row>
    <row r="44" spans="1:7" s="3" customFormat="1" ht="16.8" x14ac:dyDescent="0.3">
      <c r="A44" s="43"/>
      <c r="B44" s="44"/>
      <c r="C44" s="44"/>
      <c r="D44" s="44"/>
      <c r="E44" s="44"/>
      <c r="F44" s="44"/>
      <c r="G44" s="45"/>
    </row>
    <row r="45" spans="1:7" s="3" customFormat="1" ht="16.8" x14ac:dyDescent="0.3">
      <c r="A45" s="43"/>
      <c r="B45" s="44"/>
      <c r="C45" s="44"/>
      <c r="D45" s="44"/>
      <c r="E45" s="44"/>
      <c r="F45" s="44"/>
      <c r="G45" s="45"/>
    </row>
    <row r="46" spans="1:7" s="3" customFormat="1" ht="16.8" x14ac:dyDescent="0.3">
      <c r="A46" s="43"/>
      <c r="B46" s="44"/>
      <c r="C46" s="44"/>
      <c r="D46" s="44"/>
      <c r="E46" s="44"/>
      <c r="F46" s="44"/>
      <c r="G46" s="45"/>
    </row>
    <row r="47" spans="1:7" s="3" customFormat="1" ht="16.8" x14ac:dyDescent="0.3">
      <c r="A47" s="43"/>
      <c r="B47" s="44"/>
      <c r="C47" s="44"/>
      <c r="D47" s="44"/>
      <c r="E47" s="44"/>
      <c r="F47" s="44"/>
      <c r="G47" s="45"/>
    </row>
    <row r="48" spans="1:7" s="3" customFormat="1" ht="16.8" x14ac:dyDescent="0.3">
      <c r="A48" s="43"/>
      <c r="B48" s="44"/>
      <c r="C48" s="44"/>
      <c r="D48" s="44"/>
      <c r="E48" s="44"/>
      <c r="F48" s="44"/>
      <c r="G48" s="45"/>
    </row>
    <row r="49" spans="1:7" s="3" customFormat="1" ht="16.8" x14ac:dyDescent="0.3">
      <c r="A49" s="43"/>
      <c r="B49" s="44"/>
      <c r="C49" s="44"/>
      <c r="D49" s="44"/>
      <c r="E49" s="44"/>
      <c r="F49" s="44"/>
      <c r="G49" s="45"/>
    </row>
    <row r="50" spans="1:7" s="3" customFormat="1" ht="16.8" x14ac:dyDescent="0.3">
      <c r="A50" s="43"/>
      <c r="B50" s="44"/>
      <c r="C50" s="44"/>
      <c r="D50" s="44"/>
      <c r="E50" s="44"/>
      <c r="F50" s="44"/>
      <c r="G50" s="45"/>
    </row>
    <row r="51" spans="1:7" s="3" customFormat="1" ht="16.8" x14ac:dyDescent="0.3">
      <c r="A51" s="43"/>
      <c r="B51" s="44"/>
      <c r="C51" s="44"/>
      <c r="D51" s="44"/>
      <c r="E51" s="44"/>
      <c r="F51" s="44"/>
      <c r="G51" s="45"/>
    </row>
    <row r="52" spans="1:7" s="3" customFormat="1" ht="16.8" x14ac:dyDescent="0.3">
      <c r="A52" s="43"/>
      <c r="B52" s="44"/>
      <c r="C52" s="44"/>
      <c r="D52" s="44"/>
      <c r="E52" s="44"/>
      <c r="F52" s="44"/>
      <c r="G52" s="45"/>
    </row>
    <row r="53" spans="1:7" s="3" customFormat="1" ht="16.8" x14ac:dyDescent="0.3">
      <c r="A53" s="43"/>
      <c r="B53" s="44"/>
      <c r="C53" s="44"/>
      <c r="D53" s="44"/>
      <c r="E53" s="44"/>
      <c r="F53" s="44"/>
      <c r="G53" s="45"/>
    </row>
    <row r="54" spans="1:7" s="3" customFormat="1" ht="16.8" x14ac:dyDescent="0.3">
      <c r="A54" s="43"/>
      <c r="B54" s="44"/>
      <c r="C54" s="44"/>
      <c r="D54" s="44"/>
      <c r="E54" s="44"/>
      <c r="F54" s="44"/>
      <c r="G54" s="45"/>
    </row>
    <row r="55" spans="1:7" s="3" customFormat="1" ht="16.8" x14ac:dyDescent="0.3">
      <c r="A55" s="43"/>
      <c r="B55" s="44"/>
      <c r="C55" s="44"/>
      <c r="D55" s="44"/>
      <c r="E55" s="44"/>
      <c r="F55" s="44"/>
      <c r="G55" s="45"/>
    </row>
    <row r="56" spans="1:7" s="3" customFormat="1" ht="16.8" x14ac:dyDescent="0.3">
      <c r="A56" s="43"/>
      <c r="B56" s="44"/>
      <c r="C56" s="44"/>
      <c r="D56" s="44"/>
      <c r="E56" s="44"/>
      <c r="F56" s="44"/>
      <c r="G56" s="45"/>
    </row>
    <row r="57" spans="1:7" s="3" customFormat="1" ht="16.8" x14ac:dyDescent="0.3">
      <c r="A57" s="43"/>
      <c r="B57" s="44"/>
      <c r="C57" s="44"/>
      <c r="D57" s="44"/>
      <c r="E57" s="44"/>
      <c r="F57" s="44"/>
      <c r="G57" s="45"/>
    </row>
    <row r="58" spans="1:7" s="3" customFormat="1" ht="16.8" x14ac:dyDescent="0.3">
      <c r="A58" s="43"/>
      <c r="B58" s="44"/>
      <c r="C58" s="44"/>
      <c r="D58" s="44"/>
      <c r="E58" s="44"/>
      <c r="F58" s="44"/>
      <c r="G58" s="45"/>
    </row>
    <row r="59" spans="1:7" s="3" customFormat="1" ht="16.8" x14ac:dyDescent="0.3">
      <c r="A59" s="43"/>
      <c r="B59" s="44"/>
      <c r="C59" s="44"/>
      <c r="D59" s="44"/>
      <c r="E59" s="44"/>
      <c r="F59" s="44"/>
      <c r="G59" s="45"/>
    </row>
    <row r="60" spans="1:7" s="3" customFormat="1" ht="16.8" x14ac:dyDescent="0.3">
      <c r="A60" s="43"/>
      <c r="B60" s="44"/>
      <c r="C60" s="44"/>
      <c r="D60" s="44"/>
      <c r="E60" s="44"/>
      <c r="F60" s="44"/>
      <c r="G60" s="45"/>
    </row>
    <row r="61" spans="1:7" s="3" customFormat="1" ht="16.8" x14ac:dyDescent="0.3">
      <c r="A61" s="43"/>
      <c r="B61" s="44"/>
      <c r="C61" s="44"/>
      <c r="D61" s="44"/>
      <c r="E61" s="44"/>
      <c r="F61" s="44"/>
      <c r="G61" s="45"/>
    </row>
    <row r="62" spans="1:7" s="3" customFormat="1" ht="16.8" x14ac:dyDescent="0.3">
      <c r="A62" s="43"/>
      <c r="B62" s="44"/>
      <c r="C62" s="44"/>
      <c r="D62" s="44"/>
      <c r="E62" s="44"/>
      <c r="F62" s="44"/>
      <c r="G62" s="45"/>
    </row>
    <row r="63" spans="1:7" s="3" customFormat="1" ht="16.8" x14ac:dyDescent="0.3">
      <c r="A63" s="43"/>
      <c r="B63" s="44"/>
      <c r="C63" s="44"/>
      <c r="D63" s="44"/>
      <c r="E63" s="44"/>
      <c r="F63" s="44"/>
      <c r="G63" s="45"/>
    </row>
    <row r="64" spans="1:7" ht="17.399999999999999" thickBot="1" x14ac:dyDescent="0.35">
      <c r="A64" s="46"/>
      <c r="B64" s="47"/>
      <c r="C64" s="47"/>
      <c r="D64" s="47"/>
      <c r="E64" s="47"/>
      <c r="F64" s="47"/>
      <c r="G64" s="48"/>
    </row>
    <row r="65" ht="16.2" thickTop="1" x14ac:dyDescent="0.3"/>
  </sheetData>
  <phoneticPr fontId="0" type="noConversion"/>
  <conditionalFormatting sqref="E12">
    <cfRule type="cellIs" dxfId="2" priority="1" operator="greaterThan">
      <formula>60</formula>
    </cfRule>
    <cfRule type="cellIs" dxfId="1" priority="2" operator="between">
      <formula>30</formula>
      <formula>60</formula>
    </cfRule>
  </conditionalFormatting>
  <hyperlinks>
    <hyperlink ref="G1" r:id="rId1" display="Played by Ernest Hakey" xr:uid="{813BFDED-EA2A-4E2B-83B3-CD0CCEC6829D}"/>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showGridLines="0" workbookViewId="0">
      <pane ySplit="2" topLeftCell="A3" activePane="bottomLeft" state="frozen"/>
      <selection pane="bottomLeft" activeCell="A3" sqref="A3"/>
    </sheetView>
  </sheetViews>
  <sheetFormatPr defaultColWidth="13" defaultRowHeight="15.6" x14ac:dyDescent="0.3"/>
  <cols>
    <col min="1" max="1" width="31.296875" style="49" bestFit="1" customWidth="1"/>
    <col min="2" max="2" width="5.8984375" style="49" bestFit="1" customWidth="1"/>
    <col min="3" max="3" width="11.59765625" style="50" hidden="1" customWidth="1"/>
    <col min="4" max="4" width="5.796875" style="50" hidden="1" customWidth="1"/>
    <col min="5" max="5" width="9.19921875" style="50" bestFit="1" customWidth="1"/>
    <col min="6" max="6" width="7.5" style="50" customWidth="1"/>
    <col min="7" max="7" width="5.8984375" style="58" bestFit="1" customWidth="1"/>
    <col min="8" max="8" width="4.69921875" style="58" bestFit="1" customWidth="1"/>
    <col min="9" max="9" width="6.8984375" style="58" bestFit="1" customWidth="1"/>
    <col min="10" max="10" width="21.59765625" style="49" bestFit="1" customWidth="1"/>
    <col min="11" max="16384" width="13" style="10"/>
  </cols>
  <sheetData>
    <row r="1" spans="1:10" ht="23.4" thickBot="1" x14ac:dyDescent="0.35">
      <c r="A1" s="174" t="s">
        <v>7</v>
      </c>
      <c r="B1" s="51"/>
      <c r="C1" s="51"/>
      <c r="D1" s="51"/>
      <c r="E1" s="51"/>
      <c r="F1" s="51"/>
      <c r="G1" s="52"/>
      <c r="H1" s="52"/>
      <c r="I1" s="52"/>
      <c r="J1" s="51"/>
    </row>
    <row r="2" spans="1:10" s="3" customFormat="1" ht="34.200000000000003" thickBot="1" x14ac:dyDescent="0.35">
      <c r="A2" s="175" t="s">
        <v>88</v>
      </c>
      <c r="B2" s="176" t="s">
        <v>23</v>
      </c>
      <c r="C2" s="176" t="s">
        <v>25</v>
      </c>
      <c r="D2" s="176" t="s">
        <v>22</v>
      </c>
      <c r="E2" s="2" t="s">
        <v>50</v>
      </c>
      <c r="F2" s="2" t="s">
        <v>26</v>
      </c>
      <c r="G2" s="177" t="s">
        <v>52</v>
      </c>
      <c r="H2" s="178" t="s">
        <v>87</v>
      </c>
      <c r="I2" s="177" t="s">
        <v>68</v>
      </c>
      <c r="J2" s="179" t="s">
        <v>66</v>
      </c>
    </row>
    <row r="3" spans="1:10" s="3" customFormat="1" ht="16.8" x14ac:dyDescent="0.3">
      <c r="A3" s="180" t="s">
        <v>55</v>
      </c>
      <c r="B3" s="181">
        <f>1+3+3</f>
        <v>7</v>
      </c>
      <c r="C3" s="182" t="s">
        <v>107</v>
      </c>
      <c r="D3" s="183" t="str">
        <f>VLOOKUP(C3,'Personal File'!$A$11:$C$16,3,FALSE)</f>
        <v>+1</v>
      </c>
      <c r="E3" s="184" t="str">
        <f t="shared" ref="E3:E46" si="0">CONCATENATE(LEFT(C3,3)," (",D3,")")</f>
        <v>Con (+1)</v>
      </c>
      <c r="F3" s="185">
        <v>-1</v>
      </c>
      <c r="G3" s="185">
        <f t="shared" ref="G3:G46" si="1">B3+D3+F3</f>
        <v>7</v>
      </c>
      <c r="H3" s="186">
        <f t="shared" ref="H3:H5" ca="1" si="2">RANDBETWEEN(1,20)</f>
        <v>16</v>
      </c>
      <c r="I3" s="185">
        <f ca="1">SUM(G3:H3)</f>
        <v>23</v>
      </c>
      <c r="J3" s="187"/>
    </row>
    <row r="4" spans="1:10" s="3" customFormat="1" ht="16.8" x14ac:dyDescent="0.3">
      <c r="A4" s="188" t="s">
        <v>56</v>
      </c>
      <c r="B4" s="181">
        <f>4+3+0</f>
        <v>7</v>
      </c>
      <c r="C4" s="189" t="s">
        <v>111</v>
      </c>
      <c r="D4" s="183" t="str">
        <f>VLOOKUP(C4,'Personal File'!$A$11:$C$16,3,FALSE)</f>
        <v>+4</v>
      </c>
      <c r="E4" s="190" t="str">
        <f t="shared" si="0"/>
        <v>Dex (+4)</v>
      </c>
      <c r="F4" s="185">
        <v>0</v>
      </c>
      <c r="G4" s="185">
        <f t="shared" si="1"/>
        <v>11</v>
      </c>
      <c r="H4" s="186">
        <f t="shared" ca="1" si="2"/>
        <v>9</v>
      </c>
      <c r="I4" s="185">
        <f ca="1">SUM(G4:H4)</f>
        <v>20</v>
      </c>
      <c r="J4" s="187" t="s">
        <v>207</v>
      </c>
    </row>
    <row r="5" spans="1:10" s="3" customFormat="1" ht="16.8" x14ac:dyDescent="0.3">
      <c r="A5" s="191" t="s">
        <v>57</v>
      </c>
      <c r="B5" s="192">
        <f>1+0+0</f>
        <v>1</v>
      </c>
      <c r="C5" s="193" t="s">
        <v>110</v>
      </c>
      <c r="D5" s="193" t="str">
        <f>VLOOKUP(C5,'Personal File'!$A$11:$C$16,3,FALSE)</f>
        <v>+2</v>
      </c>
      <c r="E5" s="194" t="str">
        <f t="shared" si="0"/>
        <v>Wis (+2)</v>
      </c>
      <c r="F5" s="195">
        <v>1</v>
      </c>
      <c r="G5" s="195">
        <f t="shared" si="1"/>
        <v>4</v>
      </c>
      <c r="H5" s="196">
        <f t="shared" ca="1" si="2"/>
        <v>11</v>
      </c>
      <c r="I5" s="195">
        <f ca="1">SUM(G5:H5)</f>
        <v>15</v>
      </c>
      <c r="J5" s="197" t="s">
        <v>238</v>
      </c>
    </row>
    <row r="6" spans="1:10" s="53" customFormat="1" ht="16.8" x14ac:dyDescent="0.3">
      <c r="A6" s="198" t="s">
        <v>27</v>
      </c>
      <c r="B6" s="199">
        <v>0</v>
      </c>
      <c r="C6" s="200" t="s">
        <v>109</v>
      </c>
      <c r="D6" s="201" t="str">
        <f>VLOOKUP(C6,'Personal File'!$A$11:$C$16,3,FALSE)</f>
        <v>+2</v>
      </c>
      <c r="E6" s="202" t="str">
        <f t="shared" si="0"/>
        <v>Int (+2)</v>
      </c>
      <c r="F6" s="203" t="s">
        <v>51</v>
      </c>
      <c r="G6" s="204">
        <f t="shared" si="1"/>
        <v>2</v>
      </c>
      <c r="H6" s="186">
        <f ca="1">RANDBETWEEN(1,20)</f>
        <v>10</v>
      </c>
      <c r="I6" s="204">
        <f t="shared" ref="I6:I46" ca="1" si="3">SUM(G6:H6)</f>
        <v>12</v>
      </c>
      <c r="J6" s="187"/>
    </row>
    <row r="7" spans="1:10" s="54" customFormat="1" ht="16.8" x14ac:dyDescent="0.3">
      <c r="A7" s="300" t="s">
        <v>28</v>
      </c>
      <c r="B7" s="207">
        <v>5</v>
      </c>
      <c r="C7" s="301" t="s">
        <v>111</v>
      </c>
      <c r="D7" s="302" t="str">
        <f>VLOOKUP(C7,'Personal File'!$A$11:$C$16,3,FALSE)</f>
        <v>+4</v>
      </c>
      <c r="E7" s="303" t="str">
        <f t="shared" si="0"/>
        <v>Dex (+4)</v>
      </c>
      <c r="F7" s="322">
        <f>SUM(Martial!$D$24:$D$29)+2</f>
        <v>2</v>
      </c>
      <c r="G7" s="208">
        <f t="shared" si="1"/>
        <v>11</v>
      </c>
      <c r="H7" s="186">
        <f t="shared" ref="H7:H46" ca="1" si="4">RANDBETWEEN(1,20)</f>
        <v>10</v>
      </c>
      <c r="I7" s="208">
        <f t="shared" ca="1" si="3"/>
        <v>21</v>
      </c>
      <c r="J7" s="209"/>
    </row>
    <row r="8" spans="1:10" s="55" customFormat="1" ht="16.8" x14ac:dyDescent="0.3">
      <c r="A8" s="224" t="s">
        <v>29</v>
      </c>
      <c r="B8" s="199">
        <v>0</v>
      </c>
      <c r="C8" s="225" t="s">
        <v>108</v>
      </c>
      <c r="D8" s="226">
        <f>VLOOKUP(C8,'Personal File'!$A$11:$C$16,3,FALSE)</f>
        <v>-1</v>
      </c>
      <c r="E8" s="227" t="str">
        <f t="shared" si="0"/>
        <v>Cha (-1)</v>
      </c>
      <c r="F8" s="204" t="s">
        <v>51</v>
      </c>
      <c r="G8" s="204">
        <f t="shared" si="1"/>
        <v>-1</v>
      </c>
      <c r="H8" s="186">
        <f t="shared" ca="1" si="4"/>
        <v>11</v>
      </c>
      <c r="I8" s="204">
        <f t="shared" ca="1" si="3"/>
        <v>10</v>
      </c>
      <c r="J8" s="187" t="s">
        <v>258</v>
      </c>
    </row>
    <row r="9" spans="1:10" s="56" customFormat="1" ht="16.8" x14ac:dyDescent="0.3">
      <c r="A9" s="280" t="s">
        <v>30</v>
      </c>
      <c r="B9" s="207">
        <v>11</v>
      </c>
      <c r="C9" s="281" t="s">
        <v>112</v>
      </c>
      <c r="D9" s="282">
        <f>VLOOKUP(C9,'Personal File'!$A$11:$C$16,3,FALSE)</f>
        <v>-1</v>
      </c>
      <c r="E9" s="283" t="str">
        <f t="shared" si="0"/>
        <v>Str (-1)</v>
      </c>
      <c r="F9" s="322">
        <f>SUM(Martial!$D$24:$D$29)+2</f>
        <v>2</v>
      </c>
      <c r="G9" s="208">
        <f t="shared" si="1"/>
        <v>12</v>
      </c>
      <c r="H9" s="186">
        <f t="shared" ca="1" si="4"/>
        <v>16</v>
      </c>
      <c r="I9" s="208">
        <f t="shared" ca="1" si="3"/>
        <v>28</v>
      </c>
      <c r="J9" s="209"/>
    </row>
    <row r="10" spans="1:10" s="56" customFormat="1" ht="16.8" x14ac:dyDescent="0.3">
      <c r="A10" s="503" t="s">
        <v>8</v>
      </c>
      <c r="B10" s="199">
        <v>0</v>
      </c>
      <c r="C10" s="504" t="s">
        <v>107</v>
      </c>
      <c r="D10" s="505" t="str">
        <f>VLOOKUP(C10,'Personal File'!$A$11:$C$16,3,FALSE)</f>
        <v>+1</v>
      </c>
      <c r="E10" s="506" t="str">
        <f t="shared" si="0"/>
        <v>Con (+1)</v>
      </c>
      <c r="F10" s="204" t="s">
        <v>51</v>
      </c>
      <c r="G10" s="204">
        <f t="shared" si="1"/>
        <v>1</v>
      </c>
      <c r="H10" s="186">
        <f t="shared" ca="1" si="4"/>
        <v>3</v>
      </c>
      <c r="I10" s="204">
        <f t="shared" ca="1" si="3"/>
        <v>4</v>
      </c>
      <c r="J10" s="187"/>
    </row>
    <row r="11" spans="1:10" s="53" customFormat="1" ht="16.8" x14ac:dyDescent="0.3">
      <c r="A11" s="482" t="s">
        <v>255</v>
      </c>
      <c r="B11" s="483">
        <v>0</v>
      </c>
      <c r="C11" s="484" t="s">
        <v>109</v>
      </c>
      <c r="D11" s="485" t="str">
        <f>VLOOKUP(C11,'Personal File'!$A$11:$C$16,3,FALSE)</f>
        <v>+2</v>
      </c>
      <c r="E11" s="486" t="str">
        <f t="shared" si="0"/>
        <v>Int (+2)</v>
      </c>
      <c r="F11" s="487" t="s">
        <v>51</v>
      </c>
      <c r="G11" s="487">
        <f t="shared" si="1"/>
        <v>2</v>
      </c>
      <c r="H11" s="186">
        <f t="shared" ca="1" si="4"/>
        <v>19</v>
      </c>
      <c r="I11" s="487">
        <f t="shared" ca="1" si="3"/>
        <v>21</v>
      </c>
      <c r="J11" s="488"/>
    </row>
    <row r="12" spans="1:10" s="57" customFormat="1" ht="16.8" x14ac:dyDescent="0.3">
      <c r="A12" s="217" t="s">
        <v>31</v>
      </c>
      <c r="B12" s="218">
        <v>0</v>
      </c>
      <c r="C12" s="219" t="s">
        <v>109</v>
      </c>
      <c r="D12" s="220" t="str">
        <f>VLOOKUP(C12,'Personal File'!$A$11:$C$16,3,FALSE)</f>
        <v>+2</v>
      </c>
      <c r="E12" s="221" t="str">
        <f t="shared" si="0"/>
        <v>Int (+2)</v>
      </c>
      <c r="F12" s="222" t="s">
        <v>51</v>
      </c>
      <c r="G12" s="222">
        <f t="shared" si="1"/>
        <v>2</v>
      </c>
      <c r="H12" s="186">
        <f t="shared" ca="1" si="4"/>
        <v>15</v>
      </c>
      <c r="I12" s="222">
        <f t="shared" ref="I12" ca="1" si="5">SUM(G12:H12)</f>
        <v>17</v>
      </c>
      <c r="J12" s="223"/>
    </row>
    <row r="13" spans="1:10" s="54" customFormat="1" ht="16.8" x14ac:dyDescent="0.3">
      <c r="A13" s="224" t="s">
        <v>32</v>
      </c>
      <c r="B13" s="199">
        <v>0</v>
      </c>
      <c r="C13" s="225" t="s">
        <v>108</v>
      </c>
      <c r="D13" s="226">
        <f>VLOOKUP(C13,'Personal File'!$A$11:$C$16,3,FALSE)</f>
        <v>-1</v>
      </c>
      <c r="E13" s="227" t="str">
        <f t="shared" si="0"/>
        <v>Cha (-1)</v>
      </c>
      <c r="F13" s="204" t="s">
        <v>51</v>
      </c>
      <c r="G13" s="204">
        <f t="shared" si="1"/>
        <v>-1</v>
      </c>
      <c r="H13" s="186">
        <f t="shared" ca="1" si="4"/>
        <v>20</v>
      </c>
      <c r="I13" s="204">
        <f t="shared" ca="1" si="3"/>
        <v>19</v>
      </c>
      <c r="J13" s="187"/>
    </row>
    <row r="14" spans="1:10" s="54" customFormat="1" ht="16.8" x14ac:dyDescent="0.3">
      <c r="A14" s="217" t="s">
        <v>33</v>
      </c>
      <c r="B14" s="218">
        <v>0</v>
      </c>
      <c r="C14" s="219" t="s">
        <v>109</v>
      </c>
      <c r="D14" s="220" t="str">
        <f>VLOOKUP(C14,'Personal File'!$A$11:$C$16,3,FALSE)</f>
        <v>+2</v>
      </c>
      <c r="E14" s="221" t="str">
        <f t="shared" si="0"/>
        <v>Int (+2)</v>
      </c>
      <c r="F14" s="222" t="s">
        <v>51</v>
      </c>
      <c r="G14" s="222">
        <f t="shared" si="1"/>
        <v>2</v>
      </c>
      <c r="H14" s="186">
        <f t="shared" ca="1" si="4"/>
        <v>9</v>
      </c>
      <c r="I14" s="222">
        <f t="shared" ref="I14" ca="1" si="6">SUM(G14:H14)</f>
        <v>11</v>
      </c>
      <c r="J14" s="223"/>
    </row>
    <row r="15" spans="1:10" s="54" customFormat="1" ht="16.8" x14ac:dyDescent="0.3">
      <c r="A15" s="224" t="s">
        <v>34</v>
      </c>
      <c r="B15" s="199">
        <v>0</v>
      </c>
      <c r="C15" s="225" t="s">
        <v>108</v>
      </c>
      <c r="D15" s="226">
        <f>VLOOKUP(C15,'Personal File'!$A$11:$C$16,3,FALSE)</f>
        <v>-1</v>
      </c>
      <c r="E15" s="227" t="str">
        <f t="shared" si="0"/>
        <v>Cha (-1)</v>
      </c>
      <c r="F15" s="204" t="s">
        <v>51</v>
      </c>
      <c r="G15" s="204">
        <f t="shared" si="1"/>
        <v>-1</v>
      </c>
      <c r="H15" s="186">
        <f t="shared" ca="1" si="4"/>
        <v>18</v>
      </c>
      <c r="I15" s="204">
        <f t="shared" ca="1" si="3"/>
        <v>17</v>
      </c>
      <c r="J15" s="187"/>
    </row>
    <row r="16" spans="1:10" s="54" customFormat="1" ht="16.8" x14ac:dyDescent="0.3">
      <c r="A16" s="300" t="s">
        <v>35</v>
      </c>
      <c r="B16" s="207">
        <v>5</v>
      </c>
      <c r="C16" s="301" t="s">
        <v>111</v>
      </c>
      <c r="D16" s="302" t="str">
        <f>VLOOKUP(C16,'Personal File'!$A$11:$C$16,3,FALSE)</f>
        <v>+4</v>
      </c>
      <c r="E16" s="303" t="str">
        <f t="shared" si="0"/>
        <v>Dex (+4)</v>
      </c>
      <c r="F16" s="322">
        <f>SUM(Martial!$D$24:$D$29)+2</f>
        <v>2</v>
      </c>
      <c r="G16" s="208">
        <f t="shared" si="1"/>
        <v>11</v>
      </c>
      <c r="H16" s="186">
        <f t="shared" ca="1" si="4"/>
        <v>20</v>
      </c>
      <c r="I16" s="208">
        <f t="shared" ca="1" si="3"/>
        <v>31</v>
      </c>
      <c r="J16" s="209"/>
    </row>
    <row r="17" spans="1:10" s="54" customFormat="1" ht="16.8" x14ac:dyDescent="0.3">
      <c r="A17" s="228" t="s">
        <v>36</v>
      </c>
      <c r="B17" s="229">
        <v>0</v>
      </c>
      <c r="C17" s="230" t="s">
        <v>109</v>
      </c>
      <c r="D17" s="231" t="str">
        <f>VLOOKUP(C17,'Personal File'!$A$11:$C$16,3,FALSE)</f>
        <v>+2</v>
      </c>
      <c r="E17" s="232" t="str">
        <f t="shared" si="0"/>
        <v>Int (+2)</v>
      </c>
      <c r="F17" s="233" t="s">
        <v>51</v>
      </c>
      <c r="G17" s="233">
        <f t="shared" si="1"/>
        <v>2</v>
      </c>
      <c r="H17" s="186">
        <f t="shared" ca="1" si="4"/>
        <v>16</v>
      </c>
      <c r="I17" s="233">
        <f t="shared" ca="1" si="3"/>
        <v>18</v>
      </c>
      <c r="J17" s="234"/>
    </row>
    <row r="18" spans="1:10" s="54" customFormat="1" ht="16.8" x14ac:dyDescent="0.3">
      <c r="A18" s="224" t="s">
        <v>37</v>
      </c>
      <c r="B18" s="199">
        <v>0</v>
      </c>
      <c r="C18" s="225" t="s">
        <v>108</v>
      </c>
      <c r="D18" s="226">
        <f>VLOOKUP(C18,'Personal File'!$A$11:$C$16,3,FALSE)</f>
        <v>-1</v>
      </c>
      <c r="E18" s="227" t="str">
        <f t="shared" si="0"/>
        <v>Cha (-1)</v>
      </c>
      <c r="F18" s="204" t="s">
        <v>51</v>
      </c>
      <c r="G18" s="204">
        <f t="shared" si="1"/>
        <v>-1</v>
      </c>
      <c r="H18" s="186">
        <f t="shared" ca="1" si="4"/>
        <v>14</v>
      </c>
      <c r="I18" s="204">
        <f t="shared" ca="1" si="3"/>
        <v>13</v>
      </c>
      <c r="J18" s="187"/>
    </row>
    <row r="19" spans="1:10" s="54" customFormat="1" ht="16.8" x14ac:dyDescent="0.3">
      <c r="A19" s="224" t="s">
        <v>10</v>
      </c>
      <c r="B19" s="199">
        <v>0</v>
      </c>
      <c r="C19" s="225" t="s">
        <v>108</v>
      </c>
      <c r="D19" s="226">
        <f>VLOOKUP(C19,'Personal File'!$A$11:$C$16,3,FALSE)</f>
        <v>-1</v>
      </c>
      <c r="E19" s="227" t="str">
        <f t="shared" si="0"/>
        <v>Cha (-1)</v>
      </c>
      <c r="F19" s="204" t="s">
        <v>51</v>
      </c>
      <c r="G19" s="204">
        <f t="shared" si="1"/>
        <v>-1</v>
      </c>
      <c r="H19" s="186">
        <f t="shared" ca="1" si="4"/>
        <v>8</v>
      </c>
      <c r="I19" s="204">
        <f t="shared" ca="1" si="3"/>
        <v>7</v>
      </c>
      <c r="J19" s="187"/>
    </row>
    <row r="20" spans="1:10" s="54" customFormat="1" ht="16.8" x14ac:dyDescent="0.3">
      <c r="A20" s="253" t="s">
        <v>38</v>
      </c>
      <c r="B20" s="207">
        <v>6</v>
      </c>
      <c r="C20" s="246" t="s">
        <v>110</v>
      </c>
      <c r="D20" s="247" t="str">
        <f>VLOOKUP(C20,'Personal File'!$A$11:$C$16,3,FALSE)</f>
        <v>+2</v>
      </c>
      <c r="E20" s="248" t="str">
        <f t="shared" si="0"/>
        <v>Wis (+2)</v>
      </c>
      <c r="F20" s="208" t="s">
        <v>157</v>
      </c>
      <c r="G20" s="208">
        <f t="shared" si="1"/>
        <v>10</v>
      </c>
      <c r="H20" s="186">
        <f t="shared" ca="1" si="4"/>
        <v>8</v>
      </c>
      <c r="I20" s="208">
        <f t="shared" ca="1" si="3"/>
        <v>18</v>
      </c>
      <c r="J20" s="209"/>
    </row>
    <row r="21" spans="1:10" s="54" customFormat="1" ht="16.8" x14ac:dyDescent="0.3">
      <c r="A21" s="300" t="s">
        <v>39</v>
      </c>
      <c r="B21" s="207">
        <v>6</v>
      </c>
      <c r="C21" s="301" t="s">
        <v>111</v>
      </c>
      <c r="D21" s="302" t="str">
        <f>VLOOKUP(C21,'Personal File'!$A$11:$C$16,3,FALSE)</f>
        <v>+4</v>
      </c>
      <c r="E21" s="303" t="str">
        <f t="shared" si="0"/>
        <v>Dex (+4)</v>
      </c>
      <c r="F21" s="208">
        <f>SUM(Martial!$D$24:$D$29)</f>
        <v>0</v>
      </c>
      <c r="G21" s="208">
        <f t="shared" si="1"/>
        <v>10</v>
      </c>
      <c r="H21" s="186">
        <f t="shared" ca="1" si="4"/>
        <v>12</v>
      </c>
      <c r="I21" s="208">
        <f t="shared" ca="1" si="3"/>
        <v>22</v>
      </c>
      <c r="J21" s="209"/>
    </row>
    <row r="22" spans="1:10" s="54" customFormat="1" ht="16.8" x14ac:dyDescent="0.3">
      <c r="A22" s="224" t="s">
        <v>40</v>
      </c>
      <c r="B22" s="199">
        <v>0</v>
      </c>
      <c r="C22" s="225" t="s">
        <v>108</v>
      </c>
      <c r="D22" s="226">
        <f>VLOOKUP(C22,'Personal File'!$A$11:$C$16,3,FALSE)</f>
        <v>-1</v>
      </c>
      <c r="E22" s="227" t="str">
        <f t="shared" si="0"/>
        <v>Cha (-1)</v>
      </c>
      <c r="F22" s="204" t="s">
        <v>51</v>
      </c>
      <c r="G22" s="204">
        <f t="shared" si="1"/>
        <v>-1</v>
      </c>
      <c r="H22" s="186">
        <f t="shared" ca="1" si="4"/>
        <v>3</v>
      </c>
      <c r="I22" s="204">
        <f t="shared" ca="1" si="3"/>
        <v>2</v>
      </c>
      <c r="J22" s="187"/>
    </row>
    <row r="23" spans="1:10" s="54" customFormat="1" ht="16.8" x14ac:dyDescent="0.3">
      <c r="A23" s="280" t="s">
        <v>41</v>
      </c>
      <c r="B23" s="207">
        <v>5</v>
      </c>
      <c r="C23" s="205" t="s">
        <v>111</v>
      </c>
      <c r="D23" s="206" t="str">
        <f>VLOOKUP(C23,'Personal File'!$A$11:$C$16,3,FALSE)</f>
        <v>+4</v>
      </c>
      <c r="E23" s="460" t="str">
        <f t="shared" ref="E23" si="7">CONCATENATE(LEFT(C23,3)," (",D23,")")</f>
        <v>Dex (+4)</v>
      </c>
      <c r="F23" s="322">
        <f>SUM(Martial!$D$24:$D$29)+2+8</f>
        <v>10</v>
      </c>
      <c r="G23" s="208">
        <f t="shared" si="1"/>
        <v>19</v>
      </c>
      <c r="H23" s="186">
        <f t="shared" ca="1" si="4"/>
        <v>2</v>
      </c>
      <c r="I23" s="208">
        <f t="shared" ca="1" si="3"/>
        <v>21</v>
      </c>
      <c r="J23" s="209" t="s">
        <v>234</v>
      </c>
    </row>
    <row r="24" spans="1:10" s="54" customFormat="1" ht="16.8" x14ac:dyDescent="0.3">
      <c r="A24" s="235" t="s">
        <v>216</v>
      </c>
      <c r="B24" s="214">
        <v>1</v>
      </c>
      <c r="C24" s="236" t="s">
        <v>109</v>
      </c>
      <c r="D24" s="237" t="str">
        <f>VLOOKUP(C24,'Personal File'!$A$11:$C$16,3,FALSE)</f>
        <v>+2</v>
      </c>
      <c r="E24" s="238" t="str">
        <f t="shared" ref="E24" si="8">CONCATENATE(LEFT(C24,3)," (",D24,")")</f>
        <v>Int (+2)</v>
      </c>
      <c r="F24" s="208" t="s">
        <v>51</v>
      </c>
      <c r="G24" s="215">
        <f t="shared" ref="G24" si="9">B24+D24+F24</f>
        <v>3</v>
      </c>
      <c r="H24" s="186">
        <f t="shared" ca="1" si="4"/>
        <v>4</v>
      </c>
      <c r="I24" s="215">
        <f t="shared" ref="I24" ca="1" si="10">SUM(G24:H24)</f>
        <v>7</v>
      </c>
      <c r="J24" s="216"/>
    </row>
    <row r="25" spans="1:10" s="54" customFormat="1" ht="16.8" x14ac:dyDescent="0.3">
      <c r="A25" s="235" t="s">
        <v>217</v>
      </c>
      <c r="B25" s="214">
        <v>5</v>
      </c>
      <c r="C25" s="236" t="s">
        <v>109</v>
      </c>
      <c r="D25" s="237" t="str">
        <f>VLOOKUP(C25,'Personal File'!$A$11:$C$16,3,FALSE)</f>
        <v>+2</v>
      </c>
      <c r="E25" s="238" t="str">
        <f t="shared" ref="E25" si="11">CONCATENATE(LEFT(C25,3)," (",D25,")")</f>
        <v>Int (+2)</v>
      </c>
      <c r="F25" s="208" t="s">
        <v>51</v>
      </c>
      <c r="G25" s="215">
        <f t="shared" ref="G25" si="12">B25+D25+F25</f>
        <v>7</v>
      </c>
      <c r="H25" s="186">
        <f t="shared" ca="1" si="4"/>
        <v>16</v>
      </c>
      <c r="I25" s="215">
        <f t="shared" ref="I25" ca="1" si="13">SUM(G25:H25)</f>
        <v>23</v>
      </c>
      <c r="J25" s="216"/>
    </row>
    <row r="26" spans="1:10" s="54" customFormat="1" ht="16.8" x14ac:dyDescent="0.3">
      <c r="A26" s="235" t="s">
        <v>214</v>
      </c>
      <c r="B26" s="214">
        <v>5</v>
      </c>
      <c r="C26" s="236" t="s">
        <v>109</v>
      </c>
      <c r="D26" s="237" t="str">
        <f>VLOOKUP(C26,'Personal File'!$A$11:$C$16,3,FALSE)</f>
        <v>+2</v>
      </c>
      <c r="E26" s="238" t="str">
        <f t="shared" ref="E26" si="14">CONCATENATE(LEFT(C26,3)," (",D26,")")</f>
        <v>Int (+2)</v>
      </c>
      <c r="F26" s="208" t="s">
        <v>51</v>
      </c>
      <c r="G26" s="215">
        <f t="shared" ref="G26" si="15">B26+D26+F26</f>
        <v>7</v>
      </c>
      <c r="H26" s="186">
        <f t="shared" ca="1" si="4"/>
        <v>9</v>
      </c>
      <c r="I26" s="215">
        <f t="shared" ref="I26" ca="1" si="16">SUM(G26:H26)</f>
        <v>16</v>
      </c>
      <c r="J26" s="216"/>
    </row>
    <row r="27" spans="1:10" s="54" customFormat="1" ht="16.8" x14ac:dyDescent="0.3">
      <c r="A27" s="253" t="s">
        <v>42</v>
      </c>
      <c r="B27" s="207">
        <v>5</v>
      </c>
      <c r="C27" s="246" t="s">
        <v>110</v>
      </c>
      <c r="D27" s="247" t="str">
        <f>VLOOKUP(C27,'Personal File'!$A$11:$C$16,3,FALSE)</f>
        <v>+2</v>
      </c>
      <c r="E27" s="248" t="str">
        <f t="shared" si="0"/>
        <v>Wis (+2)</v>
      </c>
      <c r="F27" s="208" t="s">
        <v>51</v>
      </c>
      <c r="G27" s="208">
        <f t="shared" si="1"/>
        <v>7</v>
      </c>
      <c r="H27" s="186">
        <f t="shared" ca="1" si="4"/>
        <v>9</v>
      </c>
      <c r="I27" s="208">
        <f t="shared" ca="1" si="3"/>
        <v>16</v>
      </c>
      <c r="J27" s="209" t="s">
        <v>258</v>
      </c>
    </row>
    <row r="28" spans="1:10" s="54" customFormat="1" ht="16.8" x14ac:dyDescent="0.3">
      <c r="A28" s="300" t="s">
        <v>11</v>
      </c>
      <c r="B28" s="207">
        <v>6</v>
      </c>
      <c r="C28" s="301" t="s">
        <v>111</v>
      </c>
      <c r="D28" s="302" t="str">
        <f>VLOOKUP(C28,'Personal File'!$A$11:$C$16,3,FALSE)</f>
        <v>+4</v>
      </c>
      <c r="E28" s="303" t="str">
        <f t="shared" si="0"/>
        <v>Dex (+4)</v>
      </c>
      <c r="F28" s="208">
        <f>SUM(Martial!$D$24:$D$29)</f>
        <v>0</v>
      </c>
      <c r="G28" s="208">
        <f t="shared" si="1"/>
        <v>10</v>
      </c>
      <c r="H28" s="186">
        <f t="shared" ca="1" si="4"/>
        <v>15</v>
      </c>
      <c r="I28" s="208">
        <f t="shared" ca="1" si="3"/>
        <v>25</v>
      </c>
      <c r="J28" s="209"/>
    </row>
    <row r="29" spans="1:10" s="54" customFormat="1" ht="16.8" x14ac:dyDescent="0.3">
      <c r="A29" s="242" t="s">
        <v>43</v>
      </c>
      <c r="B29" s="218">
        <v>0</v>
      </c>
      <c r="C29" s="243" t="s">
        <v>111</v>
      </c>
      <c r="D29" s="244" t="str">
        <f>VLOOKUP(C29,'Personal File'!$A$11:$C$16,3,FALSE)</f>
        <v>+4</v>
      </c>
      <c r="E29" s="245" t="str">
        <f t="shared" si="0"/>
        <v>Dex (+4)</v>
      </c>
      <c r="F29" s="222" t="s">
        <v>51</v>
      </c>
      <c r="G29" s="222">
        <f t="shared" si="1"/>
        <v>4</v>
      </c>
      <c r="H29" s="186">
        <f t="shared" ca="1" si="4"/>
        <v>19</v>
      </c>
      <c r="I29" s="222">
        <f t="shared" ca="1" si="3"/>
        <v>23</v>
      </c>
      <c r="J29" s="223"/>
    </row>
    <row r="30" spans="1:10" ht="16.8" x14ac:dyDescent="0.3">
      <c r="A30" s="224" t="s">
        <v>90</v>
      </c>
      <c r="B30" s="199">
        <v>0</v>
      </c>
      <c r="C30" s="225" t="s">
        <v>108</v>
      </c>
      <c r="D30" s="226">
        <f>VLOOKUP(C30,'Personal File'!$A$11:$C$16,3,FALSE)</f>
        <v>-1</v>
      </c>
      <c r="E30" s="227" t="str">
        <f t="shared" si="0"/>
        <v>Cha (-1)</v>
      </c>
      <c r="F30" s="204" t="s">
        <v>51</v>
      </c>
      <c r="G30" s="204">
        <f t="shared" si="1"/>
        <v>-1</v>
      </c>
      <c r="H30" s="186">
        <f t="shared" ca="1" si="4"/>
        <v>4</v>
      </c>
      <c r="I30" s="204">
        <f t="shared" ca="1" si="3"/>
        <v>3</v>
      </c>
      <c r="J30" s="187"/>
    </row>
    <row r="31" spans="1:10" ht="16.8" x14ac:dyDescent="0.3">
      <c r="A31" s="224" t="s">
        <v>133</v>
      </c>
      <c r="B31" s="199">
        <v>0</v>
      </c>
      <c r="C31" s="239" t="s">
        <v>110</v>
      </c>
      <c r="D31" s="240" t="str">
        <f>VLOOKUP(C31,'Personal File'!$A$11:$C$16,3,FALSE)</f>
        <v>+2</v>
      </c>
      <c r="E31" s="241" t="str">
        <f t="shared" si="0"/>
        <v>Wis (+2)</v>
      </c>
      <c r="F31" s="204" t="s">
        <v>51</v>
      </c>
      <c r="G31" s="204">
        <f t="shared" si="1"/>
        <v>2</v>
      </c>
      <c r="H31" s="186">
        <f t="shared" ca="1" si="4"/>
        <v>6</v>
      </c>
      <c r="I31" s="204">
        <f t="shared" ref="I31" ca="1" si="17">SUM(G31:H31)</f>
        <v>8</v>
      </c>
      <c r="J31" s="187"/>
    </row>
    <row r="32" spans="1:10" ht="16.8" x14ac:dyDescent="0.3">
      <c r="A32" s="300" t="s">
        <v>12</v>
      </c>
      <c r="B32" s="207">
        <v>2</v>
      </c>
      <c r="C32" s="301" t="s">
        <v>111</v>
      </c>
      <c r="D32" s="302" t="str">
        <f>VLOOKUP(C32,'Personal File'!$A$11:$C$16,3,FALSE)</f>
        <v>+4</v>
      </c>
      <c r="E32" s="303" t="str">
        <f t="shared" si="0"/>
        <v>Dex (+4)</v>
      </c>
      <c r="F32" s="208" t="s">
        <v>51</v>
      </c>
      <c r="G32" s="208">
        <f t="shared" si="1"/>
        <v>6</v>
      </c>
      <c r="H32" s="186">
        <f t="shared" ca="1" si="4"/>
        <v>9</v>
      </c>
      <c r="I32" s="208">
        <f t="shared" ca="1" si="3"/>
        <v>15</v>
      </c>
      <c r="J32" s="209"/>
    </row>
    <row r="33" spans="1:10" ht="16.8" x14ac:dyDescent="0.3">
      <c r="A33" s="249" t="s">
        <v>13</v>
      </c>
      <c r="B33" s="207">
        <v>5</v>
      </c>
      <c r="C33" s="250" t="s">
        <v>109</v>
      </c>
      <c r="D33" s="251" t="str">
        <f>VLOOKUP(C33,'Personal File'!$A$11:$C$16,3,FALSE)</f>
        <v>+2</v>
      </c>
      <c r="E33" s="252" t="str">
        <f t="shared" si="0"/>
        <v>Int (+2)</v>
      </c>
      <c r="F33" s="208" t="s">
        <v>51</v>
      </c>
      <c r="G33" s="208">
        <f t="shared" si="1"/>
        <v>7</v>
      </c>
      <c r="H33" s="186">
        <f t="shared" ca="1" si="4"/>
        <v>16</v>
      </c>
      <c r="I33" s="208">
        <f t="shared" ca="1" si="3"/>
        <v>23</v>
      </c>
      <c r="J33" s="209"/>
    </row>
    <row r="34" spans="1:10" ht="16.8" x14ac:dyDescent="0.3">
      <c r="A34" s="253" t="s">
        <v>44</v>
      </c>
      <c r="B34" s="207">
        <v>5</v>
      </c>
      <c r="C34" s="246" t="s">
        <v>110</v>
      </c>
      <c r="D34" s="247" t="str">
        <f>VLOOKUP(C34,'Personal File'!$A$11:$C$16,3,FALSE)</f>
        <v>+2</v>
      </c>
      <c r="E34" s="248" t="str">
        <f t="shared" si="0"/>
        <v>Wis (+2)</v>
      </c>
      <c r="F34" s="208" t="s">
        <v>51</v>
      </c>
      <c r="G34" s="208">
        <f t="shared" si="1"/>
        <v>7</v>
      </c>
      <c r="H34" s="186">
        <f t="shared" ca="1" si="4"/>
        <v>20</v>
      </c>
      <c r="I34" s="208">
        <f t="shared" ca="1" si="3"/>
        <v>27</v>
      </c>
      <c r="J34" s="209" t="s">
        <v>258</v>
      </c>
    </row>
    <row r="35" spans="1:10" ht="16.8" x14ac:dyDescent="0.3">
      <c r="A35" s="242" t="s">
        <v>71</v>
      </c>
      <c r="B35" s="218">
        <v>0</v>
      </c>
      <c r="C35" s="243" t="s">
        <v>111</v>
      </c>
      <c r="D35" s="244" t="str">
        <f>VLOOKUP(C35,'Personal File'!$A$11:$C$16,3,FALSE)</f>
        <v>+4</v>
      </c>
      <c r="E35" s="245" t="str">
        <f t="shared" si="0"/>
        <v>Dex (+4)</v>
      </c>
      <c r="F35" s="222">
        <f>SUM(Martial!$D$24:$D$29)</f>
        <v>0</v>
      </c>
      <c r="G35" s="222">
        <f t="shared" si="1"/>
        <v>4</v>
      </c>
      <c r="H35" s="186">
        <f t="shared" ca="1" si="4"/>
        <v>16</v>
      </c>
      <c r="I35" s="222">
        <f t="shared" ref="I35:I36" ca="1" si="18">SUM(G35:H35)</f>
        <v>20</v>
      </c>
      <c r="J35" s="223"/>
    </row>
    <row r="36" spans="1:10" ht="16.8" x14ac:dyDescent="0.3">
      <c r="A36" s="249" t="s">
        <v>167</v>
      </c>
      <c r="B36" s="207">
        <v>1</v>
      </c>
      <c r="C36" s="250" t="s">
        <v>109</v>
      </c>
      <c r="D36" s="251" t="str">
        <f>VLOOKUP(C36,'Personal File'!$A$11:$C$16,3,FALSE)</f>
        <v>+2</v>
      </c>
      <c r="E36" s="252" t="str">
        <f t="shared" si="0"/>
        <v>Int (+2)</v>
      </c>
      <c r="F36" s="208" t="s">
        <v>51</v>
      </c>
      <c r="G36" s="304">
        <f t="shared" si="1"/>
        <v>3</v>
      </c>
      <c r="H36" s="186">
        <f t="shared" ca="1" si="4"/>
        <v>16</v>
      </c>
      <c r="I36" s="304">
        <f t="shared" ca="1" si="18"/>
        <v>19</v>
      </c>
      <c r="J36" s="209"/>
    </row>
    <row r="37" spans="1:10" ht="16.8" x14ac:dyDescent="0.3">
      <c r="A37" s="249" t="s">
        <v>230</v>
      </c>
      <c r="B37" s="207">
        <v>1</v>
      </c>
      <c r="C37" s="250" t="s">
        <v>109</v>
      </c>
      <c r="D37" s="251" t="str">
        <f>VLOOKUP(C37,'Personal File'!$A$11:$C$16,3,FALSE)</f>
        <v>+2</v>
      </c>
      <c r="E37" s="252" t="str">
        <f t="shared" ref="E37:E39" si="19">CONCATENATE(LEFT(C37,3)," (",D37,")")</f>
        <v>Int (+2)</v>
      </c>
      <c r="F37" s="208" t="s">
        <v>51</v>
      </c>
      <c r="G37" s="304">
        <f t="shared" ref="G37:G39" si="20">B37+D37+F37</f>
        <v>3</v>
      </c>
      <c r="H37" s="186">
        <f t="shared" ca="1" si="4"/>
        <v>7</v>
      </c>
      <c r="I37" s="304">
        <f t="shared" ref="I37:I39" ca="1" si="21">SUM(G37:H37)</f>
        <v>10</v>
      </c>
      <c r="J37" s="209"/>
    </row>
    <row r="38" spans="1:10" ht="16.8" x14ac:dyDescent="0.3">
      <c r="A38" s="249" t="s">
        <v>231</v>
      </c>
      <c r="B38" s="207">
        <v>1</v>
      </c>
      <c r="C38" s="250" t="s">
        <v>109</v>
      </c>
      <c r="D38" s="251" t="str">
        <f>VLOOKUP(C38,'Personal File'!$A$11:$C$16,3,FALSE)</f>
        <v>+2</v>
      </c>
      <c r="E38" s="252" t="str">
        <f t="shared" si="19"/>
        <v>Int (+2)</v>
      </c>
      <c r="F38" s="208" t="s">
        <v>51</v>
      </c>
      <c r="G38" s="304">
        <f t="shared" si="20"/>
        <v>3</v>
      </c>
      <c r="H38" s="186">
        <f t="shared" ca="1" si="4"/>
        <v>17</v>
      </c>
      <c r="I38" s="304">
        <f t="shared" ca="1" si="21"/>
        <v>20</v>
      </c>
      <c r="J38" s="209"/>
    </row>
    <row r="39" spans="1:10" ht="16.8" x14ac:dyDescent="0.3">
      <c r="A39" s="249" t="s">
        <v>232</v>
      </c>
      <c r="B39" s="207">
        <v>1</v>
      </c>
      <c r="C39" s="250" t="s">
        <v>109</v>
      </c>
      <c r="D39" s="251" t="str">
        <f>VLOOKUP(C39,'Personal File'!$A$11:$C$16,3,FALSE)</f>
        <v>+2</v>
      </c>
      <c r="E39" s="252" t="str">
        <f t="shared" si="19"/>
        <v>Int (+2)</v>
      </c>
      <c r="F39" s="208" t="s">
        <v>51</v>
      </c>
      <c r="G39" s="304">
        <f t="shared" si="20"/>
        <v>3</v>
      </c>
      <c r="H39" s="186">
        <f t="shared" ca="1" si="4"/>
        <v>13</v>
      </c>
      <c r="I39" s="304">
        <f t="shared" ca="1" si="21"/>
        <v>16</v>
      </c>
      <c r="J39" s="209"/>
    </row>
    <row r="40" spans="1:10" ht="16.8" x14ac:dyDescent="0.3">
      <c r="A40" s="198" t="s">
        <v>45</v>
      </c>
      <c r="B40" s="199">
        <v>0</v>
      </c>
      <c r="C40" s="200" t="s">
        <v>109</v>
      </c>
      <c r="D40" s="201" t="str">
        <f>VLOOKUP(C40,'Personal File'!$A$11:$C$16,3,FALSE)</f>
        <v>+2</v>
      </c>
      <c r="E40" s="202" t="str">
        <f t="shared" si="0"/>
        <v>Int (+2)</v>
      </c>
      <c r="F40" s="204" t="s">
        <v>51</v>
      </c>
      <c r="G40" s="204">
        <f t="shared" si="1"/>
        <v>2</v>
      </c>
      <c r="H40" s="186">
        <f t="shared" ca="1" si="4"/>
        <v>18</v>
      </c>
      <c r="I40" s="204">
        <f t="shared" ca="1" si="3"/>
        <v>20</v>
      </c>
      <c r="J40" s="187"/>
    </row>
    <row r="41" spans="1:10" ht="16.8" x14ac:dyDescent="0.3">
      <c r="A41" s="253" t="s">
        <v>46</v>
      </c>
      <c r="B41" s="207">
        <v>5</v>
      </c>
      <c r="C41" s="246" t="s">
        <v>110</v>
      </c>
      <c r="D41" s="247" t="str">
        <f>VLOOKUP(C41,'Personal File'!$A$11:$C$16,3,FALSE)</f>
        <v>+2</v>
      </c>
      <c r="E41" s="248" t="str">
        <f t="shared" si="0"/>
        <v>Wis (+2)</v>
      </c>
      <c r="F41" s="208" t="s">
        <v>51</v>
      </c>
      <c r="G41" s="208">
        <f t="shared" si="1"/>
        <v>7</v>
      </c>
      <c r="H41" s="186">
        <f t="shared" ca="1" si="4"/>
        <v>2</v>
      </c>
      <c r="I41" s="208">
        <f t="shared" ca="1" si="3"/>
        <v>9</v>
      </c>
      <c r="J41" s="209" t="s">
        <v>258</v>
      </c>
    </row>
    <row r="42" spans="1:10" ht="16.8" x14ac:dyDescent="0.3">
      <c r="A42" s="253" t="s">
        <v>72</v>
      </c>
      <c r="B42" s="207">
        <v>11</v>
      </c>
      <c r="C42" s="246" t="s">
        <v>110</v>
      </c>
      <c r="D42" s="247" t="str">
        <f>VLOOKUP(C42,'Personal File'!$A$11:$C$16,3,FALSE)</f>
        <v>+2</v>
      </c>
      <c r="E42" s="248" t="str">
        <f t="shared" si="0"/>
        <v>Wis (+2)</v>
      </c>
      <c r="F42" s="208" t="s">
        <v>51</v>
      </c>
      <c r="G42" s="208">
        <f t="shared" si="1"/>
        <v>13</v>
      </c>
      <c r="H42" s="186">
        <f t="shared" ca="1" si="4"/>
        <v>16</v>
      </c>
      <c r="I42" s="208">
        <f t="shared" ca="1" si="3"/>
        <v>29</v>
      </c>
      <c r="J42" s="209" t="s">
        <v>258</v>
      </c>
    </row>
    <row r="43" spans="1:10" ht="16.8" x14ac:dyDescent="0.3">
      <c r="A43" s="210" t="s">
        <v>14</v>
      </c>
      <c r="B43" s="199">
        <v>0</v>
      </c>
      <c r="C43" s="211" t="s">
        <v>112</v>
      </c>
      <c r="D43" s="212">
        <f>VLOOKUP(C43,'Personal File'!$A$11:$C$16,3,FALSE)</f>
        <v>-1</v>
      </c>
      <c r="E43" s="213" t="str">
        <f t="shared" si="0"/>
        <v>Str (-1)</v>
      </c>
      <c r="F43" s="204" t="s">
        <v>51</v>
      </c>
      <c r="G43" s="204">
        <f t="shared" si="1"/>
        <v>-1</v>
      </c>
      <c r="H43" s="186">
        <f t="shared" ca="1" si="4"/>
        <v>2</v>
      </c>
      <c r="I43" s="204">
        <f t="shared" ca="1" si="3"/>
        <v>1</v>
      </c>
      <c r="J43" s="187"/>
    </row>
    <row r="44" spans="1:10" ht="16.8" x14ac:dyDescent="0.3">
      <c r="A44" s="300" t="s">
        <v>47</v>
      </c>
      <c r="B44" s="207">
        <v>8</v>
      </c>
      <c r="C44" s="301" t="s">
        <v>111</v>
      </c>
      <c r="D44" s="302" t="str">
        <f>VLOOKUP(C44,'Personal File'!$A$11:$C$16,3,FALSE)</f>
        <v>+4</v>
      </c>
      <c r="E44" s="303" t="str">
        <f t="shared" si="0"/>
        <v>Dex (+4)</v>
      </c>
      <c r="F44" s="307">
        <f>SUM(Martial!$D$24:$D$29)+2</f>
        <v>2</v>
      </c>
      <c r="G44" s="304">
        <f t="shared" si="1"/>
        <v>14</v>
      </c>
      <c r="H44" s="186">
        <f t="shared" ca="1" si="4"/>
        <v>15</v>
      </c>
      <c r="I44" s="304">
        <f t="shared" ref="I44:I45" ca="1" si="22">SUM(G44:H44)</f>
        <v>29</v>
      </c>
      <c r="J44" s="209"/>
    </row>
    <row r="45" spans="1:10" ht="16.8" x14ac:dyDescent="0.3">
      <c r="A45" s="489" t="s">
        <v>48</v>
      </c>
      <c r="B45" s="490">
        <v>0</v>
      </c>
      <c r="C45" s="491" t="s">
        <v>108</v>
      </c>
      <c r="D45" s="492">
        <f>VLOOKUP(C45,'Personal File'!$A$11:$C$16,3,FALSE)</f>
        <v>-1</v>
      </c>
      <c r="E45" s="493" t="str">
        <f t="shared" si="0"/>
        <v>Cha (-1)</v>
      </c>
      <c r="F45" s="494" t="s">
        <v>51</v>
      </c>
      <c r="G45" s="494">
        <f t="shared" si="1"/>
        <v>-1</v>
      </c>
      <c r="H45" s="186">
        <f t="shared" ca="1" si="4"/>
        <v>1</v>
      </c>
      <c r="I45" s="494">
        <f t="shared" ca="1" si="22"/>
        <v>0</v>
      </c>
      <c r="J45" s="495"/>
    </row>
    <row r="46" spans="1:10" ht="17.399999999999999" thickBot="1" x14ac:dyDescent="0.35">
      <c r="A46" s="496" t="s">
        <v>49</v>
      </c>
      <c r="B46" s="497">
        <v>5</v>
      </c>
      <c r="C46" s="498" t="s">
        <v>111</v>
      </c>
      <c r="D46" s="499" t="str">
        <f>VLOOKUP(C46,'Personal File'!$A$11:$C$16,3,FALSE)</f>
        <v>+4</v>
      </c>
      <c r="E46" s="500" t="str">
        <f t="shared" si="0"/>
        <v>Dex (+4)</v>
      </c>
      <c r="F46" s="501">
        <f>SUM(Martial!$D$24:$D$29)+2</f>
        <v>2</v>
      </c>
      <c r="G46" s="501">
        <f t="shared" si="1"/>
        <v>11</v>
      </c>
      <c r="H46" s="254">
        <f t="shared" ca="1" si="4"/>
        <v>2</v>
      </c>
      <c r="I46" s="501">
        <f t="shared" ca="1" si="3"/>
        <v>13</v>
      </c>
      <c r="J46" s="502"/>
    </row>
    <row r="47" spans="1:10" ht="16.2" thickTop="1" x14ac:dyDescent="0.3">
      <c r="B47" s="169">
        <f>SUM(B6:B46)</f>
        <v>105</v>
      </c>
      <c r="E47" s="169">
        <f>SUM(E48:E56)</f>
        <v>105</v>
      </c>
      <c r="F47" s="255" t="s">
        <v>52</v>
      </c>
    </row>
    <row r="48" spans="1:10" x14ac:dyDescent="0.3">
      <c r="A48" s="169"/>
      <c r="B48" s="169"/>
      <c r="E48" s="167">
        <f>4*(8+'Personal File'!$C$14)</f>
        <v>40</v>
      </c>
      <c r="F48" s="168" t="s">
        <v>224</v>
      </c>
    </row>
    <row r="49" spans="2:6" x14ac:dyDescent="0.3">
      <c r="B49" s="169"/>
      <c r="E49" s="167">
        <f>8+'Personal File'!$C$14</f>
        <v>10</v>
      </c>
      <c r="F49" s="168" t="s">
        <v>224</v>
      </c>
    </row>
    <row r="50" spans="2:6" x14ac:dyDescent="0.3">
      <c r="B50" s="169"/>
      <c r="E50" s="167">
        <f>8+'Personal File'!$C$14</f>
        <v>10</v>
      </c>
      <c r="F50" s="168" t="s">
        <v>224</v>
      </c>
    </row>
    <row r="51" spans="2:6" x14ac:dyDescent="0.3">
      <c r="B51" s="169"/>
      <c r="E51" s="167">
        <f>8+'Personal File'!$C$14</f>
        <v>10</v>
      </c>
      <c r="F51" s="168" t="s">
        <v>224</v>
      </c>
    </row>
    <row r="52" spans="2:6" x14ac:dyDescent="0.3">
      <c r="B52" s="169"/>
      <c r="E52" s="167">
        <f>6+'Personal File'!$C$14</f>
        <v>8</v>
      </c>
      <c r="F52" s="168" t="s">
        <v>225</v>
      </c>
    </row>
    <row r="53" spans="2:6" x14ac:dyDescent="0.3">
      <c r="B53" s="169"/>
      <c r="E53" s="167">
        <f>6+'Personal File'!$C$14</f>
        <v>8</v>
      </c>
      <c r="F53" s="168" t="s">
        <v>225</v>
      </c>
    </row>
    <row r="54" spans="2:6" x14ac:dyDescent="0.3">
      <c r="B54" s="169"/>
      <c r="E54" s="167">
        <f>2+'Personal File'!$C$14</f>
        <v>4</v>
      </c>
      <c r="F54" s="168" t="s">
        <v>226</v>
      </c>
    </row>
    <row r="55" spans="2:6" x14ac:dyDescent="0.3">
      <c r="B55" s="169"/>
      <c r="E55" s="167">
        <f>2+'Personal File'!$C$14</f>
        <v>4</v>
      </c>
      <c r="F55" s="168" t="s">
        <v>226</v>
      </c>
    </row>
    <row r="56" spans="2:6" x14ac:dyDescent="0.3">
      <c r="E56" s="169">
        <f>3+SUM('Personal File'!$E$3:$E$5)</f>
        <v>11</v>
      </c>
      <c r="F56" s="168" t="s">
        <v>89</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7"/>
  <sheetViews>
    <sheetView showGridLines="0" zoomScaleNormal="100" workbookViewId="0">
      <pane ySplit="2" topLeftCell="A3" activePane="bottomLeft" state="frozen"/>
      <selection pane="bottomLeft" activeCell="A3" sqref="A3"/>
    </sheetView>
  </sheetViews>
  <sheetFormatPr defaultColWidth="13" defaultRowHeight="15.6" x14ac:dyDescent="0.3"/>
  <cols>
    <col min="1" max="1" width="19.09765625" style="49" bestFit="1" customWidth="1"/>
    <col min="2" max="2" width="6.19921875" style="49" bestFit="1" customWidth="1"/>
    <col min="3" max="3" width="13.59765625" style="50" bestFit="1" customWidth="1"/>
    <col min="4" max="4" width="12.69921875" style="58" bestFit="1" customWidth="1"/>
    <col min="5" max="5" width="8.09765625" style="50" bestFit="1" customWidth="1"/>
    <col min="6" max="6" width="12.59765625" style="50" bestFit="1" customWidth="1"/>
    <col min="7" max="7" width="9.796875" style="49" bestFit="1" customWidth="1"/>
    <col min="8" max="8" width="17.8984375" style="10" bestFit="1" customWidth="1"/>
    <col min="9" max="9" width="5.5" style="10" bestFit="1" customWidth="1"/>
    <col min="10" max="10" width="13" style="379"/>
    <col min="11" max="16384" width="13" style="10"/>
  </cols>
  <sheetData>
    <row r="1" spans="1:10" ht="23.4" thickBot="1" x14ac:dyDescent="0.35">
      <c r="A1" s="461" t="s">
        <v>125</v>
      </c>
      <c r="B1" s="51"/>
      <c r="C1" s="51"/>
      <c r="D1" s="52"/>
      <c r="E1" s="51"/>
      <c r="F1" s="51"/>
      <c r="G1" s="51"/>
      <c r="H1" s="51"/>
    </row>
    <row r="2" spans="1:10" s="3" customFormat="1" ht="16.8" x14ac:dyDescent="0.3">
      <c r="A2" s="464" t="s">
        <v>60</v>
      </c>
      <c r="B2" s="465" t="s">
        <v>0</v>
      </c>
      <c r="C2" s="466" t="s">
        <v>62</v>
      </c>
      <c r="D2" s="466" t="s">
        <v>75</v>
      </c>
      <c r="E2" s="467" t="s">
        <v>76</v>
      </c>
      <c r="F2" s="467" t="s">
        <v>54</v>
      </c>
      <c r="G2" s="467" t="s">
        <v>17</v>
      </c>
      <c r="H2" s="467" t="s">
        <v>100</v>
      </c>
      <c r="I2" s="468" t="s">
        <v>101</v>
      </c>
      <c r="J2" s="379"/>
    </row>
    <row r="3" spans="1:10" s="3" customFormat="1" ht="16.8" x14ac:dyDescent="0.3">
      <c r="A3" s="462" t="s">
        <v>235</v>
      </c>
      <c r="B3" s="59"/>
      <c r="C3" s="296"/>
      <c r="D3" s="297"/>
      <c r="E3" s="298"/>
      <c r="F3" s="298"/>
      <c r="G3" s="298"/>
      <c r="H3" s="298"/>
      <c r="I3" s="299"/>
      <c r="J3" s="379"/>
    </row>
    <row r="4" spans="1:10" s="3" customFormat="1" ht="16.8" x14ac:dyDescent="0.3">
      <c r="A4" s="462"/>
      <c r="B4" s="59"/>
      <c r="C4" s="5"/>
      <c r="D4" s="1"/>
      <c r="E4" s="130"/>
      <c r="F4" s="4"/>
      <c r="G4" s="4"/>
      <c r="H4" s="4"/>
      <c r="I4" s="60"/>
      <c r="J4" s="379"/>
    </row>
    <row r="5" spans="1:10" ht="16.8" x14ac:dyDescent="0.3">
      <c r="A5" s="462"/>
      <c r="B5" s="59"/>
      <c r="C5" s="5"/>
      <c r="D5" s="1"/>
      <c r="E5" s="130"/>
      <c r="F5" s="4"/>
      <c r="G5" s="4"/>
      <c r="H5" s="4"/>
      <c r="I5" s="131"/>
    </row>
    <row r="6" spans="1:10" ht="17.399999999999999" thickBot="1" x14ac:dyDescent="0.35">
      <c r="A6" s="463"/>
      <c r="B6" s="113"/>
      <c r="C6" s="114"/>
      <c r="D6" s="115"/>
      <c r="E6" s="132"/>
      <c r="F6" s="116"/>
      <c r="G6" s="116"/>
      <c r="H6" s="116"/>
      <c r="I6" s="308"/>
    </row>
    <row r="7" spans="1:10" ht="16.2" thickTop="1" x14ac:dyDescent="0.3"/>
  </sheetData>
  <sortState xmlns:xlrd2="http://schemas.microsoft.com/office/spreadsheetml/2017/richdata2" ref="A3:I6">
    <sortCondition ref="B3:B6"/>
    <sortCondition ref="A3:A6"/>
  </sortState>
  <phoneticPr fontId="0" type="noConversion"/>
  <printOptions gridLinesSet="0"/>
  <pageMargins left="0.62" right="0.33" top="0.5" bottom="0.63" header="0.5" footer="0.5"/>
  <pageSetup orientation="portrait" horizontalDpi="120" verticalDpi="144"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0E13E-0035-4CBA-B140-5AFC44970967}">
  <dimension ref="A1:P26"/>
  <sheetViews>
    <sheetView showGridLines="0" workbookViewId="0"/>
  </sheetViews>
  <sheetFormatPr defaultColWidth="13" defaultRowHeight="16.8" x14ac:dyDescent="0.3"/>
  <cols>
    <col min="1" max="1" width="17.5" style="44" bestFit="1" customWidth="1"/>
    <col min="2" max="2" width="3.59765625" style="44" bestFit="1" customWidth="1"/>
    <col min="3" max="4" width="4.19921875" style="44" customWidth="1"/>
    <col min="5" max="5" width="3.69921875" style="44" bestFit="1" customWidth="1"/>
    <col min="6" max="8" width="3.59765625" style="44" bestFit="1" customWidth="1"/>
    <col min="9" max="10" width="3.59765625" style="44" customWidth="1"/>
    <col min="11" max="11" width="3.59765625" style="44" bestFit="1" customWidth="1"/>
    <col min="12" max="12" width="2.09765625" style="44" customWidth="1"/>
    <col min="13" max="13" width="23.59765625" style="44" bestFit="1" customWidth="1"/>
    <col min="14" max="14" width="6.19921875" style="44" bestFit="1" customWidth="1"/>
    <col min="15" max="15" width="4.09765625" style="44" bestFit="1" customWidth="1"/>
    <col min="16" max="16" width="6.296875" style="44" bestFit="1" customWidth="1"/>
    <col min="17" max="16384" width="13" style="44"/>
  </cols>
  <sheetData>
    <row r="1" spans="1:16" ht="24" thickTop="1" thickBot="1" x14ac:dyDescent="0.35">
      <c r="A1" s="469" t="s">
        <v>236</v>
      </c>
      <c r="B1" s="256"/>
      <c r="C1" s="51"/>
      <c r="D1" s="51"/>
      <c r="E1" s="257"/>
      <c r="F1" s="51"/>
      <c r="G1" s="51"/>
      <c r="H1" s="51"/>
      <c r="I1" s="51"/>
      <c r="J1" s="51"/>
      <c r="K1" s="257"/>
      <c r="M1" s="327" t="s">
        <v>256</v>
      </c>
      <c r="N1" s="328"/>
      <c r="O1" s="328"/>
      <c r="P1" s="329"/>
    </row>
    <row r="2" spans="1:16" ht="17.399999999999999" thickTop="1" x14ac:dyDescent="0.3">
      <c r="A2" s="122"/>
      <c r="B2" s="61" t="s">
        <v>83</v>
      </c>
      <c r="C2" s="258"/>
      <c r="D2" s="258"/>
      <c r="E2" s="258"/>
      <c r="F2" s="258"/>
      <c r="G2" s="258"/>
      <c r="H2" s="258"/>
      <c r="I2" s="258"/>
      <c r="J2" s="258"/>
      <c r="K2" s="259"/>
      <c r="M2" s="507" t="s">
        <v>60</v>
      </c>
      <c r="N2" s="508" t="s">
        <v>0</v>
      </c>
      <c r="O2" s="509" t="s">
        <v>131</v>
      </c>
      <c r="P2" s="510" t="s">
        <v>132</v>
      </c>
    </row>
    <row r="3" spans="1:16" ht="17.399999999999999" thickBot="1" x14ac:dyDescent="0.35">
      <c r="A3" s="122"/>
      <c r="B3" s="260" t="s">
        <v>84</v>
      </c>
      <c r="C3" s="261" t="s">
        <v>77</v>
      </c>
      <c r="D3" s="261" t="s">
        <v>78</v>
      </c>
      <c r="E3" s="261" t="s">
        <v>79</v>
      </c>
      <c r="F3" s="261" t="s">
        <v>80</v>
      </c>
      <c r="G3" s="261" t="s">
        <v>81</v>
      </c>
      <c r="H3" s="261" t="s">
        <v>82</v>
      </c>
      <c r="I3" s="261" t="s">
        <v>85</v>
      </c>
      <c r="J3" s="261" t="s">
        <v>129</v>
      </c>
      <c r="K3" s="262" t="s">
        <v>130</v>
      </c>
      <c r="M3" s="330"/>
      <c r="N3" s="331">
        <v>1</v>
      </c>
      <c r="O3" s="332">
        <f>10+N3+'Personal File'!$C$16</f>
        <v>10</v>
      </c>
      <c r="P3" s="333" t="s">
        <v>190</v>
      </c>
    </row>
    <row r="4" spans="1:16" ht="17.399999999999999" thickTop="1" x14ac:dyDescent="0.3">
      <c r="A4" s="263" t="s">
        <v>128</v>
      </c>
      <c r="B4" s="471">
        <v>0</v>
      </c>
      <c r="C4" s="267">
        <v>0</v>
      </c>
      <c r="D4" s="267">
        <v>0</v>
      </c>
      <c r="E4" s="267">
        <v>0</v>
      </c>
      <c r="F4" s="267">
        <v>0</v>
      </c>
      <c r="G4" s="267">
        <v>0</v>
      </c>
      <c r="H4" s="267">
        <v>0</v>
      </c>
      <c r="I4" s="267">
        <v>0</v>
      </c>
      <c r="J4" s="267">
        <v>0</v>
      </c>
      <c r="K4" s="268">
        <v>0</v>
      </c>
      <c r="M4" s="334"/>
      <c r="N4" s="335">
        <v>1</v>
      </c>
      <c r="O4" s="336">
        <f>10+N4+'Personal File'!$C$16</f>
        <v>10</v>
      </c>
      <c r="P4" s="337" t="s">
        <v>190</v>
      </c>
    </row>
    <row r="5" spans="1:16" ht="17.399999999999999" thickBot="1" x14ac:dyDescent="0.35">
      <c r="A5" s="264" t="s">
        <v>127</v>
      </c>
      <c r="B5" s="472">
        <v>0</v>
      </c>
      <c r="C5" s="269">
        <v>0</v>
      </c>
      <c r="D5" s="269">
        <v>0</v>
      </c>
      <c r="E5" s="269">
        <v>0</v>
      </c>
      <c r="F5" s="269">
        <v>0</v>
      </c>
      <c r="G5" s="269">
        <v>0</v>
      </c>
      <c r="H5" s="269">
        <v>0</v>
      </c>
      <c r="I5" s="269">
        <v>0</v>
      </c>
      <c r="J5" s="269">
        <v>0</v>
      </c>
      <c r="K5" s="270">
        <v>0</v>
      </c>
      <c r="M5" s="338"/>
      <c r="N5" s="339">
        <v>1</v>
      </c>
      <c r="O5" s="340">
        <f>10+N5+'Personal File'!$C$16</f>
        <v>10</v>
      </c>
      <c r="P5" s="341" t="s">
        <v>190</v>
      </c>
    </row>
    <row r="6" spans="1:16" ht="18" thickTop="1" thickBot="1" x14ac:dyDescent="0.35">
      <c r="A6" s="265" t="s">
        <v>193</v>
      </c>
      <c r="B6" s="473">
        <f t="shared" ref="B6:J6" si="0">SUM(B4:B5)</f>
        <v>0</v>
      </c>
      <c r="C6" s="272">
        <f t="shared" si="0"/>
        <v>0</v>
      </c>
      <c r="D6" s="272">
        <f t="shared" si="0"/>
        <v>0</v>
      </c>
      <c r="E6" s="272">
        <f t="shared" si="0"/>
        <v>0</v>
      </c>
      <c r="F6" s="272">
        <f t="shared" si="0"/>
        <v>0</v>
      </c>
      <c r="G6" s="272">
        <f t="shared" si="0"/>
        <v>0</v>
      </c>
      <c r="H6" s="272">
        <f t="shared" si="0"/>
        <v>0</v>
      </c>
      <c r="I6" s="272">
        <f t="shared" si="0"/>
        <v>0</v>
      </c>
      <c r="J6" s="272">
        <f t="shared" si="0"/>
        <v>0</v>
      </c>
      <c r="K6" s="271">
        <f>SUM(K5:K5)</f>
        <v>0</v>
      </c>
    </row>
    <row r="7" spans="1:16" ht="17.399999999999999" thickTop="1" x14ac:dyDescent="0.3">
      <c r="A7" s="275" t="s">
        <v>131</v>
      </c>
      <c r="B7" s="474">
        <f>10+LEFT(B3,1)+'Personal File'!$C$16</f>
        <v>9</v>
      </c>
      <c r="C7" s="474">
        <f>10+LEFT(C3,1)+'Personal File'!$C$16</f>
        <v>10</v>
      </c>
      <c r="D7" s="474">
        <f>10+LEFT(D3,1)+'Personal File'!$C$16</f>
        <v>11</v>
      </c>
      <c r="E7" s="277">
        <f>10+LEFT(E3,1)+'Personal File'!$C$16</f>
        <v>12</v>
      </c>
      <c r="F7" s="277">
        <f>10+LEFT(F3,1)+'Personal File'!$C$16</f>
        <v>13</v>
      </c>
      <c r="G7" s="277">
        <f>10+LEFT(G3,1)+'Personal File'!$C$16</f>
        <v>14</v>
      </c>
      <c r="H7" s="277">
        <f>10+LEFT(H3,1)+'Personal File'!$C$16</f>
        <v>15</v>
      </c>
      <c r="I7" s="277">
        <f>10+LEFT(I3,1)+'Personal File'!$C$16</f>
        <v>16</v>
      </c>
      <c r="J7" s="277">
        <f>10+LEFT(J3,1)+'Personal File'!$C$16</f>
        <v>17</v>
      </c>
      <c r="K7" s="278">
        <f>10+LEFT(K3,1)+'Personal File'!$C$16</f>
        <v>18</v>
      </c>
    </row>
    <row r="8" spans="1:16" ht="17.399999999999999" thickBot="1" x14ac:dyDescent="0.35">
      <c r="A8" s="265" t="s">
        <v>132</v>
      </c>
      <c r="B8" s="470" t="s">
        <v>94</v>
      </c>
      <c r="C8" s="470" t="s">
        <v>94</v>
      </c>
      <c r="D8" s="470" t="s">
        <v>94</v>
      </c>
      <c r="E8" s="279" t="s">
        <v>94</v>
      </c>
      <c r="F8" s="279" t="s">
        <v>94</v>
      </c>
      <c r="G8" s="279" t="s">
        <v>94</v>
      </c>
      <c r="H8" s="279" t="s">
        <v>94</v>
      </c>
      <c r="I8" s="279" t="s">
        <v>94</v>
      </c>
      <c r="J8" s="279" t="s">
        <v>94</v>
      </c>
      <c r="K8" s="276" t="s">
        <v>94</v>
      </c>
    </row>
    <row r="9" spans="1:16" ht="17.399999999999999" thickTop="1" x14ac:dyDescent="0.3"/>
    <row r="10" spans="1:16" x14ac:dyDescent="0.3">
      <c r="A10" s="20"/>
    </row>
    <row r="12" spans="1:16" x14ac:dyDescent="0.3">
      <c r="C12" s="13"/>
      <c r="D12" s="14"/>
    </row>
    <row r="24" spans="1:16" x14ac:dyDescent="0.3">
      <c r="M24" s="266"/>
      <c r="N24" s="266"/>
      <c r="O24" s="266"/>
      <c r="P24" s="266"/>
    </row>
    <row r="25" spans="1:16" s="266" customFormat="1" x14ac:dyDescent="0.3">
      <c r="A25" s="44"/>
      <c r="B25" s="44"/>
      <c r="C25" s="44"/>
      <c r="D25" s="44"/>
      <c r="E25" s="44"/>
      <c r="F25" s="44"/>
      <c r="G25" s="44"/>
      <c r="H25" s="44"/>
      <c r="I25" s="44"/>
      <c r="J25" s="44"/>
      <c r="K25" s="44"/>
      <c r="L25" s="44"/>
      <c r="M25" s="44"/>
      <c r="N25" s="44"/>
      <c r="O25" s="44"/>
      <c r="P25" s="44"/>
    </row>
    <row r="26" spans="1:16" x14ac:dyDescent="0.3">
      <c r="L26" s="266"/>
    </row>
  </sheetData>
  <conditionalFormatting sqref="P3:P5">
    <cfRule type="cellIs" dxfId="0" priority="2" operator="equal">
      <formula>"þ"</formula>
    </cfRule>
  </conditionalFormatting>
  <printOptions gridLinesSet="0"/>
  <pageMargins left="0.62" right="0.33" top="0.5" bottom="0.63" header="0.5" footer="0.5"/>
  <pageSetup orientation="portrait" horizontalDpi="120" verticalDpi="144"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34"/>
  <sheetViews>
    <sheetView showGridLines="0" workbookViewId="0"/>
  </sheetViews>
  <sheetFormatPr defaultColWidth="13" defaultRowHeight="16.8" x14ac:dyDescent="0.3"/>
  <cols>
    <col min="1" max="1" width="37.09765625" style="44" bestFit="1" customWidth="1"/>
    <col min="2" max="2" width="2" style="14" bestFit="1" customWidth="1"/>
    <col min="3" max="3" width="32" style="44" bestFit="1" customWidth="1"/>
    <col min="4" max="16384" width="13" style="44"/>
  </cols>
  <sheetData>
    <row r="1" spans="1:3" ht="24" thickTop="1" thickBot="1" x14ac:dyDescent="0.35">
      <c r="A1" s="63" t="s">
        <v>86</v>
      </c>
      <c r="C1" s="475" t="s">
        <v>241</v>
      </c>
    </row>
    <row r="2" spans="1:3" x14ac:dyDescent="0.3">
      <c r="A2" s="64" t="s">
        <v>239</v>
      </c>
      <c r="C2" s="476" t="s">
        <v>242</v>
      </c>
    </row>
    <row r="3" spans="1:3" x14ac:dyDescent="0.3">
      <c r="A3" s="166" t="s">
        <v>237</v>
      </c>
      <c r="C3" s="476" t="s">
        <v>250</v>
      </c>
    </row>
    <row r="4" spans="1:3" x14ac:dyDescent="0.3">
      <c r="A4" s="65" t="s">
        <v>240</v>
      </c>
      <c r="C4" s="476" t="s">
        <v>249</v>
      </c>
    </row>
    <row r="5" spans="1:3" ht="17.399999999999999" thickBot="1" x14ac:dyDescent="0.35">
      <c r="A5" s="326" t="s">
        <v>243</v>
      </c>
      <c r="C5" s="477" t="s">
        <v>246</v>
      </c>
    </row>
    <row r="6" spans="1:3" ht="18" thickTop="1" thickBot="1" x14ac:dyDescent="0.35">
      <c r="A6" s="165" t="s">
        <v>259</v>
      </c>
    </row>
    <row r="7" spans="1:3" ht="24" thickTop="1" thickBot="1" x14ac:dyDescent="0.35">
      <c r="A7" s="20"/>
      <c r="C7" s="323" t="s">
        <v>244</v>
      </c>
    </row>
    <row r="8" spans="1:3" ht="24" thickTop="1" thickBot="1" x14ac:dyDescent="0.35">
      <c r="A8" s="148" t="s">
        <v>73</v>
      </c>
      <c r="C8" s="324" t="s">
        <v>268</v>
      </c>
    </row>
    <row r="9" spans="1:3" ht="17.399999999999999" thickBot="1" x14ac:dyDescent="0.35">
      <c r="A9" s="67" t="s">
        <v>245</v>
      </c>
      <c r="C9" s="324" t="s">
        <v>247</v>
      </c>
    </row>
    <row r="10" spans="1:3" ht="18" thickTop="1" thickBot="1" x14ac:dyDescent="0.35">
      <c r="A10" s="20"/>
      <c r="C10" s="480"/>
    </row>
    <row r="11" spans="1:3" ht="24" thickTop="1" thickBot="1" x14ac:dyDescent="0.35">
      <c r="A11" s="149" t="s">
        <v>61</v>
      </c>
    </row>
    <row r="12" spans="1:3" ht="24" thickTop="1" thickBot="1" x14ac:dyDescent="0.35">
      <c r="A12" s="66" t="s">
        <v>228</v>
      </c>
      <c r="B12" s="348">
        <v>1</v>
      </c>
      <c r="C12" s="478" t="s">
        <v>248</v>
      </c>
    </row>
    <row r="13" spans="1:3" ht="17.399999999999999" thickBot="1" x14ac:dyDescent="0.35">
      <c r="A13" s="67" t="s">
        <v>229</v>
      </c>
      <c r="B13" s="348">
        <v>2</v>
      </c>
      <c r="C13" s="515" t="s">
        <v>267</v>
      </c>
    </row>
    <row r="14" spans="1:3" ht="18" thickTop="1" thickBot="1" x14ac:dyDescent="0.35">
      <c r="B14" s="348">
        <v>3</v>
      </c>
      <c r="C14" s="516" t="s">
        <v>261</v>
      </c>
    </row>
    <row r="15" spans="1:3" ht="24" thickTop="1" thickBot="1" x14ac:dyDescent="0.35">
      <c r="A15" s="481" t="s">
        <v>251</v>
      </c>
      <c r="B15" s="348">
        <v>4</v>
      </c>
      <c r="C15" s="516" t="s">
        <v>262</v>
      </c>
    </row>
    <row r="16" spans="1:3" x14ac:dyDescent="0.3">
      <c r="A16" s="66" t="s">
        <v>252</v>
      </c>
      <c r="B16" s="348">
        <v>5</v>
      </c>
      <c r="C16" s="516" t="s">
        <v>265</v>
      </c>
    </row>
    <row r="17" spans="1:3" ht="17.399999999999999" thickBot="1" x14ac:dyDescent="0.35">
      <c r="A17" s="67" t="s">
        <v>253</v>
      </c>
      <c r="C17" s="516" t="s">
        <v>263</v>
      </c>
    </row>
    <row r="18" spans="1:3" ht="17.399999999999999" thickTop="1" x14ac:dyDescent="0.3">
      <c r="C18" s="516" t="s">
        <v>266</v>
      </c>
    </row>
    <row r="19" spans="1:3" ht="17.399999999999999" thickBot="1" x14ac:dyDescent="0.35">
      <c r="C19" s="479" t="s">
        <v>264</v>
      </c>
    </row>
    <row r="20" spans="1:3" ht="17.399999999999999" thickTop="1" x14ac:dyDescent="0.3"/>
    <row r="24" spans="1:3" x14ac:dyDescent="0.3">
      <c r="A24" s="266"/>
    </row>
    <row r="25" spans="1:3" s="266" customFormat="1" x14ac:dyDescent="0.3">
      <c r="A25" s="44"/>
      <c r="B25" s="347"/>
      <c r="C25" s="44"/>
    </row>
    <row r="34" spans="3:3" x14ac:dyDescent="0.3">
      <c r="C34" s="266"/>
    </row>
  </sheetData>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46"/>
  <sheetViews>
    <sheetView showGridLines="0" workbookViewId="0"/>
  </sheetViews>
  <sheetFormatPr defaultColWidth="13" defaultRowHeight="15.6" x14ac:dyDescent="0.3"/>
  <cols>
    <col min="1" max="1" width="31.59765625" style="69" bestFit="1" customWidth="1"/>
    <col min="2" max="2" width="9.296875" style="69" bestFit="1" customWidth="1"/>
    <col min="3" max="3" width="4.296875" style="69" bestFit="1" customWidth="1"/>
    <col min="4" max="4" width="6.5" style="69" bestFit="1" customWidth="1"/>
    <col min="5" max="5" width="8.09765625" style="69" bestFit="1" customWidth="1"/>
    <col min="6" max="6" width="9.8984375" style="69" bestFit="1" customWidth="1"/>
    <col min="7" max="7" width="4.3984375" style="69" bestFit="1" customWidth="1"/>
    <col min="8" max="8" width="4.69921875" style="69" bestFit="1" customWidth="1"/>
    <col min="9" max="9" width="5.69921875" style="69" bestFit="1" customWidth="1"/>
    <col min="10" max="10" width="6.296875" style="69" bestFit="1" customWidth="1"/>
    <col min="11" max="11" width="15.296875" style="69" bestFit="1" customWidth="1"/>
    <col min="12" max="12" width="1.3984375" style="10" customWidth="1"/>
    <col min="13" max="13" width="5.796875" style="10" bestFit="1" customWidth="1"/>
    <col min="14" max="16384" width="13" style="10"/>
  </cols>
  <sheetData>
    <row r="1" spans="1:13" ht="23.4" thickBot="1" x14ac:dyDescent="0.35">
      <c r="A1" s="62" t="s">
        <v>15</v>
      </c>
      <c r="B1" s="62"/>
      <c r="C1" s="62"/>
      <c r="D1" s="62"/>
      <c r="E1" s="62"/>
      <c r="F1" s="62"/>
      <c r="G1" s="62"/>
      <c r="H1" s="62"/>
      <c r="I1" s="62"/>
      <c r="J1" s="62"/>
      <c r="K1" s="62"/>
    </row>
    <row r="2" spans="1:13" ht="16.8" thickTop="1" thickBot="1" x14ac:dyDescent="0.35">
      <c r="A2" s="90" t="s">
        <v>1</v>
      </c>
      <c r="B2" s="91" t="s">
        <v>2</v>
      </c>
      <c r="C2" s="91" t="s">
        <v>19</v>
      </c>
      <c r="D2" s="91" t="s">
        <v>20</v>
      </c>
      <c r="E2" s="92" t="s">
        <v>53</v>
      </c>
      <c r="F2" s="91" t="s">
        <v>16</v>
      </c>
      <c r="G2" s="91" t="s">
        <v>21</v>
      </c>
      <c r="H2" s="93" t="s">
        <v>74</v>
      </c>
      <c r="I2" s="94" t="s">
        <v>87</v>
      </c>
      <c r="J2" s="93" t="s">
        <v>68</v>
      </c>
      <c r="K2" s="95" t="s">
        <v>66</v>
      </c>
      <c r="M2" s="442" t="s">
        <v>91</v>
      </c>
    </row>
    <row r="3" spans="1:13" x14ac:dyDescent="0.3">
      <c r="A3" s="284"/>
      <c r="B3" s="306"/>
      <c r="C3" s="306"/>
      <c r="D3" s="306"/>
      <c r="E3" s="286"/>
      <c r="F3" s="285"/>
      <c r="G3" s="287"/>
      <c r="H3" s="285" t="str">
        <f>CONCATENATE("+",'Personal File'!$B$9+'Personal File'!$C$11+D3)</f>
        <v>+8</v>
      </c>
      <c r="I3" s="432">
        <f ca="1">RANDBETWEEN(1,20)</f>
        <v>4</v>
      </c>
      <c r="J3" s="288">
        <f ca="1">I3+H3</f>
        <v>12</v>
      </c>
      <c r="K3" s="289"/>
      <c r="M3" s="441"/>
    </row>
    <row r="4" spans="1:13" x14ac:dyDescent="0.3">
      <c r="A4" s="284"/>
      <c r="B4" s="285"/>
      <c r="C4" s="285"/>
      <c r="D4" s="285"/>
      <c r="E4" s="286"/>
      <c r="F4" s="285"/>
      <c r="G4" s="287"/>
      <c r="H4" s="285" t="str">
        <f>CONCATENATE("+",H3-5)</f>
        <v>+3</v>
      </c>
      <c r="I4" s="432">
        <f ca="1">RANDBETWEEN(1,20)</f>
        <v>4</v>
      </c>
      <c r="J4" s="288">
        <f ca="1">I4+H4</f>
        <v>7</v>
      </c>
      <c r="K4" s="289"/>
      <c r="M4" s="387"/>
    </row>
    <row r="5" spans="1:13" x14ac:dyDescent="0.3">
      <c r="A5" s="409"/>
      <c r="B5" s="410"/>
      <c r="C5" s="429"/>
      <c r="D5" s="429"/>
      <c r="E5" s="430"/>
      <c r="F5" s="430"/>
      <c r="G5" s="430"/>
      <c r="H5" s="430" t="s">
        <v>94</v>
      </c>
      <c r="I5" s="439" t="s">
        <v>94</v>
      </c>
      <c r="J5" s="430" t="s">
        <v>94</v>
      </c>
      <c r="K5" s="440"/>
      <c r="L5" s="431"/>
      <c r="M5" s="428"/>
    </row>
    <row r="6" spans="1:13" x14ac:dyDescent="0.3">
      <c r="A6" s="284"/>
      <c r="B6" s="306"/>
      <c r="C6" s="306"/>
      <c r="D6" s="306"/>
      <c r="E6" s="286"/>
      <c r="F6" s="285"/>
      <c r="G6" s="287"/>
      <c r="H6" s="285" t="str">
        <f>CONCATENATE("+",'Personal File'!$B$9+'Personal File'!$C$11+D6)</f>
        <v>+8</v>
      </c>
      <c r="I6" s="432">
        <f ca="1">RANDBETWEEN(1,20)</f>
        <v>9</v>
      </c>
      <c r="J6" s="288">
        <f ca="1">I6+H6</f>
        <v>17</v>
      </c>
      <c r="K6" s="289"/>
      <c r="M6" s="441"/>
    </row>
    <row r="7" spans="1:13" x14ac:dyDescent="0.3">
      <c r="A7" s="284"/>
      <c r="B7" s="285"/>
      <c r="C7" s="285"/>
      <c r="D7" s="285"/>
      <c r="E7" s="286"/>
      <c r="F7" s="285"/>
      <c r="G7" s="287"/>
      <c r="H7" s="285" t="str">
        <f>CONCATENATE("+",H6-5)</f>
        <v>+3</v>
      </c>
      <c r="I7" s="432">
        <f ca="1">RANDBETWEEN(1,20)</f>
        <v>2</v>
      </c>
      <c r="J7" s="288">
        <f ca="1">I7+H7</f>
        <v>5</v>
      </c>
      <c r="K7" s="289"/>
      <c r="M7" s="387"/>
    </row>
    <row r="8" spans="1:13" x14ac:dyDescent="0.3">
      <c r="A8" s="409"/>
      <c r="B8" s="410"/>
      <c r="C8" s="429"/>
      <c r="D8" s="429"/>
      <c r="E8" s="430"/>
      <c r="F8" s="430"/>
      <c r="G8" s="430"/>
      <c r="H8" s="430" t="s">
        <v>94</v>
      </c>
      <c r="I8" s="439" t="s">
        <v>94</v>
      </c>
      <c r="J8" s="430" t="s">
        <v>94</v>
      </c>
      <c r="K8" s="440"/>
      <c r="L8" s="447"/>
      <c r="M8" s="428"/>
    </row>
    <row r="9" spans="1:13" x14ac:dyDescent="0.3">
      <c r="A9" s="284"/>
      <c r="B9" s="285"/>
      <c r="C9" s="285"/>
      <c r="D9" s="285"/>
      <c r="E9" s="286"/>
      <c r="F9" s="285"/>
      <c r="G9" s="287"/>
      <c r="H9" s="285" t="str">
        <f>CONCATENATE("+",'Personal File'!$B$9+'Personal File'!$C$11+D9)</f>
        <v>+8</v>
      </c>
      <c r="I9" s="432">
        <f t="shared" ref="I9:I13" ca="1" si="0">RANDBETWEEN(1,20)</f>
        <v>14</v>
      </c>
      <c r="J9" s="288">
        <f t="shared" ref="J9:J13" ca="1" si="1">I9+H9</f>
        <v>22</v>
      </c>
      <c r="K9" s="289"/>
      <c r="M9" s="387"/>
    </row>
    <row r="10" spans="1:13" x14ac:dyDescent="0.3">
      <c r="A10" s="388"/>
      <c r="B10" s="390"/>
      <c r="C10" s="390"/>
      <c r="D10" s="390"/>
      <c r="E10" s="389"/>
      <c r="F10" s="390"/>
      <c r="G10" s="391"/>
      <c r="H10" s="390" t="str">
        <f>CONCATENATE("+",H9-5)</f>
        <v>+3</v>
      </c>
      <c r="I10" s="433">
        <f t="shared" ca="1" si="0"/>
        <v>14</v>
      </c>
      <c r="J10" s="392">
        <f t="shared" ca="1" si="1"/>
        <v>17</v>
      </c>
      <c r="K10" s="393"/>
      <c r="M10" s="394"/>
    </row>
    <row r="11" spans="1:13" x14ac:dyDescent="0.3">
      <c r="A11" s="395"/>
      <c r="B11" s="306"/>
      <c r="C11" s="396"/>
      <c r="D11" s="396"/>
      <c r="E11" s="397"/>
      <c r="F11" s="318"/>
      <c r="G11" s="398"/>
      <c r="H11" s="376" t="str">
        <f>CONCATENATE("+",'Personal File'!$B$9+'Personal File'!$C$11+D11)</f>
        <v>+8</v>
      </c>
      <c r="I11" s="432">
        <f t="shared" ca="1" si="0"/>
        <v>13</v>
      </c>
      <c r="J11" s="399">
        <f t="shared" ca="1" si="1"/>
        <v>21</v>
      </c>
      <c r="K11" s="400"/>
      <c r="M11" s="401" t="s">
        <v>94</v>
      </c>
    </row>
    <row r="12" spans="1:13" x14ac:dyDescent="0.3">
      <c r="A12" s="409"/>
      <c r="B12" s="410"/>
      <c r="C12" s="411"/>
      <c r="D12" s="411"/>
      <c r="E12" s="412"/>
      <c r="F12" s="413"/>
      <c r="G12" s="414"/>
      <c r="H12" s="415" t="str">
        <f>CONCATENATE("+",H11-5)</f>
        <v>+3</v>
      </c>
      <c r="I12" s="434">
        <f t="shared" ca="1" si="0"/>
        <v>18</v>
      </c>
      <c r="J12" s="416">
        <f t="shared" ca="1" si="1"/>
        <v>21</v>
      </c>
      <c r="K12" s="417"/>
      <c r="M12" s="418" t="s">
        <v>94</v>
      </c>
    </row>
    <row r="13" spans="1:13" ht="16.2" thickBot="1" x14ac:dyDescent="0.35">
      <c r="A13" s="402" t="s">
        <v>200</v>
      </c>
      <c r="B13" s="403" t="s">
        <v>94</v>
      </c>
      <c r="C13" s="403" t="s">
        <v>94</v>
      </c>
      <c r="D13" s="403">
        <v>0</v>
      </c>
      <c r="E13" s="404" t="s">
        <v>94</v>
      </c>
      <c r="F13" s="403" t="s">
        <v>94</v>
      </c>
      <c r="G13" s="405" t="s">
        <v>94</v>
      </c>
      <c r="H13" s="403" t="str">
        <f>CONCATENATE("+",'Personal File'!$B$9+'Personal File'!$C$12+D13)</f>
        <v>+13</v>
      </c>
      <c r="I13" s="435">
        <f t="shared" ca="1" si="0"/>
        <v>9</v>
      </c>
      <c r="J13" s="406">
        <f t="shared" ca="1" si="1"/>
        <v>22</v>
      </c>
      <c r="K13" s="407"/>
      <c r="M13" s="408" t="s">
        <v>94</v>
      </c>
    </row>
    <row r="14" spans="1:13" ht="6" customHeight="1" thickTop="1" thickBot="1" x14ac:dyDescent="0.35"/>
    <row r="15" spans="1:13" ht="16.8" thickTop="1" thickBot="1" x14ac:dyDescent="0.35">
      <c r="A15" s="90" t="s">
        <v>4</v>
      </c>
      <c r="B15" s="91" t="s">
        <v>5</v>
      </c>
      <c r="C15" s="91" t="s">
        <v>19</v>
      </c>
      <c r="D15" s="91" t="s">
        <v>20</v>
      </c>
      <c r="E15" s="92" t="s">
        <v>53</v>
      </c>
      <c r="F15" s="91" t="s">
        <v>6</v>
      </c>
      <c r="G15" s="91" t="s">
        <v>21</v>
      </c>
      <c r="H15" s="93" t="s">
        <v>74</v>
      </c>
      <c r="I15" s="436" t="s">
        <v>87</v>
      </c>
      <c r="J15" s="93" t="s">
        <v>68</v>
      </c>
      <c r="K15" s="95" t="s">
        <v>66</v>
      </c>
      <c r="L15" s="122"/>
      <c r="M15" s="107" t="s">
        <v>91</v>
      </c>
    </row>
    <row r="16" spans="1:13" x14ac:dyDescent="0.3">
      <c r="A16" s="133" t="s">
        <v>102</v>
      </c>
      <c r="B16" s="134" t="s">
        <v>94</v>
      </c>
      <c r="C16" s="134" t="s">
        <v>94</v>
      </c>
      <c r="D16" s="134">
        <v>0</v>
      </c>
      <c r="E16" s="135" t="s">
        <v>94</v>
      </c>
      <c r="F16" s="134" t="s">
        <v>94</v>
      </c>
      <c r="G16" s="134" t="s">
        <v>94</v>
      </c>
      <c r="H16" s="134" t="str">
        <f>CONCATENATE("+",Spellcasting!$D$10+D16)</f>
        <v>+0</v>
      </c>
      <c r="I16" s="437">
        <f t="shared" ref="I16:I21" ca="1" si="2">RANDBETWEEN(1,20)</f>
        <v>20</v>
      </c>
      <c r="J16" s="138">
        <f t="shared" ref="J16:J21" ca="1" si="3">I16+H16</f>
        <v>20</v>
      </c>
      <c r="K16" s="136"/>
      <c r="L16" s="122"/>
      <c r="M16" s="137" t="s">
        <v>94</v>
      </c>
    </row>
    <row r="17" spans="1:13" x14ac:dyDescent="0.3">
      <c r="A17" s="139" t="s">
        <v>269</v>
      </c>
      <c r="B17" s="109"/>
      <c r="C17" s="517">
        <f>ROUNDDOWN(0.5*'Personal File'!C12,0)</f>
        <v>2</v>
      </c>
      <c r="D17" s="140"/>
      <c r="E17" s="109"/>
      <c r="F17" s="140"/>
      <c r="G17" s="141"/>
      <c r="H17" s="110" t="str">
        <f>CONCATENATE("+",'Personal File'!$B$9+'Personal File'!$C$12+D17)</f>
        <v>+13</v>
      </c>
      <c r="I17" s="437">
        <f t="shared" ca="1" si="2"/>
        <v>15</v>
      </c>
      <c r="J17" s="112">
        <f t="shared" ca="1" si="3"/>
        <v>28</v>
      </c>
      <c r="K17" s="514" t="s">
        <v>260</v>
      </c>
      <c r="L17" s="122"/>
      <c r="M17" s="123"/>
    </row>
    <row r="18" spans="1:13" x14ac:dyDescent="0.3">
      <c r="A18" s="139"/>
      <c r="B18" s="419"/>
      <c r="C18" s="140"/>
      <c r="D18" s="140"/>
      <c r="E18" s="109"/>
      <c r="F18" s="140"/>
      <c r="G18" s="141"/>
      <c r="H18" s="110" t="str">
        <f>CONCATENATE("+",'Personal File'!$B$9+'Personal File'!$C$12+D18)</f>
        <v>+13</v>
      </c>
      <c r="I18" s="437">
        <f t="shared" ca="1" si="2"/>
        <v>4</v>
      </c>
      <c r="J18" s="112">
        <f t="shared" ca="1" si="3"/>
        <v>17</v>
      </c>
      <c r="K18" s="514" t="s">
        <v>260</v>
      </c>
      <c r="L18" s="122"/>
      <c r="M18" s="123"/>
    </row>
    <row r="19" spans="1:13" x14ac:dyDescent="0.3">
      <c r="A19" s="139"/>
      <c r="B19" s="309"/>
      <c r="C19" s="140"/>
      <c r="D19" s="140"/>
      <c r="E19" s="109"/>
      <c r="F19" s="140"/>
      <c r="G19" s="141"/>
      <c r="H19" s="110" t="str">
        <f>CONCATENATE("+",'Personal File'!$B$9+'Personal File'!$C$12+D19)</f>
        <v>+13</v>
      </c>
      <c r="I19" s="437">
        <f t="shared" ca="1" si="2"/>
        <v>20</v>
      </c>
      <c r="J19" s="112">
        <f t="shared" ca="1" si="3"/>
        <v>33</v>
      </c>
      <c r="K19" s="514" t="s">
        <v>260</v>
      </c>
      <c r="L19" s="122"/>
      <c r="M19" s="123"/>
    </row>
    <row r="20" spans="1:13" x14ac:dyDescent="0.3">
      <c r="A20" s="457"/>
      <c r="B20" s="458"/>
      <c r="C20" s="140"/>
      <c r="D20" s="140"/>
      <c r="E20" s="458"/>
      <c r="F20" s="140"/>
      <c r="G20" s="459"/>
      <c r="H20" s="110" t="str">
        <f>CONCATENATE("+",'Personal File'!$B$9+'Personal File'!$C$12+D20-5)</f>
        <v>+8</v>
      </c>
      <c r="I20" s="437">
        <f t="shared" ca="1" si="2"/>
        <v>16</v>
      </c>
      <c r="J20" s="112">
        <f t="shared" ref="J20" ca="1" si="4">I20+H20</f>
        <v>24</v>
      </c>
      <c r="K20" s="514" t="s">
        <v>260</v>
      </c>
      <c r="L20" s="122"/>
      <c r="M20" s="124"/>
    </row>
    <row r="21" spans="1:13" ht="16.2" thickBot="1" x14ac:dyDescent="0.35">
      <c r="A21" s="290" t="s">
        <v>103</v>
      </c>
      <c r="B21" s="142" t="s">
        <v>94</v>
      </c>
      <c r="C21" s="142" t="s">
        <v>94</v>
      </c>
      <c r="D21" s="142">
        <v>0</v>
      </c>
      <c r="E21" s="143" t="s">
        <v>94</v>
      </c>
      <c r="F21" s="142" t="s">
        <v>94</v>
      </c>
      <c r="G21" s="142" t="s">
        <v>94</v>
      </c>
      <c r="H21" s="142" t="str">
        <f>CONCATENATE("+",'Personal File'!$B$9+'Personal File'!$C$12+D21)</f>
        <v>+13</v>
      </c>
      <c r="I21" s="438">
        <f t="shared" ca="1" si="2"/>
        <v>4</v>
      </c>
      <c r="J21" s="144">
        <f t="shared" ca="1" si="3"/>
        <v>17</v>
      </c>
      <c r="K21" s="291"/>
      <c r="L21" s="122"/>
      <c r="M21" s="292" t="s">
        <v>94</v>
      </c>
    </row>
    <row r="22" spans="1:13" ht="6" customHeight="1" thickTop="1" thickBot="1" x14ac:dyDescent="0.35">
      <c r="D22" s="96"/>
      <c r="E22" s="96"/>
      <c r="G22" s="89"/>
      <c r="H22" s="89"/>
      <c r="I22" s="89"/>
      <c r="J22" s="89"/>
      <c r="L22" s="122"/>
    </row>
    <row r="23" spans="1:13" ht="16.8" thickTop="1" thickBot="1" x14ac:dyDescent="0.35">
      <c r="A23" s="90" t="s">
        <v>58</v>
      </c>
      <c r="B23" s="91" t="s">
        <v>9</v>
      </c>
      <c r="C23" s="91" t="s">
        <v>24</v>
      </c>
      <c r="D23" s="91" t="s">
        <v>68</v>
      </c>
      <c r="E23" s="91" t="s">
        <v>69</v>
      </c>
      <c r="F23" s="91" t="s">
        <v>70</v>
      </c>
      <c r="G23" s="91" t="s">
        <v>21</v>
      </c>
      <c r="H23" s="97" t="s">
        <v>66</v>
      </c>
      <c r="I23" s="98"/>
      <c r="J23" s="98"/>
      <c r="K23" s="99"/>
      <c r="L23" s="122"/>
      <c r="M23" s="107" t="s">
        <v>91</v>
      </c>
    </row>
    <row r="24" spans="1:13" x14ac:dyDescent="0.3">
      <c r="A24" s="74"/>
      <c r="B24" s="349"/>
      <c r="C24" s="350"/>
      <c r="D24" s="349"/>
      <c r="E24" s="423"/>
      <c r="F24" s="350"/>
      <c r="G24" s="351"/>
      <c r="H24" s="352"/>
      <c r="I24" s="353"/>
      <c r="J24" s="353"/>
      <c r="K24" s="354"/>
      <c r="L24" s="122"/>
      <c r="M24" s="123"/>
    </row>
    <row r="25" spans="1:13" x14ac:dyDescent="0.3">
      <c r="A25" s="284"/>
      <c r="B25" s="306"/>
      <c r="C25" s="375"/>
      <c r="D25" s="306"/>
      <c r="E25" s="380"/>
      <c r="F25" s="111"/>
      <c r="G25" s="376"/>
      <c r="H25" s="453"/>
      <c r="I25" s="377"/>
      <c r="J25" s="377"/>
      <c r="K25" s="378"/>
      <c r="L25" s="122"/>
      <c r="M25" s="124"/>
    </row>
    <row r="26" spans="1:13" x14ac:dyDescent="0.3">
      <c r="A26" s="355"/>
      <c r="B26" s="356"/>
      <c r="C26" s="356"/>
      <c r="D26" s="111"/>
      <c r="E26" s="380"/>
      <c r="F26" s="111"/>
      <c r="G26" s="110"/>
      <c r="H26" s="357"/>
      <c r="I26" s="358"/>
      <c r="J26" s="358"/>
      <c r="K26" s="157"/>
      <c r="L26" s="122"/>
      <c r="M26" s="123"/>
    </row>
    <row r="27" spans="1:13" x14ac:dyDescent="0.3">
      <c r="A27" s="355"/>
      <c r="B27" s="356"/>
      <c r="C27" s="356"/>
      <c r="D27" s="111"/>
      <c r="E27" s="380"/>
      <c r="F27" s="111"/>
      <c r="G27" s="110"/>
      <c r="H27" s="357"/>
      <c r="I27" s="358"/>
      <c r="J27" s="358"/>
      <c r="K27" s="157"/>
      <c r="L27" s="122"/>
      <c r="M27" s="123"/>
    </row>
    <row r="28" spans="1:13" x14ac:dyDescent="0.3">
      <c r="A28" s="421"/>
      <c r="B28" s="356"/>
      <c r="C28" s="422"/>
      <c r="D28" s="346"/>
      <c r="E28" s="423"/>
      <c r="F28" s="346"/>
      <c r="G28" s="424"/>
      <c r="H28" s="425"/>
      <c r="I28" s="426"/>
      <c r="J28" s="426"/>
      <c r="K28" s="146"/>
      <c r="L28" s="122"/>
      <c r="M28" s="124"/>
    </row>
    <row r="29" spans="1:13" ht="16.2" thickBot="1" x14ac:dyDescent="0.35">
      <c r="A29" s="79"/>
      <c r="B29" s="105"/>
      <c r="C29" s="145"/>
      <c r="D29" s="105"/>
      <c r="E29" s="511"/>
      <c r="F29" s="145"/>
      <c r="G29" s="106"/>
      <c r="H29" s="420"/>
      <c r="I29" s="100"/>
      <c r="J29" s="100"/>
      <c r="K29" s="147"/>
      <c r="M29" s="125"/>
    </row>
    <row r="30" spans="1:13" ht="6.75" customHeight="1" thickTop="1" thickBot="1" x14ac:dyDescent="0.35"/>
    <row r="31" spans="1:13" ht="16.8" thickTop="1" thickBot="1" x14ac:dyDescent="0.35">
      <c r="D31" s="101" t="s">
        <v>59</v>
      </c>
      <c r="E31" s="102"/>
      <c r="F31" s="97" t="s">
        <v>3</v>
      </c>
      <c r="G31" s="91" t="s">
        <v>21</v>
      </c>
      <c r="H31" s="93" t="s">
        <v>74</v>
      </c>
      <c r="I31" s="97" t="s">
        <v>66</v>
      </c>
      <c r="J31" s="98"/>
      <c r="K31" s="99"/>
      <c r="M31" s="107" t="s">
        <v>91</v>
      </c>
    </row>
    <row r="32" spans="1:13" x14ac:dyDescent="0.3">
      <c r="D32" s="367"/>
      <c r="E32" s="368"/>
      <c r="F32" s="369"/>
      <c r="G32" s="370"/>
      <c r="H32" s="370"/>
      <c r="I32" s="371"/>
      <c r="J32" s="372"/>
      <c r="K32" s="373"/>
      <c r="M32" s="374"/>
    </row>
    <row r="33" spans="4:13" ht="16.2" thickBot="1" x14ac:dyDescent="0.35">
      <c r="D33" s="359"/>
      <c r="E33" s="360"/>
      <c r="F33" s="361"/>
      <c r="G33" s="362"/>
      <c r="H33" s="363"/>
      <c r="I33" s="364"/>
      <c r="J33" s="103"/>
      <c r="K33" s="365"/>
      <c r="M33" s="366"/>
    </row>
    <row r="34" spans="4:13" ht="16.8" thickTop="1" thickBot="1" x14ac:dyDescent="0.35"/>
    <row r="35" spans="4:13" ht="16.8" thickTop="1" thickBot="1" x14ac:dyDescent="0.35">
      <c r="D35" s="101" t="s">
        <v>105</v>
      </c>
      <c r="E35" s="98"/>
      <c r="F35" s="98"/>
      <c r="G35" s="98"/>
      <c r="H35" s="150" t="s">
        <v>3</v>
      </c>
      <c r="I35" s="150" t="s">
        <v>0</v>
      </c>
      <c r="J35" s="150" t="s">
        <v>106</v>
      </c>
      <c r="K35" s="99" t="s">
        <v>66</v>
      </c>
      <c r="L35" s="122"/>
      <c r="M35" s="151" t="s">
        <v>91</v>
      </c>
    </row>
    <row r="36" spans="4:13" x14ac:dyDescent="0.3">
      <c r="D36" s="153"/>
      <c r="E36" s="154"/>
      <c r="F36" s="154"/>
      <c r="G36" s="155"/>
      <c r="H36" s="156"/>
      <c r="I36" s="111"/>
      <c r="J36" s="111"/>
      <c r="K36" s="157"/>
      <c r="L36" s="122"/>
      <c r="M36" s="152"/>
    </row>
    <row r="37" spans="4:13" x14ac:dyDescent="0.3">
      <c r="D37" s="342"/>
      <c r="E37" s="343"/>
      <c r="F37" s="343"/>
      <c r="G37" s="344"/>
      <c r="H37" s="345"/>
      <c r="I37" s="346"/>
      <c r="J37" s="346"/>
      <c r="K37" s="146"/>
      <c r="L37" s="122"/>
      <c r="M37" s="152"/>
    </row>
    <row r="38" spans="4:13" x14ac:dyDescent="0.3">
      <c r="D38" s="342"/>
      <c r="E38" s="343"/>
      <c r="F38" s="343"/>
      <c r="G38" s="344"/>
      <c r="H38" s="345"/>
      <c r="I38" s="346"/>
      <c r="J38" s="346"/>
      <c r="K38" s="146"/>
      <c r="L38" s="122"/>
      <c r="M38" s="152"/>
    </row>
    <row r="39" spans="4:13" x14ac:dyDescent="0.3">
      <c r="D39" s="342"/>
      <c r="E39" s="343"/>
      <c r="F39" s="343"/>
      <c r="G39" s="344"/>
      <c r="H39" s="345"/>
      <c r="I39" s="346"/>
      <c r="J39" s="346"/>
      <c r="K39" s="146"/>
      <c r="L39" s="122"/>
      <c r="M39" s="152"/>
    </row>
    <row r="40" spans="4:13" x14ac:dyDescent="0.3">
      <c r="D40" s="342"/>
      <c r="E40" s="343"/>
      <c r="F40" s="343"/>
      <c r="G40" s="344"/>
      <c r="H40" s="345"/>
      <c r="I40" s="346"/>
      <c r="J40" s="346"/>
      <c r="K40" s="146"/>
      <c r="L40" s="122"/>
      <c r="M40" s="152"/>
    </row>
    <row r="41" spans="4:13" x14ac:dyDescent="0.3">
      <c r="D41" s="342"/>
      <c r="E41" s="343"/>
      <c r="F41" s="343"/>
      <c r="G41" s="344"/>
      <c r="H41" s="345"/>
      <c r="I41" s="346"/>
      <c r="J41" s="346"/>
      <c r="K41" s="146"/>
      <c r="L41" s="122"/>
      <c r="M41" s="152"/>
    </row>
    <row r="42" spans="4:13" x14ac:dyDescent="0.3">
      <c r="D42" s="342"/>
      <c r="E42" s="343"/>
      <c r="F42" s="343"/>
      <c r="G42" s="344"/>
      <c r="H42" s="345"/>
      <c r="I42" s="346"/>
      <c r="J42" s="346"/>
      <c r="K42" s="146"/>
      <c r="L42" s="122"/>
      <c r="M42" s="152"/>
    </row>
    <row r="43" spans="4:13" x14ac:dyDescent="0.3">
      <c r="D43" s="342"/>
      <c r="E43" s="343"/>
      <c r="F43" s="343"/>
      <c r="G43" s="344"/>
      <c r="H43" s="345"/>
      <c r="I43" s="346"/>
      <c r="J43" s="346"/>
      <c r="K43" s="146"/>
      <c r="L43" s="122"/>
      <c r="M43" s="152"/>
    </row>
    <row r="44" spans="4:13" x14ac:dyDescent="0.3">
      <c r="D44" s="342"/>
      <c r="E44" s="343"/>
      <c r="F44" s="343"/>
      <c r="G44" s="344"/>
      <c r="H44" s="345"/>
      <c r="I44" s="346"/>
      <c r="J44" s="346"/>
      <c r="K44" s="146"/>
      <c r="L44" s="122"/>
      <c r="M44" s="152"/>
    </row>
    <row r="45" spans="4:13" ht="16.2" thickBot="1" x14ac:dyDescent="0.35">
      <c r="D45" s="158"/>
      <c r="E45" s="159"/>
      <c r="F45" s="159"/>
      <c r="G45" s="160"/>
      <c r="H45" s="161"/>
      <c r="I45" s="162"/>
      <c r="J45" s="162"/>
      <c r="K45" s="163"/>
      <c r="L45" s="122"/>
      <c r="M45" s="164"/>
    </row>
    <row r="46" spans="4:13" ht="16.2" thickTop="1" x14ac:dyDescent="0.3"/>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71"/>
  <sheetViews>
    <sheetView showGridLines="0" workbookViewId="0"/>
  </sheetViews>
  <sheetFormatPr defaultColWidth="7.8984375" defaultRowHeight="15.6" x14ac:dyDescent="0.3"/>
  <cols>
    <col min="1" max="1" width="28.796875" style="69" bestFit="1" customWidth="1"/>
    <col min="2" max="2" width="5.69921875" style="69" bestFit="1" customWidth="1"/>
    <col min="3" max="3" width="5.3984375" style="89" bestFit="1" customWidth="1"/>
    <col min="4" max="5" width="23.09765625" style="10" customWidth="1"/>
    <col min="6" max="6" width="1.19921875" style="69" customWidth="1"/>
    <col min="7" max="7" width="8.296875" style="10" bestFit="1" customWidth="1"/>
    <col min="8" max="16384" width="7.8984375" style="10"/>
  </cols>
  <sheetData>
    <row r="1" spans="1:8" ht="23.4" thickBot="1" x14ac:dyDescent="0.35">
      <c r="A1" s="62" t="s">
        <v>63</v>
      </c>
      <c r="B1" s="62"/>
      <c r="C1" s="68"/>
      <c r="D1" s="62"/>
      <c r="E1" s="62"/>
    </row>
    <row r="2" spans="1:8" s="69" customFormat="1" ht="16.8" thickTop="1" thickBot="1" x14ac:dyDescent="0.35">
      <c r="A2" s="70" t="s">
        <v>64</v>
      </c>
      <c r="B2" s="70" t="s">
        <v>3</v>
      </c>
      <c r="C2" s="71" t="s">
        <v>21</v>
      </c>
      <c r="D2" s="72" t="s">
        <v>65</v>
      </c>
      <c r="E2" s="73" t="s">
        <v>66</v>
      </c>
      <c r="G2" s="108" t="s">
        <v>91</v>
      </c>
    </row>
    <row r="3" spans="1:8" x14ac:dyDescent="0.3">
      <c r="A3" s="443" t="s">
        <v>215</v>
      </c>
      <c r="B3" s="310">
        <v>1</v>
      </c>
      <c r="C3" s="76">
        <v>1</v>
      </c>
      <c r="D3" s="444"/>
      <c r="E3" s="445"/>
      <c r="F3"/>
      <c r="G3" s="117">
        <v>1000</v>
      </c>
    </row>
    <row r="4" spans="1:8" x14ac:dyDescent="0.3">
      <c r="A4" s="75" t="s">
        <v>201</v>
      </c>
      <c r="B4" s="310">
        <v>1</v>
      </c>
      <c r="C4" s="76">
        <v>1</v>
      </c>
      <c r="D4" s="77"/>
      <c r="E4" s="78"/>
      <c r="G4" s="173">
        <v>750</v>
      </c>
      <c r="H4" s="122" t="s">
        <v>233</v>
      </c>
    </row>
    <row r="5" spans="1:8" x14ac:dyDescent="0.3">
      <c r="A5" s="75" t="s">
        <v>191</v>
      </c>
      <c r="B5" s="310">
        <v>1</v>
      </c>
      <c r="C5" s="76">
        <v>0</v>
      </c>
      <c r="D5" s="77"/>
      <c r="E5" s="78"/>
      <c r="G5" s="173">
        <v>1400</v>
      </c>
    </row>
    <row r="6" spans="1:8" x14ac:dyDescent="0.3">
      <c r="A6" s="170" t="s">
        <v>210</v>
      </c>
      <c r="B6" s="310">
        <v>1</v>
      </c>
      <c r="C6" s="76">
        <v>0</v>
      </c>
      <c r="D6" s="172"/>
      <c r="E6" s="121"/>
      <c r="F6"/>
      <c r="G6" s="173">
        <v>2300</v>
      </c>
    </row>
    <row r="7" spans="1:8" x14ac:dyDescent="0.3">
      <c r="A7" s="284" t="s">
        <v>180</v>
      </c>
      <c r="B7" s="318">
        <v>1</v>
      </c>
      <c r="C7" s="319">
        <v>0</v>
      </c>
      <c r="D7" s="321"/>
      <c r="E7" s="445"/>
      <c r="F7" s="295"/>
      <c r="G7" s="117">
        <v>500</v>
      </c>
    </row>
    <row r="8" spans="1:8" x14ac:dyDescent="0.3">
      <c r="A8" s="443" t="s">
        <v>212</v>
      </c>
      <c r="B8" s="310">
        <v>1</v>
      </c>
      <c r="C8" s="76">
        <v>0.5</v>
      </c>
      <c r="D8" s="444"/>
      <c r="E8" s="445"/>
      <c r="F8"/>
      <c r="G8" s="117">
        <v>1</v>
      </c>
    </row>
    <row r="9" spans="1:8" x14ac:dyDescent="0.3">
      <c r="A9" s="284" t="s">
        <v>187</v>
      </c>
      <c r="B9" s="310">
        <v>4</v>
      </c>
      <c r="C9" s="76">
        <v>0</v>
      </c>
      <c r="D9" s="321" t="s">
        <v>186</v>
      </c>
      <c r="E9" s="320"/>
      <c r="G9" s="117">
        <f>B9*8</f>
        <v>32</v>
      </c>
    </row>
    <row r="10" spans="1:8" x14ac:dyDescent="0.3">
      <c r="A10" s="75" t="s">
        <v>92</v>
      </c>
      <c r="B10" s="310">
        <v>1</v>
      </c>
      <c r="C10" s="76">
        <v>2</v>
      </c>
      <c r="D10" s="77"/>
      <c r="E10" s="78"/>
      <c r="G10" s="173">
        <v>5</v>
      </c>
    </row>
    <row r="11" spans="1:8" x14ac:dyDescent="0.3">
      <c r="A11" s="75" t="s">
        <v>151</v>
      </c>
      <c r="B11" s="310">
        <v>1</v>
      </c>
      <c r="C11" s="76" t="s">
        <v>152</v>
      </c>
      <c r="D11" s="77"/>
      <c r="E11" s="78"/>
      <c r="G11" s="173" t="s">
        <v>96</v>
      </c>
    </row>
    <row r="12" spans="1:8" ht="16.2" thickBot="1" x14ac:dyDescent="0.35">
      <c r="A12" s="79" t="s">
        <v>135</v>
      </c>
      <c r="B12" s="129">
        <v>1</v>
      </c>
      <c r="C12" s="81">
        <v>1</v>
      </c>
      <c r="D12" s="82"/>
      <c r="E12" s="83"/>
      <c r="G12" s="118">
        <v>25</v>
      </c>
    </row>
    <row r="13" spans="1:8" ht="24" thickTop="1" thickBot="1" x14ac:dyDescent="0.35">
      <c r="A13" s="62" t="s">
        <v>67</v>
      </c>
      <c r="B13" s="62"/>
      <c r="C13" s="84"/>
      <c r="D13" s="62"/>
      <c r="E13" s="85"/>
      <c r="G13" s="119"/>
    </row>
    <row r="14" spans="1:8" ht="16.8" thickTop="1" thickBot="1" x14ac:dyDescent="0.35">
      <c r="A14" s="70" t="s">
        <v>64</v>
      </c>
      <c r="B14" s="70" t="s">
        <v>3</v>
      </c>
      <c r="C14" s="71" t="s">
        <v>21</v>
      </c>
      <c r="D14" s="72" t="s">
        <v>65</v>
      </c>
      <c r="E14" s="73" t="s">
        <v>66</v>
      </c>
      <c r="G14" s="120" t="s">
        <v>91</v>
      </c>
    </row>
    <row r="15" spans="1:8" x14ac:dyDescent="0.3">
      <c r="A15" s="75" t="s">
        <v>137</v>
      </c>
      <c r="B15" s="86">
        <v>0</v>
      </c>
      <c r="C15" s="305">
        <f t="shared" ref="C15:C16" si="0">B15/100</f>
        <v>0</v>
      </c>
      <c r="D15" s="77"/>
      <c r="E15" s="78"/>
      <c r="G15" s="117">
        <f>B15</f>
        <v>0</v>
      </c>
    </row>
    <row r="16" spans="1:8" x14ac:dyDescent="0.3">
      <c r="A16" s="170" t="s">
        <v>194</v>
      </c>
      <c r="B16" s="86">
        <v>0</v>
      </c>
      <c r="C16" s="305">
        <f t="shared" si="0"/>
        <v>0</v>
      </c>
      <c r="D16" s="312"/>
      <c r="E16" s="78"/>
      <c r="G16" s="117">
        <f>B16*5</f>
        <v>0</v>
      </c>
    </row>
    <row r="17" spans="1:8" x14ac:dyDescent="0.3">
      <c r="A17" s="170" t="s">
        <v>159</v>
      </c>
      <c r="B17" s="171">
        <v>1</v>
      </c>
      <c r="C17" s="76">
        <v>1</v>
      </c>
      <c r="D17" s="172"/>
      <c r="E17" s="121"/>
      <c r="G17" s="173">
        <v>110</v>
      </c>
    </row>
    <row r="18" spans="1:8" x14ac:dyDescent="0.3">
      <c r="A18" s="427" t="s">
        <v>211</v>
      </c>
      <c r="B18" s="310">
        <v>1</v>
      </c>
      <c r="C18" s="76">
        <v>0</v>
      </c>
      <c r="D18" s="172"/>
      <c r="E18" s="121"/>
      <c r="F18"/>
      <c r="G18" s="173">
        <v>200</v>
      </c>
    </row>
    <row r="19" spans="1:8" x14ac:dyDescent="0.3">
      <c r="A19" s="170" t="s">
        <v>192</v>
      </c>
      <c r="B19" s="86" t="s">
        <v>168</v>
      </c>
      <c r="C19" s="76">
        <v>1</v>
      </c>
      <c r="D19" s="312"/>
      <c r="E19" s="78"/>
      <c r="G19" s="117">
        <v>50</v>
      </c>
    </row>
    <row r="20" spans="1:8" x14ac:dyDescent="0.3">
      <c r="A20" s="170" t="s">
        <v>169</v>
      </c>
      <c r="B20" s="171">
        <v>1</v>
      </c>
      <c r="C20" s="76">
        <v>5</v>
      </c>
      <c r="D20" s="172" t="s">
        <v>170</v>
      </c>
      <c r="E20" s="121"/>
      <c r="G20" s="173">
        <v>10</v>
      </c>
    </row>
    <row r="21" spans="1:8" x14ac:dyDescent="0.3">
      <c r="A21" s="170" t="s">
        <v>171</v>
      </c>
      <c r="B21" s="171">
        <v>1</v>
      </c>
      <c r="C21" s="76">
        <v>4</v>
      </c>
      <c r="D21" s="172" t="s">
        <v>172</v>
      </c>
      <c r="E21" s="121"/>
      <c r="G21" s="173">
        <v>1</v>
      </c>
    </row>
    <row r="22" spans="1:8" x14ac:dyDescent="0.3">
      <c r="A22" s="170" t="s">
        <v>143</v>
      </c>
      <c r="B22" s="171">
        <v>1</v>
      </c>
      <c r="C22" s="76">
        <v>4</v>
      </c>
      <c r="D22" s="172"/>
      <c r="E22" s="121"/>
      <c r="G22" s="173">
        <v>1</v>
      </c>
    </row>
    <row r="23" spans="1:8" x14ac:dyDescent="0.3">
      <c r="A23" s="170" t="s">
        <v>162</v>
      </c>
      <c r="B23" s="171">
        <v>5</v>
      </c>
      <c r="C23" s="76">
        <v>0</v>
      </c>
      <c r="D23" s="172"/>
      <c r="E23" s="121"/>
      <c r="G23" s="173">
        <f>B23</f>
        <v>5</v>
      </c>
    </row>
    <row r="24" spans="1:8" x14ac:dyDescent="0.3">
      <c r="A24" s="381" t="s">
        <v>181</v>
      </c>
      <c r="B24" s="382">
        <v>1</v>
      </c>
      <c r="C24" s="383">
        <v>20</v>
      </c>
      <c r="D24" s="384"/>
      <c r="E24" s="385"/>
      <c r="G24" s="386">
        <v>10</v>
      </c>
    </row>
    <row r="25" spans="1:8" ht="16.2" thickBot="1" x14ac:dyDescent="0.35">
      <c r="A25" s="79" t="s">
        <v>141</v>
      </c>
      <c r="B25" s="80">
        <v>1</v>
      </c>
      <c r="C25" s="88">
        <v>5</v>
      </c>
      <c r="D25" s="82"/>
      <c r="E25" s="83"/>
      <c r="G25" s="118">
        <v>1</v>
      </c>
      <c r="H25" s="122"/>
    </row>
    <row r="26" spans="1:8" ht="22.8" thickTop="1" thickBot="1" x14ac:dyDescent="0.35">
      <c r="A26" s="316" t="s">
        <v>178</v>
      </c>
      <c r="B26" s="315"/>
      <c r="C26" s="315"/>
      <c r="D26" s="316"/>
      <c r="E26" s="315"/>
      <c r="F26" s="295"/>
      <c r="G26" s="295">
        <v>2000</v>
      </c>
    </row>
    <row r="27" spans="1:8" ht="16.8" thickTop="1" thickBot="1" x14ac:dyDescent="0.35">
      <c r="A27" s="70" t="s">
        <v>64</v>
      </c>
      <c r="B27" s="70" t="s">
        <v>3</v>
      </c>
      <c r="C27" s="71" t="s">
        <v>21</v>
      </c>
      <c r="D27" s="72" t="s">
        <v>65</v>
      </c>
      <c r="E27" s="73" t="s">
        <v>66</v>
      </c>
      <c r="G27" s="120" t="s">
        <v>91</v>
      </c>
    </row>
    <row r="28" spans="1:8" x14ac:dyDescent="0.3">
      <c r="A28" s="170" t="s">
        <v>163</v>
      </c>
      <c r="B28" s="86">
        <v>1</v>
      </c>
      <c r="C28" s="87">
        <v>5</v>
      </c>
      <c r="D28" s="312"/>
      <c r="E28" s="78"/>
      <c r="G28" s="173">
        <v>10</v>
      </c>
    </row>
    <row r="29" spans="1:8" x14ac:dyDescent="0.3">
      <c r="A29" s="170" t="s">
        <v>195</v>
      </c>
      <c r="B29" s="86">
        <v>1</v>
      </c>
      <c r="C29" s="87">
        <v>1</v>
      </c>
      <c r="D29" s="172" t="s">
        <v>196</v>
      </c>
      <c r="E29" s="78"/>
      <c r="G29" s="173">
        <v>1</v>
      </c>
    </row>
    <row r="30" spans="1:8" x14ac:dyDescent="0.3">
      <c r="A30" s="170" t="s">
        <v>197</v>
      </c>
      <c r="B30" s="86">
        <v>1</v>
      </c>
      <c r="C30" s="87">
        <v>0.5</v>
      </c>
      <c r="D30" s="172"/>
      <c r="E30" s="78"/>
      <c r="G30" s="173">
        <v>1</v>
      </c>
    </row>
    <row r="31" spans="1:8" x14ac:dyDescent="0.3">
      <c r="A31" s="170" t="s">
        <v>198</v>
      </c>
      <c r="B31" s="86">
        <v>12</v>
      </c>
      <c r="C31" s="87">
        <f>B31/12</f>
        <v>1</v>
      </c>
      <c r="D31" s="172" t="s">
        <v>199</v>
      </c>
      <c r="E31" s="78"/>
      <c r="G31" s="173">
        <f>B31/12</f>
        <v>1</v>
      </c>
    </row>
    <row r="32" spans="1:8" x14ac:dyDescent="0.3">
      <c r="A32" s="170" t="s">
        <v>205</v>
      </c>
      <c r="B32" s="171">
        <v>1</v>
      </c>
      <c r="C32" s="76">
        <v>0</v>
      </c>
      <c r="D32" s="172" t="s">
        <v>206</v>
      </c>
      <c r="E32" s="121"/>
      <c r="F32"/>
      <c r="G32" s="313">
        <v>0</v>
      </c>
      <c r="H32" s="122"/>
    </row>
    <row r="33" spans="1:8" x14ac:dyDescent="0.3">
      <c r="A33" s="170" t="s">
        <v>140</v>
      </c>
      <c r="B33" s="171">
        <v>2</v>
      </c>
      <c r="C33" s="76">
        <f>B33/10</f>
        <v>0.2</v>
      </c>
      <c r="D33" s="172"/>
      <c r="E33" s="121"/>
      <c r="G33" s="173">
        <f>50*B33</f>
        <v>100</v>
      </c>
      <c r="H33" s="122"/>
    </row>
    <row r="34" spans="1:8" x14ac:dyDescent="0.3">
      <c r="A34" s="170" t="s">
        <v>213</v>
      </c>
      <c r="B34" s="171">
        <v>10</v>
      </c>
      <c r="C34" s="76">
        <f>B34*0.1</f>
        <v>1</v>
      </c>
      <c r="D34" s="172"/>
      <c r="E34" s="121"/>
      <c r="G34" s="173">
        <v>0</v>
      </c>
      <c r="H34" s="122"/>
    </row>
    <row r="35" spans="1:8" x14ac:dyDescent="0.3">
      <c r="A35" s="170" t="s">
        <v>139</v>
      </c>
      <c r="B35" s="171">
        <v>4</v>
      </c>
      <c r="C35" s="76">
        <v>0</v>
      </c>
      <c r="D35" s="172"/>
      <c r="E35" s="121"/>
      <c r="G35" s="173">
        <v>0</v>
      </c>
      <c r="H35" s="122"/>
    </row>
    <row r="36" spans="1:8" x14ac:dyDescent="0.3">
      <c r="A36" s="170" t="s">
        <v>208</v>
      </c>
      <c r="B36" s="171">
        <v>1</v>
      </c>
      <c r="C36" s="76">
        <v>3</v>
      </c>
      <c r="D36" s="172" t="s">
        <v>136</v>
      </c>
      <c r="E36" s="121"/>
      <c r="G36" s="173">
        <v>15</v>
      </c>
      <c r="H36" s="122"/>
    </row>
    <row r="37" spans="1:8" x14ac:dyDescent="0.3">
      <c r="A37" s="170" t="s">
        <v>209</v>
      </c>
      <c r="B37" s="171">
        <v>1</v>
      </c>
      <c r="C37" s="76">
        <v>3</v>
      </c>
      <c r="D37" s="172" t="s">
        <v>136</v>
      </c>
      <c r="E37" s="121"/>
      <c r="G37" s="173">
        <v>15</v>
      </c>
      <c r="H37" s="122"/>
    </row>
    <row r="38" spans="1:8" x14ac:dyDescent="0.3">
      <c r="A38" s="170" t="s">
        <v>161</v>
      </c>
      <c r="B38" s="171">
        <v>1</v>
      </c>
      <c r="C38" s="76">
        <v>1</v>
      </c>
      <c r="D38" s="172"/>
      <c r="E38" s="121"/>
      <c r="G38" s="173">
        <v>30</v>
      </c>
      <c r="H38" s="122"/>
    </row>
    <row r="39" spans="1:8" x14ac:dyDescent="0.3">
      <c r="A39" s="170" t="s">
        <v>160</v>
      </c>
      <c r="B39" s="171">
        <v>1</v>
      </c>
      <c r="C39" s="76">
        <v>4</v>
      </c>
      <c r="D39" s="172"/>
      <c r="E39" s="121"/>
      <c r="G39" s="173">
        <v>50</v>
      </c>
      <c r="H39" s="122"/>
    </row>
    <row r="40" spans="1:8" x14ac:dyDescent="0.3">
      <c r="A40" s="170" t="s">
        <v>175</v>
      </c>
      <c r="B40" s="171">
        <v>1</v>
      </c>
      <c r="C40" s="76">
        <v>5</v>
      </c>
      <c r="D40" s="172"/>
      <c r="E40" s="121"/>
      <c r="G40" s="173">
        <v>80</v>
      </c>
      <c r="H40" s="122"/>
    </row>
    <row r="41" spans="1:8" x14ac:dyDescent="0.3">
      <c r="A41" s="170" t="s">
        <v>176</v>
      </c>
      <c r="B41" s="171">
        <v>1</v>
      </c>
      <c r="C41" s="76">
        <v>1</v>
      </c>
      <c r="D41" s="172"/>
      <c r="E41" s="121"/>
      <c r="G41" s="173">
        <v>50</v>
      </c>
      <c r="H41" s="122"/>
    </row>
    <row r="42" spans="1:8" x14ac:dyDescent="0.3">
      <c r="A42" s="170" t="s">
        <v>173</v>
      </c>
      <c r="B42" s="171">
        <v>1</v>
      </c>
      <c r="C42" s="76">
        <v>1</v>
      </c>
      <c r="D42" s="172"/>
      <c r="E42" s="121"/>
      <c r="G42" s="173">
        <v>25</v>
      </c>
      <c r="H42" s="122"/>
    </row>
    <row r="43" spans="1:8" x14ac:dyDescent="0.3">
      <c r="A43" s="170" t="s">
        <v>174</v>
      </c>
      <c r="B43" s="171">
        <v>1</v>
      </c>
      <c r="C43" s="76">
        <v>2</v>
      </c>
      <c r="D43" s="172"/>
      <c r="E43" s="121"/>
      <c r="G43" s="173">
        <v>15</v>
      </c>
      <c r="H43" s="122"/>
    </row>
    <row r="44" spans="1:8" x14ac:dyDescent="0.3">
      <c r="A44" s="170" t="s">
        <v>188</v>
      </c>
      <c r="B44" s="171">
        <v>1</v>
      </c>
      <c r="C44" s="76">
        <v>0.5</v>
      </c>
      <c r="D44" s="172"/>
      <c r="E44" s="121"/>
      <c r="G44" s="173">
        <v>20</v>
      </c>
      <c r="H44" s="122"/>
    </row>
    <row r="45" spans="1:8" x14ac:dyDescent="0.3">
      <c r="A45" s="170" t="s">
        <v>185</v>
      </c>
      <c r="B45" s="171">
        <v>1</v>
      </c>
      <c r="C45" s="76">
        <v>0</v>
      </c>
      <c r="D45" s="172"/>
      <c r="E45" s="121"/>
      <c r="G45" s="173">
        <v>1</v>
      </c>
      <c r="H45" s="122"/>
    </row>
    <row r="46" spans="1:8" x14ac:dyDescent="0.3">
      <c r="A46" s="170" t="s">
        <v>189</v>
      </c>
      <c r="B46" s="171">
        <v>1</v>
      </c>
      <c r="C46" s="76">
        <v>0.5</v>
      </c>
      <c r="D46" s="172"/>
      <c r="E46" s="121"/>
      <c r="G46" s="311">
        <f>B46/10</f>
        <v>0.1</v>
      </c>
      <c r="H46" s="122"/>
    </row>
    <row r="47" spans="1:8" x14ac:dyDescent="0.3">
      <c r="A47" s="170" t="s">
        <v>158</v>
      </c>
      <c r="B47" s="171">
        <v>2</v>
      </c>
      <c r="C47" s="76">
        <f>B47</f>
        <v>2</v>
      </c>
      <c r="D47" s="172"/>
      <c r="E47" s="121"/>
      <c r="F47"/>
      <c r="G47" s="173">
        <f>25*B47</f>
        <v>50</v>
      </c>
      <c r="H47" s="122"/>
    </row>
    <row r="48" spans="1:8" x14ac:dyDescent="0.3">
      <c r="A48" s="170" t="s">
        <v>202</v>
      </c>
      <c r="B48" s="171">
        <v>1</v>
      </c>
      <c r="C48" s="76">
        <v>0</v>
      </c>
      <c r="D48" s="172" t="s">
        <v>203</v>
      </c>
      <c r="E48" s="121"/>
      <c r="F48"/>
      <c r="G48" s="313">
        <v>0</v>
      </c>
      <c r="H48" s="122"/>
    </row>
    <row r="49" spans="1:8" x14ac:dyDescent="0.3">
      <c r="A49" s="170" t="s">
        <v>204</v>
      </c>
      <c r="B49" s="171">
        <v>1</v>
      </c>
      <c r="C49" s="76">
        <v>0</v>
      </c>
      <c r="D49" s="172"/>
      <c r="E49" s="121"/>
      <c r="F49"/>
      <c r="G49" s="313">
        <v>0</v>
      </c>
      <c r="H49" s="122"/>
    </row>
    <row r="50" spans="1:8" x14ac:dyDescent="0.3">
      <c r="A50" s="170" t="s">
        <v>182</v>
      </c>
      <c r="B50" s="86">
        <v>1</v>
      </c>
      <c r="C50" s="87">
        <v>5</v>
      </c>
      <c r="D50" s="312"/>
      <c r="E50" s="78"/>
      <c r="G50" s="173">
        <v>4</v>
      </c>
    </row>
    <row r="51" spans="1:8" x14ac:dyDescent="0.3">
      <c r="A51" s="170" t="s">
        <v>183</v>
      </c>
      <c r="B51" s="86">
        <v>1</v>
      </c>
      <c r="C51" s="87">
        <v>5</v>
      </c>
      <c r="D51" s="312"/>
      <c r="E51" s="78"/>
      <c r="G51" s="173">
        <v>2</v>
      </c>
    </row>
    <row r="52" spans="1:8" x14ac:dyDescent="0.3">
      <c r="A52" s="170" t="s">
        <v>184</v>
      </c>
      <c r="B52" s="86">
        <v>1</v>
      </c>
      <c r="C52" s="87">
        <v>2</v>
      </c>
      <c r="D52" s="312"/>
      <c r="E52" s="78"/>
      <c r="G52" s="311">
        <v>0.5</v>
      </c>
    </row>
    <row r="53" spans="1:8" x14ac:dyDescent="0.3">
      <c r="A53" s="170" t="s">
        <v>164</v>
      </c>
      <c r="B53" s="86">
        <v>1</v>
      </c>
      <c r="C53" s="87">
        <v>1</v>
      </c>
      <c r="D53" s="312"/>
      <c r="E53" s="78"/>
      <c r="G53" s="173">
        <v>1</v>
      </c>
    </row>
    <row r="54" spans="1:8" x14ac:dyDescent="0.3">
      <c r="A54" s="170" t="s">
        <v>165</v>
      </c>
      <c r="B54" s="86">
        <v>1</v>
      </c>
      <c r="C54" s="87">
        <v>1</v>
      </c>
      <c r="D54" s="312"/>
      <c r="E54" s="78"/>
      <c r="G54" s="313">
        <f>6*0.05</f>
        <v>0.30000000000000004</v>
      </c>
    </row>
    <row r="55" spans="1:8" x14ac:dyDescent="0.3">
      <c r="A55" s="170" t="s">
        <v>138</v>
      </c>
      <c r="B55" s="171">
        <v>4</v>
      </c>
      <c r="C55" s="76">
        <f>B55/10</f>
        <v>0.4</v>
      </c>
      <c r="D55" s="172"/>
      <c r="E55" s="121"/>
      <c r="G55" s="173">
        <f>8*B55</f>
        <v>32</v>
      </c>
      <c r="H55" s="122"/>
    </row>
    <row r="56" spans="1:8" x14ac:dyDescent="0.3">
      <c r="A56" s="170" t="s">
        <v>166</v>
      </c>
      <c r="B56" s="86">
        <v>20</v>
      </c>
      <c r="C56" s="305">
        <f>B56/1000</f>
        <v>0.02</v>
      </c>
      <c r="D56" s="312"/>
      <c r="E56" s="78"/>
      <c r="G56" s="311">
        <f>0.5*B56</f>
        <v>10</v>
      </c>
    </row>
    <row r="57" spans="1:8" x14ac:dyDescent="0.3">
      <c r="A57" s="170" t="s">
        <v>142</v>
      </c>
      <c r="B57" s="86">
        <v>1</v>
      </c>
      <c r="C57" s="87">
        <v>3</v>
      </c>
      <c r="D57" s="312"/>
      <c r="E57" s="78"/>
      <c r="G57" s="173">
        <v>0.5</v>
      </c>
    </row>
    <row r="58" spans="1:8" x14ac:dyDescent="0.3">
      <c r="A58" s="170" t="s">
        <v>144</v>
      </c>
      <c r="B58" s="86">
        <v>1</v>
      </c>
      <c r="C58" s="87">
        <v>5</v>
      </c>
      <c r="D58" s="312"/>
      <c r="E58" s="78"/>
      <c r="G58" s="173">
        <v>55</v>
      </c>
    </row>
    <row r="59" spans="1:8" x14ac:dyDescent="0.3">
      <c r="A59" s="170" t="s">
        <v>145</v>
      </c>
      <c r="B59" s="86">
        <v>10</v>
      </c>
      <c r="C59" s="87">
        <f>B59</f>
        <v>10</v>
      </c>
      <c r="D59" s="312"/>
      <c r="E59" s="78"/>
      <c r="G59" s="173">
        <f>B59</f>
        <v>10</v>
      </c>
    </row>
    <row r="60" spans="1:8" x14ac:dyDescent="0.3">
      <c r="A60" s="170" t="s">
        <v>146</v>
      </c>
      <c r="B60" s="171">
        <v>5</v>
      </c>
      <c r="C60" s="76">
        <f>B60</f>
        <v>5</v>
      </c>
      <c r="D60" s="172"/>
      <c r="E60" s="121"/>
      <c r="G60" s="311">
        <f>B60/20</f>
        <v>0.25</v>
      </c>
    </row>
    <row r="61" spans="1:8" x14ac:dyDescent="0.3">
      <c r="A61" s="170" t="s">
        <v>147</v>
      </c>
      <c r="B61" s="86">
        <v>1</v>
      </c>
      <c r="C61" s="87">
        <v>0</v>
      </c>
      <c r="D61" s="312"/>
      <c r="E61" s="78"/>
      <c r="G61" s="311">
        <v>0.1</v>
      </c>
    </row>
    <row r="62" spans="1:8" x14ac:dyDescent="0.3">
      <c r="A62" s="170" t="s">
        <v>148</v>
      </c>
      <c r="B62" s="86">
        <v>1</v>
      </c>
      <c r="C62" s="87">
        <v>10</v>
      </c>
      <c r="D62" s="312"/>
      <c r="E62" s="78"/>
      <c r="G62" s="173">
        <v>5</v>
      </c>
    </row>
    <row r="63" spans="1:8" x14ac:dyDescent="0.3">
      <c r="A63" s="170" t="s">
        <v>149</v>
      </c>
      <c r="B63" s="171">
        <v>1</v>
      </c>
      <c r="C63" s="76">
        <v>10</v>
      </c>
      <c r="D63" s="172"/>
      <c r="E63" s="121"/>
      <c r="G63" s="173">
        <v>1</v>
      </c>
    </row>
    <row r="64" spans="1:8" x14ac:dyDescent="0.3">
      <c r="A64" s="170" t="s">
        <v>150</v>
      </c>
      <c r="B64" s="171">
        <v>1</v>
      </c>
      <c r="C64" s="76">
        <v>8</v>
      </c>
      <c r="D64" s="172"/>
      <c r="E64" s="121"/>
      <c r="G64" s="173">
        <v>2</v>
      </c>
    </row>
    <row r="65" spans="1:7" x14ac:dyDescent="0.3">
      <c r="A65" s="170" t="s">
        <v>153</v>
      </c>
      <c r="B65" s="171">
        <v>1</v>
      </c>
      <c r="C65" s="76">
        <v>4</v>
      </c>
      <c r="D65" s="172"/>
      <c r="E65" s="121"/>
      <c r="G65" s="173">
        <v>1</v>
      </c>
    </row>
    <row r="66" spans="1:7" x14ac:dyDescent="0.3">
      <c r="A66" s="170" t="s">
        <v>95</v>
      </c>
      <c r="B66" s="171">
        <v>1</v>
      </c>
      <c r="C66" s="76">
        <v>5</v>
      </c>
      <c r="D66" s="172" t="s">
        <v>154</v>
      </c>
      <c r="E66" s="121"/>
      <c r="G66" s="173">
        <v>2</v>
      </c>
    </row>
    <row r="67" spans="1:7" x14ac:dyDescent="0.3">
      <c r="A67" s="170" t="s">
        <v>95</v>
      </c>
      <c r="B67" s="171">
        <v>1</v>
      </c>
      <c r="C67" s="76">
        <v>5</v>
      </c>
      <c r="D67" s="172" t="s">
        <v>155</v>
      </c>
      <c r="E67" s="121"/>
      <c r="G67" s="173">
        <v>2</v>
      </c>
    </row>
    <row r="68" spans="1:7" ht="16.2" thickBot="1" x14ac:dyDescent="0.35">
      <c r="A68" s="79" t="s">
        <v>156</v>
      </c>
      <c r="B68" s="80">
        <v>5</v>
      </c>
      <c r="C68" s="88">
        <f>B68</f>
        <v>5</v>
      </c>
      <c r="D68" s="82"/>
      <c r="E68" s="83"/>
      <c r="G68" s="293">
        <f>B68/2</f>
        <v>2.5</v>
      </c>
    </row>
    <row r="69" spans="1:7" ht="16.8" thickTop="1" thickBot="1" x14ac:dyDescent="0.35">
      <c r="A69" s="294" t="s">
        <v>179</v>
      </c>
      <c r="B69" s="317">
        <f>C69/120</f>
        <v>0.96766666666666667</v>
      </c>
      <c r="C69" s="71">
        <f>SUM(C28:C68)</f>
        <v>116.12</v>
      </c>
    </row>
    <row r="70" spans="1:7" x14ac:dyDescent="0.3">
      <c r="E70" s="49" t="s">
        <v>93</v>
      </c>
      <c r="G70" s="314">
        <f>SUM(G3:G68,Martial!M3:M45)</f>
        <v>8996.25</v>
      </c>
    </row>
    <row r="71" spans="1:7" x14ac:dyDescent="0.3">
      <c r="E71" s="49" t="s">
        <v>177</v>
      </c>
      <c r="G71" s="325">
        <v>49000</v>
      </c>
    </row>
  </sheetData>
  <sortState xmlns:xlrd2="http://schemas.microsoft.com/office/spreadsheetml/2017/richdata2" ref="A13:G19">
    <sortCondition ref="A13:A19"/>
  </sortState>
  <phoneticPr fontId="0" type="noConversion"/>
  <printOptions gridLinesSet="0"/>
  <pageMargins left="0.62" right="0.33" top="0.5" bottom="0.63" header="0.5" footer="0.5"/>
  <pageSetup orientation="portrait" horizontalDpi="120" verticalDpi="144"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Personal File</vt:lpstr>
      <vt:lpstr>Skills</vt:lpstr>
      <vt:lpstr>Spells</vt:lpstr>
      <vt:lpstr>Spellcasting</vt:lpstr>
      <vt:lpstr>Feats</vt:lpstr>
      <vt:lpstr>Martial</vt:lpstr>
      <vt:lpstr>Equipment</vt:lpstr>
      <vt:lpstr>'Personal File'!Print_Area</vt:lpstr>
      <vt:lpstr>Skills!Print_Area</vt:lpstr>
      <vt:lpstr>Spells!Print_Area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2012-12-01T21:17:53Z</cp:lastPrinted>
  <dcterms:created xsi:type="dcterms:W3CDTF">2000-10-24T15:39:59Z</dcterms:created>
  <dcterms:modified xsi:type="dcterms:W3CDTF">2022-03-06T12:37:10Z</dcterms:modified>
</cp:coreProperties>
</file>